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drawings/drawing7.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9.xml" ContentType="application/vnd.openxmlformats-officedocument.drawing+xml"/>
  <Override PartName="/xl/pivotTables/pivotTable2.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11.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tables/table4.xml" ContentType="application/vnd.openxmlformats-officedocument.spreadsheetml.table+xml"/>
  <Override PartName="/xl/drawings/drawing14.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5.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16.xml" ContentType="application/vnd.openxmlformats-officedocument.drawing+xml"/>
  <Override PartName="/xl/drawings/drawing17.xml" ContentType="application/vnd.openxmlformats-officedocument.drawing+xml"/>
  <Override PartName="/xl/pivotTables/pivotTable5.xml" ContentType="application/vnd.openxmlformats-officedocument.spreadsheetml.pivotTable+xml"/>
  <Override PartName="/xl/drawings/drawing18.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19.xml" ContentType="application/vnd.openxmlformats-officedocument.drawing+xml"/>
  <Override PartName="/xl/slicers/slicer5.xml" ContentType="application/vnd.ms-excel.slicer+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20.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1.xml" ContentType="application/vnd.openxmlformats-officedocument.drawing+xml"/>
  <Override PartName="/xl/drawings/drawing22.xml" ContentType="application/vnd.openxmlformats-officedocument.drawing+xml"/>
  <Override PartName="/xl/tables/table5.xml" ContentType="application/vnd.openxmlformats-officedocument.spreadsheetml.table+xml"/>
  <Override PartName="/xl/pivotTables/pivotTable8.xml" ContentType="application/vnd.openxmlformats-officedocument.spreadsheetml.pivotTable+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6.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7.xml" ContentType="application/vnd.openxmlformats-officedocument.drawing+xml"/>
  <Override PartName="/xl/slicers/slicer6.xml" ContentType="application/vnd.ms-excel.slicer+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8.xml" ContentType="application/vnd.openxmlformats-officedocument.drawing+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9.xml" ContentType="application/vnd.openxmlformats-officedocument.drawing+xml"/>
  <Override PartName="/xl/drawings/drawing30.xml" ContentType="application/vnd.openxmlformats-officedocument.drawing+xml"/>
  <Override PartName="/xl/pivotTables/pivotTable9.xml" ContentType="application/vnd.openxmlformats-officedocument.spreadsheetml.pivotTable+xml"/>
  <Override PartName="/xl/drawings/drawing31.xml" ContentType="application/vnd.openxmlformats-officedocument.drawing+xml"/>
  <Override PartName="/xl/slicers/slicer7.xml" ContentType="application/vnd.ms-excel.slicer+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codeName="ThisWorkbook" defaultThemeVersion="166925"/>
  <mc:AlternateContent xmlns:mc="http://schemas.openxmlformats.org/markup-compatibility/2006">
    <mc:Choice Requires="x15">
      <x15ac:absPath xmlns:x15ac="http://schemas.microsoft.com/office/spreadsheetml/2010/11/ac" url="C:\Users\mmd98\Downloads\Projeto Fluxo de Caixa\Copia\"/>
    </mc:Choice>
  </mc:AlternateContent>
  <xr:revisionPtr revIDLastSave="0" documentId="13_ncr:80001_{380F1CDC-8F1E-4DAF-9F36-2BB27AB0465A}" xr6:coauthVersionLast="36" xr6:coauthVersionMax="36" xr10:uidLastSave="{00000000-0000-0000-0000-000000000000}"/>
  <bookViews>
    <workbookView xWindow="0" yWindow="0" windowWidth="28800" windowHeight="11625" tabRatio="780" activeTab="1" xr2:uid="{F5393753-B149-4708-A141-8FF07FDCFCA4}"/>
  </bookViews>
  <sheets>
    <sheet name="Central" sheetId="41" r:id="rId1"/>
    <sheet name="PlanilhaFluxo" sheetId="1" r:id="rId2"/>
    <sheet name="Aux_CaixasdeNomes" sheetId="2" r:id="rId3"/>
    <sheet name="CentralLoja" sheetId="38" r:id="rId4"/>
    <sheet name="ListaFornecedores" sheetId="12" r:id="rId5"/>
    <sheet name="ListaEstoque" sheetId="24" r:id="rId6"/>
    <sheet name="RelatórioEstoque" sheetId="30" r:id="rId7"/>
    <sheet name="RelatórioEstoqueAux" sheetId="28" r:id="rId8"/>
    <sheet name="PivTabEstoqueAux" sheetId="25" r:id="rId9"/>
    <sheet name="PerfProdAnoAux" sheetId="29" r:id="rId10"/>
    <sheet name="LojaPerfAnualAux" sheetId="9" r:id="rId11"/>
    <sheet name="CentralCliente" sheetId="36" r:id="rId12"/>
    <sheet name="ListaClientes" sheetId="5" r:id="rId13"/>
    <sheet name="PerfilCliente" sheetId="16" r:id="rId14"/>
    <sheet name="HistóricodeLucro" sheetId="26" r:id="rId15"/>
    <sheet name="Ranking Score" sheetId="23" r:id="rId16"/>
    <sheet name="PerfilClienteAux" sheetId="4" r:id="rId17"/>
    <sheet name="PerformanceClienteAux" sheetId="17" r:id="rId18"/>
    <sheet name="PerformanceClienteAux2" sheetId="14" r:id="rId19"/>
    <sheet name="ExtraClienteAux" sheetId="7" r:id="rId20"/>
    <sheet name="CentralProjetos" sheetId="39" r:id="rId21"/>
    <sheet name="ListaProjetos" sheetId="6" r:id="rId22"/>
    <sheet name="Aux Projetos" sheetId="13" r:id="rId23"/>
    <sheet name="Performance da Empresa" sheetId="40" r:id="rId24"/>
    <sheet name="DashAtual" sheetId="21" r:id="rId25"/>
    <sheet name="DashAnual" sheetId="19" r:id="rId26"/>
    <sheet name="LucroPorAno" sheetId="27" r:id="rId27"/>
    <sheet name="PerformancePorMes" sheetId="10" r:id="rId28"/>
    <sheet name="DashAtual Aux" sheetId="22" r:id="rId29"/>
    <sheet name="DashAnual Aux" sheetId="20" r:id="rId30"/>
    <sheet name="PerformancePorAnoAux" sheetId="11" r:id="rId31"/>
  </sheets>
  <definedNames>
    <definedName name="a" localSheetId="0">Table2[Cliente]</definedName>
    <definedName name="a" localSheetId="11">Table2[Cliente]</definedName>
    <definedName name="a" localSheetId="3">Table2[Cliente]</definedName>
    <definedName name="a" localSheetId="20">Table2[Cliente]</definedName>
    <definedName name="a" localSheetId="14">Table2[Cliente]</definedName>
    <definedName name="a" localSheetId="26">Table2[Cliente]</definedName>
    <definedName name="a" localSheetId="23">Table2[Cliente]</definedName>
    <definedName name="a">Table2[Cliente]</definedName>
    <definedName name="asddsa" localSheetId="0">Table3[Projetos]</definedName>
    <definedName name="asddsa" localSheetId="11">Table3[Projetos]</definedName>
    <definedName name="asddsa" localSheetId="3">Table3[Projetos]</definedName>
    <definedName name="asddsa" localSheetId="20">Table3[Projetos]</definedName>
    <definedName name="asddsa" localSheetId="14">Table3[Projetos]</definedName>
    <definedName name="asddsa" localSheetId="26">Table3[Projetos]</definedName>
    <definedName name="asddsa" localSheetId="23">Table3[Projetos]</definedName>
    <definedName name="asddsa">Table3[Projetos]</definedName>
    <definedName name="Cliente" localSheetId="0">Table2[Cliente]</definedName>
    <definedName name="Cliente" localSheetId="11">Table2[Cliente]</definedName>
    <definedName name="Cliente" localSheetId="3">Table2[Cliente]</definedName>
    <definedName name="Cliente" localSheetId="20">Table2[Cliente]</definedName>
    <definedName name="Cliente" localSheetId="24">Table2[Cliente]</definedName>
    <definedName name="Cliente" localSheetId="28">Table2[Cliente]</definedName>
    <definedName name="Cliente" localSheetId="14">Table2[Cliente]</definedName>
    <definedName name="Cliente" localSheetId="5">Table2[Cliente]</definedName>
    <definedName name="Cliente" localSheetId="26">Table2[Cliente]</definedName>
    <definedName name="Cliente" localSheetId="13">Table2[Cliente]</definedName>
    <definedName name="Cliente" localSheetId="23">Table2[Cliente]</definedName>
    <definedName name="Cliente" localSheetId="30">Table2[Cliente]</definedName>
    <definedName name="Cliente" localSheetId="27">Table2[Cliente]</definedName>
    <definedName name="Cliente">Table2[Cliente]</definedName>
    <definedName name="Comida">Aux_CaixasdeNomes!$E$48:$E$50</definedName>
    <definedName name="Compras">Aux_CaixasdeNomes!$E$31:$E$33</definedName>
    <definedName name="Emergências">Aux_CaixasdeNomes!$E$62:$E$64</definedName>
    <definedName name="Entradas">Aux_CaixasdeNomes!$E$4:$E$5</definedName>
    <definedName name="Entradas_Dash">Aux_CaixasdeNomes!$O$17:$O$19</definedName>
    <definedName name="Investimentos">Aux_CaixasdeNomes!$E$23:$E$25</definedName>
    <definedName name="Mao_de_Obra">Aux_CaixasdeNomes!$E$55:$E$57</definedName>
    <definedName name="MetodosPgt">Aux_CaixasdeNomes!$Q$4:$Q$6</definedName>
    <definedName name="Operário" localSheetId="0">Table5[Operários]</definedName>
    <definedName name="Operário" localSheetId="11">Table5[Operários]</definedName>
    <definedName name="Operário" localSheetId="3">Table5[Operários]</definedName>
    <definedName name="Operário" localSheetId="20">Table5[Operários]</definedName>
    <definedName name="Operário" localSheetId="24">Table5[Operários]</definedName>
    <definedName name="Operário" localSheetId="28">Table5[Operários]</definedName>
    <definedName name="Operário" localSheetId="14">Table5[Operários]</definedName>
    <definedName name="Operário" localSheetId="5">Table5[Operários]</definedName>
    <definedName name="Operário" localSheetId="26">Table5[Operários]</definedName>
    <definedName name="Operário" localSheetId="13">Table5[Operários]</definedName>
    <definedName name="Operário" localSheetId="23">Table5[Operários]</definedName>
    <definedName name="Operário">Table5[Operários]</definedName>
    <definedName name="Produtos" localSheetId="0">Tab_Estoque[Produto]</definedName>
    <definedName name="Produtos" localSheetId="11">Tab_Estoque[Produto]</definedName>
    <definedName name="Produtos" localSheetId="3">Tab_Estoque[Produto]</definedName>
    <definedName name="Produtos" localSheetId="20">Tab_Estoque[Produto]</definedName>
    <definedName name="Produtos" localSheetId="14">Tab_Estoque[Produto]</definedName>
    <definedName name="Produtos" localSheetId="26">Tab_Estoque[Produto]</definedName>
    <definedName name="Produtos" localSheetId="23">Tab_Estoque[Produto]</definedName>
    <definedName name="Produtos">Tab_Estoque[Produto]</definedName>
    <definedName name="Projetos" localSheetId="0">Table3[Projetos]</definedName>
    <definedName name="Projetos" localSheetId="11">Table3[Projetos]</definedName>
    <definedName name="Projetos" localSheetId="3">Table3[Projetos]</definedName>
    <definedName name="Projetos" localSheetId="20">Table3[Projetos]</definedName>
    <definedName name="Projetos" localSheetId="24">Table3[Projetos]</definedName>
    <definedName name="Projetos" localSheetId="28">Table3[Projetos]</definedName>
    <definedName name="Projetos" localSheetId="14">Table3[Projetos]</definedName>
    <definedName name="Projetos" localSheetId="5">Table3[Projetos]</definedName>
    <definedName name="Projetos" localSheetId="26">Table3[Projetos]</definedName>
    <definedName name="Projetos" localSheetId="13">Table3[Projetos]</definedName>
    <definedName name="Projetos" localSheetId="23">Table3[Projetos]</definedName>
    <definedName name="Projetos" localSheetId="30">Table3[Projetos]</definedName>
    <definedName name="Projetos" localSheetId="27">Table3[Projetos]</definedName>
    <definedName name="Projetos">Table3[Projetos]</definedName>
    <definedName name="Saídas">Aux_CaixasdeNomes!$C$4:$C$11</definedName>
    <definedName name="Saídas_Dash">Aux_CaixasdeNomes!$M$17:$M$25</definedName>
    <definedName name="Serviços">Aux_CaixasdeNomes!$H$4:$H$6</definedName>
    <definedName name="Slicer_Ano">#N/A</definedName>
    <definedName name="Slicer_Ano1">#N/A</definedName>
    <definedName name="Slicer_Ano2">#N/A</definedName>
    <definedName name="Slicer_Ano3">#N/A</definedName>
    <definedName name="Slicer_Cliente">#N/A</definedName>
    <definedName name="Slicer_Produto">#N/A</definedName>
    <definedName name="Slicer_Tipo">#N/A</definedName>
    <definedName name="StatusProjetos">Aux_CaixasdeNomes!$T$4:$T$5</definedName>
    <definedName name="Transporte">Aux_CaixasdeNomes!$E$37:$E$42</definedName>
    <definedName name="Vendas">Aux_CaixasdeNomes!$H$15:$H$16</definedName>
  </definedNames>
  <calcPr calcId="191029"/>
  <pivotCaches>
    <pivotCache cacheId="288" r:id="rId32"/>
    <pivotCache cacheId="293" r:id="rId33"/>
    <pivotCache cacheId="303" r:id="rId34"/>
  </pivotCaches>
  <extLst>
    <ext xmlns:x14="http://schemas.microsoft.com/office/spreadsheetml/2009/9/main" uri="{BBE1A952-AA13-448e-AADC-164F8A28A991}">
      <x14:slicerCaches>
        <x14:slicerCache r:id="rId35"/>
        <x14:slicerCache r:id="rId36"/>
        <x14:slicerCache r:id="rId37"/>
        <x14:slicerCache r:id="rId38"/>
        <x14:slicerCache r:id="rId39"/>
        <x14:slicerCache r:id="rId40"/>
        <x14:slicerCache r:id="rId4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5" l="1"/>
  <c r="K9" i="5" l="1"/>
  <c r="K8" i="5"/>
  <c r="K12" i="5"/>
  <c r="K13" i="5"/>
  <c r="K11" i="5"/>
  <c r="K10" i="5"/>
  <c r="C6" i="1"/>
  <c r="M8" i="5" l="1"/>
  <c r="M9" i="5"/>
  <c r="L9" i="5"/>
  <c r="I9" i="6"/>
  <c r="J8" i="6"/>
  <c r="J9" i="6"/>
  <c r="H61" i="27"/>
  <c r="D8" i="24"/>
  <c r="D9" i="24"/>
  <c r="N9" i="1"/>
  <c r="N10" i="1"/>
  <c r="L10" i="5" s="1"/>
  <c r="M13" i="5"/>
  <c r="M12" i="5"/>
  <c r="M10" i="5"/>
  <c r="F8" i="24"/>
  <c r="F9" i="24"/>
  <c r="I10" i="6" l="1"/>
  <c r="I8" i="6"/>
  <c r="K8" i="6" s="1"/>
  <c r="L12" i="5"/>
  <c r="N12" i="5" s="1"/>
  <c r="M11" i="5"/>
  <c r="L8" i="5"/>
  <c r="N8" i="5" s="1"/>
  <c r="L11" i="5"/>
  <c r="L13" i="5"/>
  <c r="N13" i="5" s="1"/>
  <c r="J10" i="6"/>
  <c r="K10" i="6" s="1"/>
  <c r="N10" i="5"/>
  <c r="G13" i="28"/>
  <c r="H13" i="28" s="1"/>
  <c r="F13" i="28" s="1"/>
  <c r="G14" i="28"/>
  <c r="H14" i="28" s="1"/>
  <c r="F14" i="28" s="1"/>
  <c r="G16" i="28"/>
  <c r="H16" i="28" s="1"/>
  <c r="F16" i="28" s="1"/>
  <c r="G12" i="28"/>
  <c r="H12" i="28" s="1"/>
  <c r="F12" i="28" s="1"/>
  <c r="G15" i="28"/>
  <c r="H15" i="28" s="1"/>
  <c r="F15" i="28" s="1"/>
  <c r="K9" i="6"/>
  <c r="N9" i="5"/>
  <c r="G8" i="24"/>
  <c r="H9" i="24"/>
  <c r="E10" i="30" s="1"/>
  <c r="H8" i="24"/>
  <c r="G9" i="24"/>
  <c r="J9" i="24" s="1"/>
  <c r="N11" i="5" l="1"/>
  <c r="J8" i="24"/>
  <c r="E9" i="30"/>
  <c r="E11" i="30" s="1"/>
  <c r="I9" i="24"/>
  <c r="K9" i="24" s="1"/>
  <c r="I8" i="24"/>
  <c r="L13" i="28" l="1"/>
  <c r="M13" i="28" s="1"/>
  <c r="K13" i="28" s="1"/>
  <c r="L14" i="28"/>
  <c r="M14" i="28" s="1"/>
  <c r="K14" i="28" s="1"/>
  <c r="L15" i="28"/>
  <c r="M15" i="28" s="1"/>
  <c r="K15" i="28" s="1"/>
  <c r="L16" i="28"/>
  <c r="M16" i="28" s="1"/>
  <c r="K16" i="28" s="1"/>
  <c r="L12" i="28"/>
  <c r="M12" i="28" s="1"/>
  <c r="K12" i="28" s="1"/>
  <c r="K8" i="24"/>
  <c r="J37" i="22" l="1"/>
  <c r="L10" i="22"/>
  <c r="J37" i="20" l="1"/>
  <c r="L10" i="20" l="1"/>
  <c r="Z8" i="5" l="1"/>
  <c r="Z9" i="5"/>
  <c r="Z10" i="5"/>
  <c r="Z11" i="5"/>
  <c r="Z13" i="5"/>
  <c r="Y8" i="5"/>
  <c r="Y9" i="5"/>
  <c r="Y10" i="5"/>
  <c r="Y12" i="5"/>
  <c r="X9" i="5"/>
  <c r="X11" i="5"/>
  <c r="X13" i="5"/>
  <c r="S8" i="5" a="1"/>
  <c r="S8" i="5" s="1"/>
  <c r="S9" i="5" a="1"/>
  <c r="S9" i="5" s="1"/>
  <c r="S10" i="5" a="1"/>
  <c r="S10" i="5" s="1"/>
  <c r="S11" i="5" a="1"/>
  <c r="S11" i="5" s="1"/>
  <c r="S12" i="5" a="1"/>
  <c r="S12" i="5" s="1"/>
  <c r="S13" i="5" a="1"/>
  <c r="S13" i="5" s="1"/>
  <c r="U8" i="5"/>
  <c r="U9" i="5"/>
  <c r="U10" i="5"/>
  <c r="U11" i="5"/>
  <c r="U12" i="5"/>
  <c r="U13" i="5"/>
  <c r="R8" i="5" a="1"/>
  <c r="R8" i="5" s="1"/>
  <c r="R9" i="5" a="1"/>
  <c r="R9" i="5" s="1"/>
  <c r="R10" i="5" a="1"/>
  <c r="R10" i="5" s="1"/>
  <c r="R11" i="5" a="1"/>
  <c r="R11" i="5" s="1"/>
  <c r="R12" i="5" a="1"/>
  <c r="R12" i="5" s="1"/>
  <c r="R13" i="5" a="1"/>
  <c r="R13" i="5" s="1"/>
  <c r="Q9" i="5"/>
  <c r="E10" i="20"/>
  <c r="D38" i="20" s="1"/>
  <c r="D38" i="22"/>
  <c r="J36" i="22"/>
  <c r="I33" i="22"/>
  <c r="D33" i="22"/>
  <c r="N9" i="22"/>
  <c r="E6" i="21"/>
  <c r="H62" i="21"/>
  <c r="O24" i="4"/>
  <c r="K61" i="19"/>
  <c r="E13" i="16"/>
  <c r="E12" i="16"/>
  <c r="E11" i="22" l="1"/>
  <c r="E5" i="21"/>
  <c r="V9" i="5"/>
  <c r="AE9" i="5" s="1"/>
  <c r="AI9" i="5" s="1"/>
  <c r="AD9" i="5"/>
  <c r="AH9" i="5" s="1"/>
  <c r="AA9" i="5"/>
  <c r="AB9" i="5" s="1"/>
  <c r="AK9" i="5" s="1"/>
  <c r="N9" i="20"/>
  <c r="I33" i="20"/>
  <c r="D33" i="20"/>
  <c r="J36" i="20"/>
  <c r="E6" i="4" l="1"/>
  <c r="H61" i="4"/>
  <c r="W9" i="5" l="1"/>
  <c r="AF9" i="5" s="1"/>
  <c r="AJ9" i="5" s="1"/>
  <c r="W12" i="5"/>
  <c r="AF12" i="5" s="1"/>
  <c r="AJ12" i="5" s="1"/>
  <c r="W10" i="5"/>
  <c r="AF10" i="5" s="1"/>
  <c r="AJ10" i="5" s="1"/>
  <c r="W11" i="5"/>
  <c r="AF11" i="5" s="1"/>
  <c r="AJ11" i="5" s="1"/>
  <c r="W8" i="5"/>
  <c r="AF8" i="5" s="1"/>
  <c r="AJ8" i="5" s="1"/>
  <c r="W13" i="5"/>
  <c r="T9" i="5"/>
  <c r="AC9" i="5" s="1"/>
  <c r="AG9" i="5" s="1"/>
  <c r="O9" i="5" s="1"/>
  <c r="T10" i="5"/>
  <c r="AC10" i="5" s="1"/>
  <c r="AG10" i="5" s="1"/>
  <c r="T11" i="5"/>
  <c r="AC11" i="5" s="1"/>
  <c r="AG11" i="5" s="1"/>
  <c r="T12" i="5"/>
  <c r="AC12" i="5" s="1"/>
  <c r="AG12" i="5" s="1"/>
  <c r="T13" i="5"/>
  <c r="AC13" i="5" s="1"/>
  <c r="AG13" i="5" s="1"/>
  <c r="T8" i="5"/>
  <c r="AC8" i="5" s="1"/>
  <c r="AG8" i="5" s="1"/>
  <c r="E5" i="4" l="1"/>
  <c r="K11" i="4" l="1"/>
  <c r="K16" i="4"/>
  <c r="N11" i="4" a="1"/>
  <c r="N11" i="4" s="1"/>
  <c r="N12" i="4" a="1"/>
  <c r="N12" i="4" s="1"/>
  <c r="O13" i="4" s="1"/>
  <c r="E7" i="16"/>
  <c r="O14" i="4" l="1"/>
  <c r="P18" i="16"/>
  <c r="P19" i="4" l="1"/>
  <c r="Q19" i="4" s="1"/>
  <c r="P12" i="16"/>
  <c r="D12" i="4"/>
  <c r="D13" i="4" s="1"/>
  <c r="D14" i="4" s="1"/>
  <c r="D15" i="4" s="1"/>
  <c r="E14" i="16"/>
  <c r="P14" i="16" l="1"/>
  <c r="P22" i="4"/>
  <c r="Q22" i="4" s="1"/>
  <c r="E15" i="4"/>
  <c r="D16" i="4"/>
  <c r="D17" i="4" s="1"/>
  <c r="D18" i="4" s="1"/>
  <c r="D19" i="4" s="1"/>
  <c r="D20" i="4" s="1"/>
  <c r="D21" i="4" s="1"/>
  <c r="D22" i="4" s="1"/>
  <c r="D23" i="4" s="1"/>
  <c r="E23" i="4" s="1"/>
  <c r="E12" i="4"/>
  <c r="F12" i="4"/>
  <c r="E14" i="4"/>
  <c r="E13" i="4"/>
  <c r="F13" i="4"/>
  <c r="AF13" i="5" l="1"/>
  <c r="AJ13" i="5" s="1"/>
  <c r="E22" i="4"/>
  <c r="E16" i="4"/>
  <c r="E17" i="4"/>
  <c r="E20" i="4"/>
  <c r="E19" i="4"/>
  <c r="E21" i="4"/>
  <c r="E18" i="4"/>
  <c r="F14" i="4"/>
  <c r="F15" i="4" l="1"/>
  <c r="F16" i="4" l="1"/>
  <c r="F17" i="4" l="1"/>
  <c r="F18" i="4" l="1"/>
  <c r="F19" i="4" l="1"/>
  <c r="F20" i="4" l="1"/>
  <c r="F21" i="4" l="1"/>
  <c r="F22" i="4" l="1"/>
  <c r="F23" i="4" l="1"/>
  <c r="R9" i="1" l="1"/>
  <c r="R10" i="1"/>
  <c r="K17" i="4"/>
  <c r="O12" i="4" a="1"/>
  <c r="O12" i="4" s="1"/>
  <c r="X12" i="5"/>
  <c r="Q8" i="1"/>
  <c r="Q9" i="1"/>
  <c r="Q10" i="1"/>
  <c r="P8" i="1"/>
  <c r="P9" i="1"/>
  <c r="P10" i="1"/>
  <c r="J38" i="22" l="1"/>
  <c r="J39" i="22"/>
  <c r="J46" i="22"/>
  <c r="L20" i="22"/>
  <c r="M20" i="22" s="1"/>
  <c r="J41" i="22"/>
  <c r="J47" i="22"/>
  <c r="L21" i="22"/>
  <c r="M21" i="22" s="1"/>
  <c r="L22" i="22"/>
  <c r="M22" i="22" s="1"/>
  <c r="L12" i="22"/>
  <c r="M12" i="22" s="1"/>
  <c r="J49" i="22"/>
  <c r="L14" i="22"/>
  <c r="M14" i="22" s="1"/>
  <c r="L11" i="22"/>
  <c r="J43" i="22"/>
  <c r="J44" i="22"/>
  <c r="L13" i="22"/>
  <c r="M13" i="22" s="1"/>
  <c r="L16" i="22"/>
  <c r="M16" i="22" s="1"/>
  <c r="J48" i="22"/>
  <c r="L15" i="22"/>
  <c r="M15" i="22" s="1"/>
  <c r="L17" i="22"/>
  <c r="M17" i="22" s="1"/>
  <c r="J40" i="22"/>
  <c r="L19" i="22"/>
  <c r="M19" i="22" s="1"/>
  <c r="L18" i="22"/>
  <c r="M18" i="22" s="1"/>
  <c r="J45" i="22"/>
  <c r="L20" i="20"/>
  <c r="M20" i="20" s="1"/>
  <c r="J41" i="20"/>
  <c r="J46" i="20"/>
  <c r="J39" i="20"/>
  <c r="L18" i="20"/>
  <c r="M18" i="20" s="1"/>
  <c r="J47" i="20"/>
  <c r="J38" i="20"/>
  <c r="P11" i="20"/>
  <c r="L21" i="20"/>
  <c r="M21" i="20" s="1"/>
  <c r="J44" i="20"/>
  <c r="L12" i="20"/>
  <c r="M12" i="20" s="1"/>
  <c r="L17" i="20"/>
  <c r="M17" i="20" s="1"/>
  <c r="J49" i="20"/>
  <c r="J48" i="20"/>
  <c r="J43" i="20"/>
  <c r="L22" i="20"/>
  <c r="M22" i="20" s="1"/>
  <c r="L15" i="20"/>
  <c r="M15" i="20" s="1"/>
  <c r="J45" i="20"/>
  <c r="L13" i="20"/>
  <c r="M13" i="20" s="1"/>
  <c r="L16" i="20"/>
  <c r="M16" i="20" s="1"/>
  <c r="L11" i="20"/>
  <c r="L19" i="20"/>
  <c r="M19" i="20" s="1"/>
  <c r="J40" i="20"/>
  <c r="L14" i="20"/>
  <c r="M14" i="20" s="1"/>
  <c r="O11" i="4" a="1"/>
  <c r="O11" i="4" s="1"/>
  <c r="K15" i="4"/>
  <c r="L41" i="4" s="1"/>
  <c r="M41" i="4" s="1"/>
  <c r="O41" i="4" s="1"/>
  <c r="P23" i="4" s="1"/>
  <c r="Q23" i="4" s="1"/>
  <c r="E28" i="22"/>
  <c r="E14" i="20"/>
  <c r="E14" i="22"/>
  <c r="E15" i="22"/>
  <c r="E38" i="22"/>
  <c r="F28" i="22"/>
  <c r="Z12" i="5"/>
  <c r="AA12" i="5" s="1"/>
  <c r="AB12" i="5" s="1"/>
  <c r="AK12" i="5" s="1"/>
  <c r="Q12" i="5"/>
  <c r="Y13" i="5"/>
  <c r="AA13" i="5" s="1"/>
  <c r="AB13" i="5" s="1"/>
  <c r="AK13" i="5" s="1"/>
  <c r="Q13" i="5"/>
  <c r="G28" i="20"/>
  <c r="G28" i="22"/>
  <c r="Q11" i="5"/>
  <c r="Y11" i="5"/>
  <c r="AA11" i="5" s="1"/>
  <c r="AB11" i="5" s="1"/>
  <c r="AK11" i="5" s="1"/>
  <c r="Q10" i="5"/>
  <c r="X10" i="5"/>
  <c r="AA10" i="5" s="1"/>
  <c r="AB10" i="5" s="1"/>
  <c r="AK10" i="5" s="1"/>
  <c r="X8" i="5"/>
  <c r="AA8" i="5" s="1"/>
  <c r="AB8" i="5" s="1"/>
  <c r="AK8" i="5" s="1"/>
  <c r="Q8" i="5"/>
  <c r="F28" i="20"/>
  <c r="E15" i="20"/>
  <c r="E38" i="20"/>
  <c r="E28" i="20"/>
  <c r="K12" i="4"/>
  <c r="P20" i="4" s="1"/>
  <c r="Q20" i="4" s="1"/>
  <c r="G12" i="4"/>
  <c r="G13" i="4"/>
  <c r="G14" i="4"/>
  <c r="G15" i="4"/>
  <c r="G16" i="4"/>
  <c r="G17" i="4"/>
  <c r="G18" i="4"/>
  <c r="G19" i="4"/>
  <c r="G20" i="4"/>
  <c r="G21" i="4"/>
  <c r="G22" i="4"/>
  <c r="G23" i="4"/>
  <c r="I11" i="10"/>
  <c r="L11" i="10"/>
  <c r="E10" i="10"/>
  <c r="J11" i="10"/>
  <c r="K12" i="10"/>
  <c r="K11" i="10"/>
  <c r="E11" i="10"/>
  <c r="E12" i="10"/>
  <c r="M11" i="10"/>
  <c r="F11" i="10"/>
  <c r="N11" i="10"/>
  <c r="G11" i="10"/>
  <c r="O11" i="10"/>
  <c r="L12" i="10"/>
  <c r="H11" i="10"/>
  <c r="P11" i="10"/>
  <c r="M12" i="10"/>
  <c r="F12" i="10"/>
  <c r="N12" i="10"/>
  <c r="O12" i="10"/>
  <c r="G12" i="10"/>
  <c r="H12" i="10"/>
  <c r="P12" i="10"/>
  <c r="J12" i="10"/>
  <c r="M11" i="22" l="1"/>
  <c r="M11" i="20"/>
  <c r="O13" i="19"/>
  <c r="O13" i="21"/>
  <c r="H28" i="20"/>
  <c r="V13" i="5"/>
  <c r="AE13" i="5" s="1"/>
  <c r="AI13" i="5" s="1"/>
  <c r="AD13" i="5"/>
  <c r="AH13" i="5" s="1"/>
  <c r="V10" i="5"/>
  <c r="AE10" i="5" s="1"/>
  <c r="AI10" i="5" s="1"/>
  <c r="AD10" i="5"/>
  <c r="AH10" i="5" s="1"/>
  <c r="V12" i="5"/>
  <c r="AE12" i="5" s="1"/>
  <c r="AI12" i="5" s="1"/>
  <c r="AD12" i="5"/>
  <c r="AH12" i="5" s="1"/>
  <c r="E10" i="21"/>
  <c r="E10" i="19"/>
  <c r="V11" i="5"/>
  <c r="AE11" i="5" s="1"/>
  <c r="AI11" i="5" s="1"/>
  <c r="AD11" i="5"/>
  <c r="AH11" i="5" s="1"/>
  <c r="AD8" i="5"/>
  <c r="AH8" i="5" s="1"/>
  <c r="V8" i="5"/>
  <c r="AE8" i="5" s="1"/>
  <c r="AI8" i="5" s="1"/>
  <c r="H28" i="22"/>
  <c r="E11" i="21"/>
  <c r="E11" i="19"/>
  <c r="K10" i="4"/>
  <c r="N18" i="16"/>
  <c r="E13" i="10"/>
  <c r="F10" i="10" s="1"/>
  <c r="F13" i="10" s="1"/>
  <c r="G10" i="10" s="1"/>
  <c r="G13" i="10" s="1"/>
  <c r="H10" i="10" s="1"/>
  <c r="H13" i="10" s="1"/>
  <c r="I10" i="10" s="1"/>
  <c r="O10" i="5" l="1"/>
  <c r="O13" i="5"/>
  <c r="O12" i="5"/>
  <c r="O8" i="5"/>
  <c r="O11" i="5"/>
  <c r="O18" i="16"/>
  <c r="P21" i="4"/>
  <c r="Q21" i="4" s="1"/>
  <c r="Q24" i="4" s="1"/>
  <c r="G7" i="16" l="1"/>
  <c r="O27" i="4"/>
  <c r="J42" i="22"/>
  <c r="N8" i="1"/>
  <c r="O8" i="1" s="1"/>
  <c r="O9" i="1" s="1"/>
  <c r="O10" i="1" s="1"/>
  <c r="I12" i="10" l="1"/>
  <c r="I13" i="10" s="1"/>
  <c r="J10" i="10" s="1"/>
  <c r="J13" i="10" s="1"/>
  <c r="K10" i="10" s="1"/>
  <c r="K13" i="10" s="1"/>
  <c r="L10" i="10" s="1"/>
  <c r="L13" i="10" s="1"/>
  <c r="M10" i="10" s="1"/>
  <c r="M13" i="10" s="1"/>
  <c r="N10" i="10" s="1"/>
  <c r="N13" i="10" s="1"/>
  <c r="O10" i="10" s="1"/>
  <c r="O13" i="10" s="1"/>
  <c r="P10" i="10" s="1"/>
  <c r="P13" i="10" s="1"/>
  <c r="O24" i="21"/>
  <c r="H7" i="16"/>
  <c r="J50" i="22"/>
  <c r="E16" i="22"/>
  <c r="E17" i="22" s="1"/>
  <c r="E16" i="20"/>
  <c r="J42" i="20"/>
  <c r="F38" i="20"/>
  <c r="G38" i="20" s="1"/>
  <c r="R8" i="1"/>
  <c r="F38" i="22"/>
  <c r="G38" i="22" s="1"/>
  <c r="O25" i="19" l="1"/>
  <c r="J50" i="20"/>
  <c r="E17" i="20"/>
  <c r="E12" i="21"/>
  <c r="E12" i="19"/>
  <c r="E13" i="19" l="1"/>
  <c r="E13" i="21"/>
  <c r="N5" i="1" l="1"/>
</calcChain>
</file>

<file path=xl/sharedStrings.xml><?xml version="1.0" encoding="utf-8"?>
<sst xmlns="http://schemas.openxmlformats.org/spreadsheetml/2006/main" count="630" uniqueCount="302">
  <si>
    <t>Caixa Atual</t>
  </si>
  <si>
    <t>Caixa Inicial</t>
  </si>
  <si>
    <t>Data</t>
  </si>
  <si>
    <t>Tipo</t>
  </si>
  <si>
    <t>Categoria</t>
  </si>
  <si>
    <t>Valor</t>
  </si>
  <si>
    <t>Saldo</t>
  </si>
  <si>
    <t>Saídas</t>
  </si>
  <si>
    <t>Entradas</t>
  </si>
  <si>
    <t>Investimentos</t>
  </si>
  <si>
    <t>Impressora</t>
  </si>
  <si>
    <t>Projeto Alphaville</t>
  </si>
  <si>
    <t>Transporte</t>
  </si>
  <si>
    <t>FLUXO DE CAIXA AUTOLIFE</t>
  </si>
  <si>
    <t>Vendas</t>
  </si>
  <si>
    <t>Comida</t>
  </si>
  <si>
    <t>Emergência</t>
  </si>
  <si>
    <t>Obra</t>
  </si>
  <si>
    <t>Manutenção</t>
  </si>
  <si>
    <t>Visita</t>
  </si>
  <si>
    <t>Mao_de_Obra</t>
  </si>
  <si>
    <t>Cliente</t>
  </si>
  <si>
    <t>Leda</t>
  </si>
  <si>
    <t>Mário</t>
  </si>
  <si>
    <t>Ana Cláudia</t>
  </si>
  <si>
    <t>Catarina</t>
  </si>
  <si>
    <t>Adilson</t>
  </si>
  <si>
    <t>Alexandre</t>
  </si>
  <si>
    <t>Projetos</t>
  </si>
  <si>
    <t>Projeto Federação</t>
  </si>
  <si>
    <t>Projeto Itacimirim</t>
  </si>
  <si>
    <t>Projeto Cidade Baixa</t>
  </si>
  <si>
    <t>Projeto Pituba</t>
  </si>
  <si>
    <t>Equipamentos</t>
  </si>
  <si>
    <t>Imagem Visual</t>
  </si>
  <si>
    <t>Capacitação</t>
  </si>
  <si>
    <t>Compras (Loja)</t>
  </si>
  <si>
    <t>Vendas (Loja)</t>
  </si>
  <si>
    <t>Compras</t>
  </si>
  <si>
    <t>Sem especificação</t>
  </si>
  <si>
    <t>Subcategoria</t>
  </si>
  <si>
    <t>Projeto</t>
  </si>
  <si>
    <t>--</t>
  </si>
  <si>
    <t>Emergências</t>
  </si>
  <si>
    <t>Projeto Vitória</t>
  </si>
  <si>
    <t>João</t>
  </si>
  <si>
    <t>Maria</t>
  </si>
  <si>
    <t>Solange</t>
  </si>
  <si>
    <t>Marcelo</t>
  </si>
  <si>
    <t>Luiz</t>
  </si>
  <si>
    <t>Joana</t>
  </si>
  <si>
    <t>Projeto Lauro de Freitas</t>
  </si>
  <si>
    <t>Row Labels</t>
  </si>
  <si>
    <t>(blank)</t>
  </si>
  <si>
    <t>Grand Total</t>
  </si>
  <si>
    <t>Column Labels</t>
  </si>
  <si>
    <t>Mês</t>
  </si>
  <si>
    <t>Ano</t>
  </si>
  <si>
    <t>FLUXO DE CAIXA</t>
  </si>
  <si>
    <t>JAN</t>
  </si>
  <si>
    <t>FEV</t>
  </si>
  <si>
    <t>MAR</t>
  </si>
  <si>
    <t>ABR</t>
  </si>
  <si>
    <t>MAI</t>
  </si>
  <si>
    <t>JUN</t>
  </si>
  <si>
    <t>JUL</t>
  </si>
  <si>
    <t>AGO</t>
  </si>
  <si>
    <t>SET</t>
  </si>
  <si>
    <t>OUT</t>
  </si>
  <si>
    <t>NOV</t>
  </si>
  <si>
    <t>DEZ</t>
  </si>
  <si>
    <t>ESPECIFICAÇÃO</t>
  </si>
  <si>
    <t>Saldo Inicial</t>
  </si>
  <si>
    <t>Saldo Final</t>
  </si>
  <si>
    <t>Operários</t>
  </si>
  <si>
    <t>Valor (Aux)</t>
  </si>
  <si>
    <t>Sum of Valor (Aux)</t>
  </si>
  <si>
    <t>Dejean</t>
  </si>
  <si>
    <t>Burocracia Empresarial</t>
  </si>
  <si>
    <t>Caixa Pessoal</t>
  </si>
  <si>
    <t>Alimentação</t>
  </si>
  <si>
    <t>Venda Loja</t>
  </si>
  <si>
    <t>Venda Cliente</t>
  </si>
  <si>
    <t>Compra Loja</t>
  </si>
  <si>
    <t>Compra Cliente</t>
  </si>
  <si>
    <t>Bairro</t>
  </si>
  <si>
    <t>Perfil</t>
  </si>
  <si>
    <t>Score</t>
  </si>
  <si>
    <t>Evolução das compras nos últimos 12 meses (R$)</t>
  </si>
  <si>
    <t>Compra</t>
  </si>
  <si>
    <t>Compra Média</t>
  </si>
  <si>
    <t>Número de compras</t>
  </si>
  <si>
    <t>Valor das Compras</t>
  </si>
  <si>
    <t>Recência em meses*</t>
  </si>
  <si>
    <t>É cliente a quantos meses:</t>
  </si>
  <si>
    <t>*Tempo entre a data atual e a última compra</t>
  </si>
  <si>
    <t>Escore do Cliente</t>
  </si>
  <si>
    <t>Peso</t>
  </si>
  <si>
    <t>Nota</t>
  </si>
  <si>
    <t>Ponderado</t>
  </si>
  <si>
    <t>Tempo</t>
  </si>
  <si>
    <t>Valor das compras</t>
  </si>
  <si>
    <t>Compra média</t>
  </si>
  <si>
    <t>Recência</t>
  </si>
  <si>
    <t>Escore atualizado</t>
  </si>
  <si>
    <t>PERFIL DO CLIENTE</t>
  </si>
  <si>
    <t>Perfil das compras</t>
  </si>
  <si>
    <t>Cartão</t>
  </si>
  <si>
    <t>Escore de Tempo (em meses)</t>
  </si>
  <si>
    <t>Escore de Compra Média (em R$/compra)</t>
  </si>
  <si>
    <t>Escore de Atraso Médio (em dias/compra)</t>
  </si>
  <si>
    <t>De</t>
  </si>
  <si>
    <t>Até</t>
  </si>
  <si>
    <t>Pontos</t>
  </si>
  <si>
    <t>Escore de Valor das Compras (em R$)</t>
  </si>
  <si>
    <t>Escore de Recência (em meses)</t>
  </si>
  <si>
    <t>Forma de Pagamento (À vista/prazo)</t>
  </si>
  <si>
    <t>Maior valor</t>
  </si>
  <si>
    <t>Forma</t>
  </si>
  <si>
    <t>Perfil do Cliente</t>
  </si>
  <si>
    <t>Bronze</t>
  </si>
  <si>
    <t>Prata</t>
  </si>
  <si>
    <t>Ouro</t>
  </si>
  <si>
    <t>Diamante</t>
  </si>
  <si>
    <t>Primeiro Registro</t>
  </si>
  <si>
    <t>Último Registro</t>
  </si>
  <si>
    <t>Métodos Pagamento</t>
  </si>
  <si>
    <t>Parcelado</t>
  </si>
  <si>
    <t>Método de Pagto</t>
  </si>
  <si>
    <t>À Vista</t>
  </si>
  <si>
    <t>História com a nossa empresa</t>
  </si>
  <si>
    <t>É cliente a quantos meses?</t>
  </si>
  <si>
    <t>Não compra a quantos meses?</t>
  </si>
  <si>
    <t>Valor Total das Compras</t>
  </si>
  <si>
    <t>Valor Médio por Compra</t>
  </si>
  <si>
    <t>Quantas vezes comprou</t>
  </si>
  <si>
    <t>DASHBOARD ANUAL</t>
  </si>
  <si>
    <t>Minigráficos de contas a Pagar e a Receber</t>
  </si>
  <si>
    <t>Evolução das vendas</t>
  </si>
  <si>
    <t>Ano:</t>
  </si>
  <si>
    <t>ANO:</t>
  </si>
  <si>
    <t>Pagar Mensal</t>
  </si>
  <si>
    <t>Receber Mensal</t>
  </si>
  <si>
    <t>Gráfico</t>
  </si>
  <si>
    <t>Jan</t>
  </si>
  <si>
    <t>Fev</t>
  </si>
  <si>
    <t>Saldo do Caixa</t>
  </si>
  <si>
    <t>Mar</t>
  </si>
  <si>
    <t>Abr</t>
  </si>
  <si>
    <t>Mai</t>
  </si>
  <si>
    <t>Jun</t>
  </si>
  <si>
    <t>Jul</t>
  </si>
  <si>
    <t>Ago</t>
  </si>
  <si>
    <t>Contas a pagar total</t>
  </si>
  <si>
    <t>Set</t>
  </si>
  <si>
    <t>Contas a receber total</t>
  </si>
  <si>
    <t>Out</t>
  </si>
  <si>
    <t>Nov</t>
  </si>
  <si>
    <t>Dez</t>
  </si>
  <si>
    <t xml:space="preserve">Perfil das Vendas </t>
  </si>
  <si>
    <t>Total</t>
  </si>
  <si>
    <t>Atraso médio nas contas a receber</t>
  </si>
  <si>
    <t>Atraso médio nas contas a pagar</t>
  </si>
  <si>
    <t>Qtde.</t>
  </si>
  <si>
    <t>Dias</t>
  </si>
  <si>
    <t>Média</t>
  </si>
  <si>
    <t>Resultado no Período</t>
  </si>
  <si>
    <t>Despesa Mensal</t>
  </si>
  <si>
    <t>Resultado</t>
  </si>
  <si>
    <t>Dash Anual</t>
  </si>
  <si>
    <t>*Não Incluído</t>
  </si>
  <si>
    <t>*Não incluído</t>
  </si>
  <si>
    <t>Saldo Inicial do ano</t>
  </si>
  <si>
    <t>Saldo Final do ano</t>
  </si>
  <si>
    <t>Dash Atual</t>
  </si>
  <si>
    <t>Data de Hoje</t>
  </si>
  <si>
    <t>Forma de pagamento</t>
  </si>
  <si>
    <t>Nº de compras</t>
  </si>
  <si>
    <t>Nota Pgto</t>
  </si>
  <si>
    <t>Nota Tempo</t>
  </si>
  <si>
    <t>Nota Compra</t>
  </si>
  <si>
    <t>Nota Compra Média</t>
  </si>
  <si>
    <t>Nota Recência</t>
  </si>
  <si>
    <t>Ponderado Tempo</t>
  </si>
  <si>
    <t>Ponderado Valor Compra</t>
  </si>
  <si>
    <t>Ponderado Compra Média</t>
  </si>
  <si>
    <t>Ponderado Pgto</t>
  </si>
  <si>
    <t>Ponderado Recência</t>
  </si>
  <si>
    <t>Sum of Score</t>
  </si>
  <si>
    <t>Tudo</t>
  </si>
  <si>
    <t>Evolução de Vendas</t>
  </si>
  <si>
    <t>Evolução das Despesas</t>
  </si>
  <si>
    <t>Perfil das Transações</t>
  </si>
  <si>
    <t>Análise Geral</t>
  </si>
  <si>
    <t>Evolução das Vendas</t>
  </si>
  <si>
    <t>Evolução das Compras nos últimos 12 meses</t>
  </si>
  <si>
    <t>Perfil das Compras</t>
  </si>
  <si>
    <t>Produto</t>
  </si>
  <si>
    <t>Quantidade</t>
  </si>
  <si>
    <t>Valor Unitário</t>
  </si>
  <si>
    <t>Camera Intelbras</t>
  </si>
  <si>
    <t>Estoque</t>
  </si>
  <si>
    <t>Caixa de Som</t>
  </si>
  <si>
    <t>Cabo de Rede</t>
  </si>
  <si>
    <t>Quantidade de Vendas</t>
  </si>
  <si>
    <t>Percentual de Lucro por Produto</t>
  </si>
  <si>
    <t>Lista de Clientes</t>
  </si>
  <si>
    <t>Entradas vs Saídas totais</t>
  </si>
  <si>
    <t>Total Ganho</t>
  </si>
  <si>
    <t>Total Gasto</t>
  </si>
  <si>
    <t>Lucro</t>
  </si>
  <si>
    <t>Preço Médio</t>
  </si>
  <si>
    <t>Valor Total</t>
  </si>
  <si>
    <t>Compra Estoque</t>
  </si>
  <si>
    <t>Filtro de Linha 1</t>
  </si>
  <si>
    <t>Filtro de Linha 2</t>
  </si>
  <si>
    <t>Data de Aniversário</t>
  </si>
  <si>
    <t>Sum of Quantidade de Vendas</t>
  </si>
  <si>
    <t>Sum of Lucro</t>
  </si>
  <si>
    <t>Filtro de Linha 3</t>
  </si>
  <si>
    <t>Caixa de Nomes para Dashboard Atual/Anual. OBS: Mudar em conjunto com o de entradas e saídas</t>
  </si>
  <si>
    <t>Data de Registro</t>
  </si>
  <si>
    <t>Número Tel</t>
  </si>
  <si>
    <t>Data de Inicio</t>
  </si>
  <si>
    <t>Data de Conclusão</t>
  </si>
  <si>
    <t>Status</t>
  </si>
  <si>
    <t>Fornecedor Pituba</t>
  </si>
  <si>
    <t>Fornecedor Lauro de Freitas</t>
  </si>
  <si>
    <t>Telefone</t>
  </si>
  <si>
    <t>-------</t>
  </si>
  <si>
    <t>Endereço</t>
  </si>
  <si>
    <t>Top 5 mais vendidos</t>
  </si>
  <si>
    <t>Top 5 Lucro</t>
  </si>
  <si>
    <t>total entradas</t>
  </si>
  <si>
    <t>total saídas</t>
  </si>
  <si>
    <t>lucro</t>
  </si>
  <si>
    <t>]</t>
  </si>
  <si>
    <t>Relatório Estoque</t>
  </si>
  <si>
    <t>Performance da Loja por ano</t>
  </si>
  <si>
    <t>Performance do produto por ano</t>
  </si>
  <si>
    <t>Composição do lucro do Estoque</t>
  </si>
  <si>
    <t>Endereço Completo</t>
  </si>
  <si>
    <t>Ranking Score dos Clientes</t>
  </si>
  <si>
    <t>Performance da Empresa</t>
  </si>
  <si>
    <t>Fluxo de Caixa</t>
  </si>
  <si>
    <t>Lista de Projetos</t>
  </si>
  <si>
    <t>Lista de Fornecedores</t>
  </si>
  <si>
    <t>Dashboard Atual</t>
  </si>
  <si>
    <t>Dashboard Anual</t>
  </si>
  <si>
    <t>Central da Loja</t>
  </si>
  <si>
    <t>Central do Cliente</t>
  </si>
  <si>
    <t>Relatório Estoque - Planilha Auxiliar</t>
  </si>
  <si>
    <t>Lista de Estoque</t>
  </si>
  <si>
    <t>Tabela dinâmica Estoque</t>
  </si>
  <si>
    <t>Performance por produto - Planilha Auxiliar</t>
  </si>
  <si>
    <t>Performance Anual da Loja - Planilha Auxiliar</t>
  </si>
  <si>
    <t>Perfil do Cliente - Planilha Auxiliar</t>
  </si>
  <si>
    <t>Performance do Cliente - Planilha Auxiliar</t>
  </si>
  <si>
    <t>Performance do Cliente - Planilha Auxiliar 2</t>
  </si>
  <si>
    <t xml:space="preserve">Tabela Dinâmica Extra - Planilha Auxiliar </t>
  </si>
  <si>
    <t>Projetos - Planilha Auxiliar</t>
  </si>
  <si>
    <t>Dashboard Atual - Planilha Auxiliar</t>
  </si>
  <si>
    <t>Dashboard Anual - Planilha Auxiliar</t>
  </si>
  <si>
    <t>Performance por ano - Planilha Auxiliar</t>
  </si>
  <si>
    <t>Total de Entradas</t>
  </si>
  <si>
    <t>Total de Saídas</t>
  </si>
  <si>
    <t>Gerenciamento de Projetos</t>
  </si>
  <si>
    <t>Aux 1 - Caixa de Nomes</t>
  </si>
  <si>
    <t>Aux 1 - Campo de Cálculo</t>
  </si>
  <si>
    <t>Aux 2 - Tabela Dinâmica</t>
  </si>
  <si>
    <t>Aux 3 - Tabela Dinâmica</t>
  </si>
  <si>
    <t>Aux 4 - Tabela Dinâmica</t>
  </si>
  <si>
    <t>Aux 1 - Tab. Dinâmica</t>
  </si>
  <si>
    <t>Aux 2 - Tab. Dinâmica</t>
  </si>
  <si>
    <t>Performance por Mês</t>
  </si>
  <si>
    <t>Histórico de Lucro por Cliente</t>
  </si>
  <si>
    <t>Lucro ao decorrer dos anos</t>
  </si>
  <si>
    <t>Lucro detalhado em um certo ano</t>
  </si>
  <si>
    <t>Status de Projetos</t>
  </si>
  <si>
    <t>Concluído</t>
  </si>
  <si>
    <t>Em Andamento</t>
  </si>
  <si>
    <t>Para Lista de Projetos</t>
  </si>
  <si>
    <t>Serviços</t>
  </si>
  <si>
    <t>Quantidade no Estoque</t>
  </si>
  <si>
    <t>Selecione um Ano:</t>
  </si>
  <si>
    <t>Selecione um Produto:</t>
  </si>
  <si>
    <t>Top 5 Número de Unidades Vendidas</t>
  </si>
  <si>
    <t>Histórico de Lucro do Cliente</t>
  </si>
  <si>
    <t>Selecione um Cliente e o ano desejado:</t>
  </si>
  <si>
    <t>Filtros Opcionais:</t>
  </si>
  <si>
    <t>Selecione um Cliente e, se quiser, os anos desejados:</t>
  </si>
  <si>
    <t>Lucro por ano</t>
  </si>
  <si>
    <t>Ctrl + Left + Up</t>
  </si>
  <si>
    <t>Para ir para a última linha</t>
  </si>
  <si>
    <t>Para voltar ao Início</t>
  </si>
  <si>
    <t>Aniversário</t>
  </si>
  <si>
    <t>Data de hoje</t>
  </si>
  <si>
    <t>Cidade</t>
  </si>
  <si>
    <t>Estado</t>
  </si>
  <si>
    <t>Lucro Por Ano</t>
  </si>
  <si>
    <t>Lucro Por Mês</t>
  </si>
  <si>
    <t>Detalhamento(Campo Opcional)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</si>
</sst>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R$&quot;\ #,##0;[Red]\-&quot;R$&quot;\ #,##0"/>
    <numFmt numFmtId="44" formatCode="_-&quot;R$&quot;\ * #,##0.00_-;\-&quot;R$&quot;\ * #,##0.00_-;_-&quot;R$&quot;\ * &quot;-&quot;??_-;_-@_-"/>
    <numFmt numFmtId="43" formatCode="_-* #,##0.00_-;\-* #,##0.00_-;_-* &quot;-&quot;??_-;_-@_-"/>
    <numFmt numFmtId="164" formatCode="mmm/yyyy"/>
    <numFmt numFmtId="165" formatCode="&quot;R$&quot;\ #,##0"/>
    <numFmt numFmtId="166" formatCode="&quot;R$&quot;\ #,##0.00"/>
  </numFmts>
  <fonts count="27" x14ac:knownFonts="1">
    <font>
      <sz val="11"/>
      <color theme="1"/>
      <name val="Calibri"/>
      <family val="2"/>
      <scheme val="minor"/>
    </font>
    <font>
      <b/>
      <sz val="11"/>
      <color theme="0"/>
      <name val="Calibri"/>
      <family val="2"/>
      <scheme val="minor"/>
    </font>
    <font>
      <b/>
      <sz val="36"/>
      <color theme="8" tint="0.39997558519241921"/>
      <name val="Calibri"/>
      <family val="2"/>
      <scheme val="minor"/>
    </font>
    <font>
      <sz val="11"/>
      <color theme="0"/>
      <name val="Calibri"/>
      <family val="2"/>
      <scheme val="minor"/>
    </font>
    <font>
      <sz val="14"/>
      <color theme="0"/>
      <name val="Calibri"/>
      <family val="2"/>
      <scheme val="minor"/>
    </font>
    <font>
      <b/>
      <sz val="11"/>
      <color theme="1"/>
      <name val="Calibri"/>
      <family val="2"/>
      <scheme val="minor"/>
    </font>
    <font>
      <i/>
      <sz val="10"/>
      <color theme="1"/>
      <name val="Calibri"/>
      <family val="2"/>
      <scheme val="minor"/>
    </font>
    <font>
      <u/>
      <sz val="11"/>
      <color theme="1"/>
      <name val="Calibri"/>
      <family val="2"/>
      <scheme val="minor"/>
    </font>
    <font>
      <sz val="11"/>
      <color theme="1"/>
      <name val="Calibri"/>
      <family val="2"/>
      <scheme val="minor"/>
    </font>
    <font>
      <b/>
      <sz val="14"/>
      <color theme="9" tint="-0.249977111117893"/>
      <name val="Calibri"/>
      <family val="2"/>
      <scheme val="minor"/>
    </font>
    <font>
      <b/>
      <sz val="13"/>
      <color theme="9" tint="-0.249977111117893"/>
      <name val="Calibri"/>
      <family val="2"/>
      <scheme val="minor"/>
    </font>
    <font>
      <b/>
      <sz val="14"/>
      <color theme="1"/>
      <name val="Calibri"/>
      <family val="2"/>
      <scheme val="minor"/>
    </font>
    <font>
      <b/>
      <sz val="20"/>
      <color theme="8"/>
      <name val="Arial Black"/>
      <family val="2"/>
    </font>
    <font>
      <sz val="11"/>
      <color theme="1"/>
      <name val="Calibri"/>
      <family val="2"/>
    </font>
    <font>
      <b/>
      <sz val="11"/>
      <color rgb="FF000000"/>
      <name val="Calibri"/>
      <family val="2"/>
    </font>
    <font>
      <sz val="11"/>
      <color rgb="FF4472C4"/>
      <name val="Calibri"/>
      <family val="2"/>
    </font>
    <font>
      <sz val="11"/>
      <color rgb="FF548235"/>
      <name val="Calibri"/>
      <family val="2"/>
    </font>
    <font>
      <b/>
      <sz val="13"/>
      <color theme="1" tint="0.499984740745262"/>
      <name val="Calibri"/>
      <family val="2"/>
      <scheme val="minor"/>
    </font>
    <font>
      <b/>
      <sz val="16"/>
      <color theme="9" tint="-0.249977111117893"/>
      <name val="Calibri"/>
      <family val="2"/>
      <scheme val="minor"/>
    </font>
    <font>
      <b/>
      <sz val="16"/>
      <color rgb="FFC00000"/>
      <name val="Calibri"/>
      <family val="2"/>
      <scheme val="minor"/>
    </font>
    <font>
      <b/>
      <sz val="12"/>
      <color theme="1"/>
      <name val="Calibri"/>
      <family val="2"/>
      <scheme val="minor"/>
    </font>
    <font>
      <b/>
      <sz val="14"/>
      <color theme="0"/>
      <name val="Calibri"/>
      <family val="2"/>
      <scheme val="minor"/>
    </font>
    <font>
      <b/>
      <sz val="12"/>
      <color theme="0"/>
      <name val="Calibri"/>
      <family val="2"/>
      <scheme val="minor"/>
    </font>
    <font>
      <b/>
      <sz val="12"/>
      <color theme="1" tint="0.499984740745262"/>
      <name val="Calibri"/>
      <family val="2"/>
      <scheme val="minor"/>
    </font>
    <font>
      <b/>
      <sz val="11"/>
      <color theme="1" tint="0.499984740745262"/>
      <name val="Calibri"/>
      <family val="2"/>
      <scheme val="minor"/>
    </font>
    <font>
      <u/>
      <sz val="11"/>
      <color theme="10"/>
      <name val="Calibri"/>
      <family val="2"/>
      <scheme val="minor"/>
    </font>
    <font>
      <b/>
      <sz val="11"/>
      <color theme="1" tint="0.249977111117893"/>
      <name val="Calibri"/>
      <family val="2"/>
      <scheme val="minor"/>
    </font>
  </fonts>
  <fills count="15">
    <fill>
      <patternFill patternType="none"/>
    </fill>
    <fill>
      <patternFill patternType="gray125"/>
    </fill>
    <fill>
      <patternFill patternType="solid">
        <fgColor theme="2" tint="-0.499984740745262"/>
        <bgColor indexed="64"/>
      </patternFill>
    </fill>
    <fill>
      <patternFill patternType="solid">
        <fgColor theme="1" tint="0.249977111117893"/>
        <bgColor indexed="64"/>
      </patternFill>
    </fill>
    <fill>
      <patternFill patternType="solid">
        <fgColor theme="2" tint="-0.749992370372631"/>
        <bgColor indexed="64"/>
      </patternFill>
    </fill>
    <fill>
      <patternFill patternType="solid">
        <fgColor theme="1" tint="4.9989318521683403E-2"/>
        <bgColor indexed="64"/>
      </patternFill>
    </fill>
    <fill>
      <patternFill patternType="solid">
        <fgColor theme="1"/>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theme="2"/>
        <bgColor indexed="64"/>
      </patternFill>
    </fill>
    <fill>
      <patternFill patternType="solid">
        <fgColor theme="7" tint="0.39997558519241921"/>
        <bgColor indexed="64"/>
      </patternFill>
    </fill>
    <fill>
      <patternFill patternType="solid">
        <fgColor rgb="FFFFFBEF"/>
        <bgColor indexed="64"/>
      </patternFill>
    </fill>
    <fill>
      <patternFill patternType="solid">
        <fgColor theme="1" tint="0.499984740745262"/>
        <bgColor indexed="64"/>
      </patternFill>
    </fill>
  </fills>
  <borders count="46">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right/>
      <top style="dotted">
        <color theme="6" tint="0.39994506668294322"/>
      </top>
      <bottom/>
      <diagonal/>
    </border>
    <border>
      <left/>
      <right/>
      <top/>
      <bottom style="dotted">
        <color theme="6" tint="0.39994506668294322"/>
      </bottom>
      <diagonal/>
    </border>
    <border>
      <left/>
      <right/>
      <top style="thin">
        <color rgb="FFA6A6A6"/>
      </top>
      <bottom style="thin">
        <color rgb="FFA6A6A6"/>
      </bottom>
      <diagonal/>
    </border>
    <border>
      <left/>
      <right/>
      <top style="thin">
        <color rgb="FFA6A6A6"/>
      </top>
      <bottom/>
      <diagonal/>
    </border>
    <border>
      <left/>
      <right/>
      <top/>
      <bottom style="thin">
        <color rgb="FFA6A6A6"/>
      </bottom>
      <diagonal/>
    </border>
    <border>
      <left/>
      <right/>
      <top style="thin">
        <color rgb="FFA6A6A6"/>
      </top>
      <bottom style="thin">
        <color indexed="64"/>
      </bottom>
      <diagonal/>
    </border>
    <border>
      <left/>
      <right/>
      <top/>
      <bottom style="medium">
        <color theme="1" tint="0.34998626667073579"/>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right/>
      <top style="thin">
        <color auto="1"/>
      </top>
      <bottom style="thin">
        <color theme="0"/>
      </bottom>
      <diagonal/>
    </border>
    <border>
      <left/>
      <right/>
      <top style="thin">
        <color theme="0"/>
      </top>
      <bottom style="thin">
        <color theme="0"/>
      </bottom>
      <diagonal/>
    </border>
    <border>
      <left/>
      <right/>
      <top style="thin">
        <color theme="0"/>
      </top>
      <bottom/>
      <diagonal/>
    </border>
    <border>
      <left/>
      <right/>
      <top/>
      <bottom style="medium">
        <color auto="1"/>
      </bottom>
      <diagonal/>
    </border>
    <border>
      <left/>
      <right style="medium">
        <color theme="1" tint="0.34998626667073579"/>
      </right>
      <top/>
      <bottom/>
      <diagonal/>
    </border>
    <border>
      <left/>
      <right/>
      <top style="medium">
        <color auto="1"/>
      </top>
      <bottom style="medium">
        <color theme="0"/>
      </bottom>
      <diagonal/>
    </border>
    <border>
      <left/>
      <right/>
      <top style="medium">
        <color theme="0"/>
      </top>
      <bottom style="medium">
        <color theme="0"/>
      </bottom>
      <diagonal/>
    </border>
    <border>
      <left/>
      <right/>
      <top style="medium">
        <color theme="0"/>
      </top>
      <bottom style="thin">
        <color theme="0"/>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theme="1" tint="0.24994659260841701"/>
      </left>
      <right style="medium">
        <color theme="1" tint="0.24994659260841701"/>
      </right>
      <top style="medium">
        <color theme="1" tint="0.24994659260841701"/>
      </top>
      <bottom/>
      <diagonal/>
    </border>
    <border>
      <left style="medium">
        <color theme="1" tint="0.24994659260841701"/>
      </left>
      <right style="medium">
        <color theme="1" tint="0.24994659260841701"/>
      </right>
      <top/>
      <bottom/>
      <diagonal/>
    </border>
    <border>
      <left style="medium">
        <color theme="1" tint="0.24994659260841701"/>
      </left>
      <right style="medium">
        <color theme="1" tint="0.24994659260841701"/>
      </right>
      <top/>
      <bottom style="medium">
        <color theme="1" tint="0.24994659260841701"/>
      </bottom>
      <diagonal/>
    </border>
    <border>
      <left/>
      <right/>
      <top/>
      <bottom style="medium">
        <color theme="1" tint="0.24994659260841701"/>
      </bottom>
      <diagonal/>
    </border>
    <border>
      <left style="medium">
        <color theme="1" tint="0.24994659260841701"/>
      </left>
      <right/>
      <top/>
      <bottom/>
      <diagonal/>
    </border>
    <border>
      <left style="medium">
        <color theme="1" tint="0.24994659260841701"/>
      </left>
      <right/>
      <top/>
      <bottom style="medium">
        <color auto="1"/>
      </bottom>
      <diagonal/>
    </border>
    <border>
      <left style="medium">
        <color theme="1" tint="0.34998626667073579"/>
      </left>
      <right style="medium">
        <color theme="1" tint="0.34998626667073579"/>
      </right>
      <top style="medium">
        <color auto="1"/>
      </top>
      <bottom/>
      <diagonal/>
    </border>
    <border>
      <left style="medium">
        <color theme="1" tint="0.34998626667073579"/>
      </left>
      <right style="medium">
        <color theme="1" tint="0.34998626667073579"/>
      </right>
      <top/>
      <bottom/>
      <diagonal/>
    </border>
    <border>
      <left style="medium">
        <color theme="1" tint="0.34998626667073579"/>
      </left>
      <right style="medium">
        <color theme="1" tint="0.34998626667073579"/>
      </right>
      <top/>
      <bottom style="medium">
        <color theme="1" tint="0.34998626667073579"/>
      </bottom>
      <diagonal/>
    </border>
    <border>
      <left style="medium">
        <color theme="1" tint="0.34998626667073579"/>
      </left>
      <right/>
      <top/>
      <bottom style="medium">
        <color theme="1" tint="0.34998626667073579"/>
      </bottom>
      <diagonal/>
    </border>
    <border>
      <left style="medium">
        <color theme="1" tint="0.34998626667073579"/>
      </left>
      <right/>
      <top/>
      <bottom/>
      <diagonal/>
    </border>
    <border>
      <left style="medium">
        <color theme="1" tint="0.34998626667073579"/>
      </left>
      <right style="medium">
        <color theme="1" tint="0.34998626667073579"/>
      </right>
      <top style="medium">
        <color theme="1" tint="0.34998626667073579"/>
      </top>
      <bottom/>
      <diagonal/>
    </border>
    <border>
      <left style="medium">
        <color theme="1" tint="0.34998626667073579"/>
      </left>
      <right/>
      <top/>
      <bottom style="medium">
        <color auto="1"/>
      </bottom>
      <diagonal/>
    </border>
    <border>
      <left/>
      <right style="medium">
        <color theme="1" tint="0.34998626667073579"/>
      </right>
      <top/>
      <bottom style="medium">
        <color theme="1" tint="0.24994659260841701"/>
      </bottom>
      <diagonal/>
    </border>
    <border>
      <left style="medium">
        <color theme="1" tint="0.24994659260841701"/>
      </left>
      <right style="medium">
        <color theme="1" tint="0.24994659260841701"/>
      </right>
      <top style="medium">
        <color theme="1" tint="0.24994659260841701"/>
      </top>
      <bottom style="medium">
        <color theme="1" tint="0.24994659260841701"/>
      </bottom>
      <diagonal/>
    </border>
    <border>
      <left style="medium">
        <color theme="1" tint="0.34998626667073579"/>
      </left>
      <right/>
      <top style="medium">
        <color theme="1" tint="0.34998626667073579"/>
      </top>
      <bottom style="medium">
        <color theme="1" tint="0.34998626667073579"/>
      </bottom>
      <diagonal/>
    </border>
    <border>
      <left/>
      <right style="medium">
        <color theme="1" tint="0.34998626667073579"/>
      </right>
      <top style="medium">
        <color theme="1" tint="0.34998626667073579"/>
      </top>
      <bottom style="medium">
        <color theme="1" tint="0.34998626667073579"/>
      </bottom>
      <diagonal/>
    </border>
    <border>
      <left/>
      <right style="medium">
        <color auto="1"/>
      </right>
      <top/>
      <bottom/>
      <diagonal/>
    </border>
    <border>
      <left/>
      <right style="medium">
        <color auto="1"/>
      </right>
      <top/>
      <bottom style="medium">
        <color theme="1" tint="0.34998626667073579"/>
      </bottom>
      <diagonal/>
    </border>
  </borders>
  <cellStyleXfs count="3">
    <xf numFmtId="0" fontId="0" fillId="0" borderId="0"/>
    <xf numFmtId="43" fontId="8" fillId="0" borderId="0" applyFont="0" applyFill="0" applyBorder="0" applyAlignment="0" applyProtection="0"/>
    <xf numFmtId="0" fontId="25" fillId="0" borderId="0" applyNumberFormat="0" applyFill="0" applyBorder="0" applyAlignment="0" applyProtection="0"/>
  </cellStyleXfs>
  <cellXfs count="221">
    <xf numFmtId="0" fontId="0" fillId="0" borderId="0" xfId="0"/>
    <xf numFmtId="0" fontId="1" fillId="3" borderId="0" xfId="0" applyFont="1" applyFill="1" applyBorder="1"/>
    <xf numFmtId="0" fontId="3" fillId="3" borderId="0" xfId="0" applyFont="1" applyFill="1"/>
    <xf numFmtId="14" fontId="0" fillId="0" borderId="0" xfId="0" applyNumberFormat="1"/>
    <xf numFmtId="44" fontId="0" fillId="0" borderId="0" xfId="0" applyNumberFormat="1"/>
    <xf numFmtId="0" fontId="1" fillId="3" borderId="0" xfId="0" applyFont="1" applyFill="1"/>
    <xf numFmtId="0" fontId="3" fillId="5" borderId="0" xfId="0" applyFont="1" applyFill="1"/>
    <xf numFmtId="0" fontId="0" fillId="0" borderId="0" xfId="0" quotePrefix="1"/>
    <xf numFmtId="0" fontId="3" fillId="6" borderId="0" xfId="0" applyFont="1" applyFill="1"/>
    <xf numFmtId="0" fontId="0" fillId="0" borderId="0" xfId="0" applyNumberFormat="1"/>
    <xf numFmtId="0" fontId="0" fillId="0" borderId="0" xfId="0" pivotButton="1"/>
    <xf numFmtId="0" fontId="0" fillId="0" borderId="0" xfId="0" applyAlignment="1">
      <alignment horizontal="left"/>
    </xf>
    <xf numFmtId="0" fontId="0" fillId="7" borderId="0" xfId="0" applyFill="1"/>
    <xf numFmtId="0" fontId="0" fillId="7" borderId="0" xfId="0" applyNumberFormat="1" applyFill="1"/>
    <xf numFmtId="0" fontId="3" fillId="7" borderId="0" xfId="0" applyFont="1" applyFill="1"/>
    <xf numFmtId="0" fontId="3" fillId="4" borderId="0" xfId="0" applyNumberFormat="1" applyFont="1" applyFill="1"/>
    <xf numFmtId="0" fontId="1" fillId="4" borderId="0" xfId="0" applyNumberFormat="1" applyFont="1" applyFill="1"/>
    <xf numFmtId="0" fontId="1" fillId="4" borderId="0" xfId="0" applyNumberFormat="1" applyFont="1" applyFill="1" applyAlignment="1">
      <alignment horizontal="right"/>
    </xf>
    <xf numFmtId="0" fontId="1" fillId="4" borderId="0" xfId="0" applyNumberFormat="1" applyFont="1" applyFill="1" applyAlignment="1">
      <alignment horizontal="right" vertical="center"/>
    </xf>
    <xf numFmtId="0" fontId="0" fillId="0" borderId="0" xfId="0" applyAlignment="1">
      <alignment horizontal="left" indent="1"/>
    </xf>
    <xf numFmtId="0" fontId="5" fillId="0" borderId="1" xfId="0" applyFont="1" applyBorder="1" applyAlignment="1">
      <alignment vertical="center"/>
    </xf>
    <xf numFmtId="0" fontId="0" fillId="0" borderId="1" xfId="0" applyBorder="1" applyAlignment="1">
      <alignment vertical="center"/>
    </xf>
    <xf numFmtId="0" fontId="0" fillId="0" borderId="2" xfId="0" applyBorder="1" applyAlignment="1">
      <alignment horizontal="right" vertical="center"/>
    </xf>
    <xf numFmtId="164" fontId="0" fillId="0" borderId="1" xfId="0" applyNumberFormat="1" applyBorder="1" applyAlignment="1">
      <alignment horizontal="right" vertical="center"/>
    </xf>
    <xf numFmtId="1" fontId="0" fillId="0" borderId="1" xfId="0" applyNumberFormat="1" applyBorder="1" applyAlignment="1">
      <alignment horizontal="right" vertical="center"/>
    </xf>
    <xf numFmtId="165" fontId="0" fillId="0" borderId="1" xfId="0" applyNumberFormat="1" applyBorder="1" applyAlignment="1">
      <alignment vertical="center"/>
    </xf>
    <xf numFmtId="164" fontId="0" fillId="0" borderId="0" xfId="0" applyNumberFormat="1" applyBorder="1" applyAlignment="1">
      <alignment horizontal="right" vertical="center"/>
    </xf>
    <xf numFmtId="1" fontId="0" fillId="0" borderId="0" xfId="0" applyNumberFormat="1" applyBorder="1" applyAlignment="1">
      <alignment horizontal="right" vertical="center"/>
    </xf>
    <xf numFmtId="165" fontId="0" fillId="0" borderId="0" xfId="0" applyNumberFormat="1" applyBorder="1" applyAlignment="1">
      <alignment vertical="center"/>
    </xf>
    <xf numFmtId="1" fontId="0" fillId="0" borderId="3" xfId="0" applyNumberFormat="1" applyBorder="1" applyAlignment="1">
      <alignment horizontal="right" vertical="center"/>
    </xf>
    <xf numFmtId="165" fontId="0" fillId="0" borderId="3" xfId="0" applyNumberFormat="1" applyBorder="1" applyAlignment="1">
      <alignment vertical="center"/>
    </xf>
    <xf numFmtId="0" fontId="0" fillId="0" borderId="1" xfId="0" applyBorder="1" applyAlignment="1">
      <alignment horizontal="right" vertical="center"/>
    </xf>
    <xf numFmtId="0" fontId="0" fillId="0" borderId="0" xfId="0" applyFont="1" applyBorder="1" applyAlignment="1">
      <alignment vertical="center"/>
    </xf>
    <xf numFmtId="0" fontId="0" fillId="0" borderId="3" xfId="0" applyFont="1" applyBorder="1" applyAlignment="1">
      <alignment vertical="center"/>
    </xf>
    <xf numFmtId="165" fontId="0" fillId="0" borderId="3" xfId="0" applyNumberFormat="1" applyFont="1" applyBorder="1" applyAlignment="1">
      <alignment vertical="center"/>
    </xf>
    <xf numFmtId="0" fontId="5" fillId="0" borderId="1" xfId="0" applyFont="1" applyBorder="1" applyAlignment="1">
      <alignment horizontal="right" vertical="center"/>
    </xf>
    <xf numFmtId="0" fontId="5" fillId="0" borderId="0" xfId="0" applyFont="1" applyBorder="1" applyAlignment="1">
      <alignment vertical="center"/>
    </xf>
    <xf numFmtId="14" fontId="0" fillId="0" borderId="0" xfId="0" applyNumberFormat="1" applyBorder="1" applyAlignment="1">
      <alignment vertical="center"/>
    </xf>
    <xf numFmtId="0" fontId="5" fillId="0" borderId="3" xfId="0" applyFont="1" applyBorder="1" applyAlignment="1">
      <alignment vertical="center"/>
    </xf>
    <xf numFmtId="0" fontId="0" fillId="0" borderId="3" xfId="0" applyBorder="1" applyAlignment="1">
      <alignment vertical="center"/>
    </xf>
    <xf numFmtId="1" fontId="0" fillId="0" borderId="3" xfId="0" applyNumberFormat="1" applyBorder="1" applyAlignment="1">
      <alignment vertical="center"/>
    </xf>
    <xf numFmtId="164" fontId="6" fillId="0" borderId="0" xfId="0" applyNumberFormat="1" applyFont="1" applyBorder="1" applyAlignment="1">
      <alignment horizontal="left" vertical="center"/>
    </xf>
    <xf numFmtId="3" fontId="0" fillId="0" borderId="1" xfId="0" applyNumberFormat="1" applyBorder="1" applyAlignment="1">
      <alignment vertical="center"/>
    </xf>
    <xf numFmtId="0" fontId="0" fillId="0" borderId="0" xfId="0" applyBorder="1" applyAlignment="1">
      <alignment vertical="center"/>
    </xf>
    <xf numFmtId="3" fontId="0" fillId="0" borderId="0" xfId="0" applyNumberFormat="1" applyBorder="1" applyAlignment="1">
      <alignment vertical="center"/>
    </xf>
    <xf numFmtId="3" fontId="0" fillId="0" borderId="0" xfId="0" applyNumberFormat="1" applyFill="1" applyBorder="1" applyAlignment="1">
      <alignment vertical="center"/>
    </xf>
    <xf numFmtId="3" fontId="5" fillId="0" borderId="3" xfId="0" applyNumberFormat="1" applyFont="1" applyBorder="1" applyAlignment="1">
      <alignment vertical="center"/>
    </xf>
    <xf numFmtId="0" fontId="0" fillId="0" borderId="0" xfId="0" applyAlignment="1">
      <alignment vertical="center"/>
    </xf>
    <xf numFmtId="0" fontId="5" fillId="0" borderId="2" xfId="0" applyFont="1" applyBorder="1" applyAlignment="1">
      <alignment vertical="center"/>
    </xf>
    <xf numFmtId="0" fontId="0" fillId="0" borderId="2" xfId="0" applyBorder="1" applyAlignment="1">
      <alignment vertical="center"/>
    </xf>
    <xf numFmtId="0" fontId="5" fillId="0" borderId="2" xfId="0" applyFont="1" applyBorder="1" applyAlignment="1">
      <alignment horizontal="right" vertical="center"/>
    </xf>
    <xf numFmtId="0" fontId="0" fillId="0" borderId="0" xfId="0" applyFill="1" applyBorder="1" applyAlignment="1">
      <alignment vertical="center"/>
    </xf>
    <xf numFmtId="0" fontId="0" fillId="0" borderId="3" xfId="0" applyFill="1" applyBorder="1" applyAlignment="1">
      <alignment vertical="center"/>
    </xf>
    <xf numFmtId="1" fontId="0" fillId="0" borderId="1" xfId="0" applyNumberFormat="1" applyBorder="1" applyAlignment="1">
      <alignment horizontal="left" vertical="center"/>
    </xf>
    <xf numFmtId="1" fontId="0" fillId="0" borderId="1" xfId="0" applyNumberFormat="1" applyBorder="1" applyAlignment="1">
      <alignment vertical="center"/>
    </xf>
    <xf numFmtId="3" fontId="0" fillId="0" borderId="1" xfId="0" applyNumberFormat="1" applyBorder="1" applyAlignment="1">
      <alignment horizontal="left" vertical="center"/>
    </xf>
    <xf numFmtId="1" fontId="0" fillId="0" borderId="0" xfId="0" applyNumberFormat="1" applyBorder="1" applyAlignment="1">
      <alignment horizontal="left" vertical="center"/>
    </xf>
    <xf numFmtId="1" fontId="0" fillId="0" borderId="0" xfId="0" applyNumberFormat="1" applyBorder="1" applyAlignment="1">
      <alignment vertical="center"/>
    </xf>
    <xf numFmtId="3" fontId="0" fillId="0" borderId="0" xfId="0" applyNumberFormat="1" applyBorder="1" applyAlignment="1">
      <alignment horizontal="left" vertical="center"/>
    </xf>
    <xf numFmtId="1" fontId="0" fillId="0" borderId="3" xfId="0" applyNumberFormat="1" applyBorder="1" applyAlignment="1">
      <alignment horizontal="left" vertical="center"/>
    </xf>
    <xf numFmtId="3" fontId="0" fillId="0" borderId="3" xfId="0" applyNumberFormat="1" applyBorder="1" applyAlignment="1">
      <alignment horizontal="left" vertical="center"/>
    </xf>
    <xf numFmtId="3" fontId="0" fillId="0" borderId="0" xfId="0" applyNumberFormat="1" applyAlignment="1">
      <alignment vertical="center"/>
    </xf>
    <xf numFmtId="165" fontId="0" fillId="0" borderId="2" xfId="0" applyNumberFormat="1" applyBorder="1" applyAlignment="1">
      <alignment horizontal="left" vertical="center"/>
    </xf>
    <xf numFmtId="3" fontId="0" fillId="0" borderId="2" xfId="0" applyNumberFormat="1" applyBorder="1" applyAlignment="1">
      <alignment horizontal="left" vertical="center"/>
    </xf>
    <xf numFmtId="1" fontId="0" fillId="0" borderId="2" xfId="0" applyNumberFormat="1" applyBorder="1" applyAlignment="1">
      <alignment vertical="center"/>
    </xf>
    <xf numFmtId="14" fontId="7" fillId="0" borderId="1" xfId="0" applyNumberFormat="1" applyFont="1" applyBorder="1" applyAlignment="1">
      <alignment vertical="center"/>
    </xf>
    <xf numFmtId="14" fontId="0" fillId="7" borderId="0" xfId="0" applyNumberFormat="1" applyFill="1"/>
    <xf numFmtId="0" fontId="13" fillId="0" borderId="0" xfId="0" applyFont="1" applyFill="1" applyBorder="1" applyAlignment="1">
      <alignment vertical="center"/>
    </xf>
    <xf numFmtId="0" fontId="14" fillId="0" borderId="0" xfId="0" applyFont="1" applyFill="1" applyBorder="1" applyAlignment="1">
      <alignment vertical="center"/>
    </xf>
    <xf numFmtId="0" fontId="13" fillId="0" borderId="0" xfId="0" applyFont="1" applyFill="1" applyBorder="1" applyAlignment="1">
      <alignment horizontal="right" vertical="center"/>
    </xf>
    <xf numFmtId="0" fontId="14" fillId="11" borderId="0" xfId="0" applyFont="1" applyFill="1" applyBorder="1" applyAlignment="1">
      <alignment vertical="center"/>
    </xf>
    <xf numFmtId="0" fontId="13" fillId="12" borderId="0" xfId="0" applyFont="1" applyFill="1" applyBorder="1" applyAlignment="1">
      <alignment vertical="center"/>
    </xf>
    <xf numFmtId="0" fontId="13" fillId="0" borderId="6" xfId="0" applyFont="1" applyFill="1" applyBorder="1" applyAlignment="1">
      <alignment horizontal="right" vertical="center"/>
    </xf>
    <xf numFmtId="0" fontId="13" fillId="0" borderId="6" xfId="0" applyFont="1" applyFill="1" applyBorder="1" applyAlignment="1">
      <alignment horizontal="right" vertical="center" wrapText="1"/>
    </xf>
    <xf numFmtId="0" fontId="13" fillId="12" borderId="6" xfId="0" applyFont="1" applyFill="1" applyBorder="1" applyAlignment="1">
      <alignment horizontal="left" vertical="center"/>
    </xf>
    <xf numFmtId="0" fontId="13" fillId="0" borderId="7" xfId="0" applyFont="1" applyFill="1" applyBorder="1" applyAlignment="1">
      <alignment vertical="center"/>
    </xf>
    <xf numFmtId="43" fontId="13" fillId="11" borderId="7" xfId="1" applyFont="1" applyFill="1" applyBorder="1" applyAlignment="1">
      <alignment horizontal="right" vertical="center"/>
    </xf>
    <xf numFmtId="0" fontId="13" fillId="0" borderId="7" xfId="0" applyFont="1" applyFill="1" applyBorder="1" applyAlignment="1">
      <alignment horizontal="right" vertical="center"/>
    </xf>
    <xf numFmtId="43" fontId="13" fillId="11" borderId="0" xfId="1" applyFont="1" applyFill="1" applyBorder="1" applyAlignment="1">
      <alignment horizontal="right" vertical="center"/>
    </xf>
    <xf numFmtId="43" fontId="13" fillId="11" borderId="7" xfId="1" applyFont="1" applyFill="1" applyBorder="1" applyAlignment="1">
      <alignment vertical="center"/>
    </xf>
    <xf numFmtId="43" fontId="13" fillId="11" borderId="0" xfId="1" applyFont="1" applyFill="1" applyBorder="1" applyAlignment="1">
      <alignment vertical="center"/>
    </xf>
    <xf numFmtId="0" fontId="13" fillId="0" borderId="8" xfId="0" applyFont="1" applyFill="1" applyBorder="1" applyAlignment="1">
      <alignment vertical="center"/>
    </xf>
    <xf numFmtId="43" fontId="15" fillId="11" borderId="8" xfId="1" applyFont="1" applyFill="1" applyBorder="1" applyAlignment="1">
      <alignment vertical="center"/>
    </xf>
    <xf numFmtId="0" fontId="14" fillId="0" borderId="7" xfId="0" applyFont="1" applyFill="1" applyBorder="1" applyAlignment="1">
      <alignment vertical="center"/>
    </xf>
    <xf numFmtId="0" fontId="14" fillId="0" borderId="8" xfId="0" applyFont="1" applyFill="1" applyBorder="1" applyAlignment="1">
      <alignment vertical="center"/>
    </xf>
    <xf numFmtId="43" fontId="13" fillId="11" borderId="8" xfId="1" applyFont="1" applyFill="1" applyBorder="1" applyAlignment="1">
      <alignment vertical="center"/>
    </xf>
    <xf numFmtId="43" fontId="13" fillId="11" borderId="8" xfId="1" applyFont="1" applyFill="1" applyBorder="1" applyAlignment="1">
      <alignment horizontal="right" vertical="center"/>
    </xf>
    <xf numFmtId="0" fontId="13" fillId="0" borderId="8" xfId="0" applyFont="1" applyFill="1" applyBorder="1" applyAlignment="1">
      <alignment horizontal="right" vertical="center"/>
    </xf>
    <xf numFmtId="14" fontId="13" fillId="0" borderId="0" xfId="0" applyNumberFormat="1" applyFont="1" applyFill="1" applyBorder="1" applyAlignment="1">
      <alignment vertical="center"/>
    </xf>
    <xf numFmtId="0" fontId="13" fillId="11" borderId="6" xfId="0" applyFont="1" applyFill="1" applyBorder="1" applyAlignment="1">
      <alignment vertical="center"/>
    </xf>
    <xf numFmtId="43" fontId="13" fillId="11" borderId="6" xfId="1" applyFont="1" applyFill="1" applyBorder="1" applyAlignment="1">
      <alignment horizontal="right" vertical="center"/>
    </xf>
    <xf numFmtId="3" fontId="13" fillId="11" borderId="6" xfId="0" applyNumberFormat="1" applyFont="1" applyFill="1" applyBorder="1" applyAlignment="1">
      <alignment vertical="center"/>
    </xf>
    <xf numFmtId="1" fontId="13" fillId="0" borderId="0" xfId="0" applyNumberFormat="1" applyFont="1" applyFill="1" applyBorder="1" applyAlignment="1">
      <alignment vertical="center"/>
    </xf>
    <xf numFmtId="14" fontId="13" fillId="0" borderId="7" xfId="0" applyNumberFormat="1" applyFont="1" applyFill="1" applyBorder="1" applyAlignment="1">
      <alignment horizontal="right" vertical="center"/>
    </xf>
    <xf numFmtId="0" fontId="13" fillId="12" borderId="6" xfId="0" applyFont="1" applyFill="1" applyBorder="1" applyAlignment="1">
      <alignment horizontal="right" vertical="center" wrapText="1"/>
    </xf>
    <xf numFmtId="0" fontId="13" fillId="11" borderId="9" xfId="0" applyNumberFormat="1" applyFont="1" applyFill="1" applyBorder="1" applyAlignment="1">
      <alignment horizontal="right" vertical="center"/>
    </xf>
    <xf numFmtId="165" fontId="13" fillId="11" borderId="9" xfId="0" applyNumberFormat="1" applyFont="1" applyFill="1" applyBorder="1" applyAlignment="1">
      <alignment horizontal="right" vertical="center"/>
    </xf>
    <xf numFmtId="6" fontId="16" fillId="11" borderId="9" xfId="0" applyNumberFormat="1" applyFont="1" applyFill="1" applyBorder="1" applyAlignment="1">
      <alignment horizontal="right" vertical="center"/>
    </xf>
    <xf numFmtId="165" fontId="13" fillId="11" borderId="6" xfId="0" applyNumberFormat="1" applyFont="1" applyFill="1" applyBorder="1" applyAlignment="1">
      <alignment vertical="center"/>
    </xf>
    <xf numFmtId="14" fontId="13" fillId="12" borderId="0" xfId="0" applyNumberFormat="1" applyFont="1" applyFill="1" applyBorder="1" applyAlignment="1">
      <alignment vertical="center"/>
    </xf>
    <xf numFmtId="4" fontId="0" fillId="0" borderId="0" xfId="0" applyNumberFormat="1"/>
    <xf numFmtId="0" fontId="0" fillId="0" borderId="0" xfId="0" applyBorder="1"/>
    <xf numFmtId="0" fontId="0" fillId="0" borderId="0" xfId="0" applyAlignment="1">
      <alignment horizontal="center"/>
    </xf>
    <xf numFmtId="0" fontId="17" fillId="0" borderId="0" xfId="0" applyFont="1" applyAlignment="1">
      <alignment horizontal="center" vertical="center"/>
    </xf>
    <xf numFmtId="0" fontId="17" fillId="0" borderId="0" xfId="0" applyFont="1" applyAlignment="1">
      <alignment horizontal="center"/>
    </xf>
    <xf numFmtId="0" fontId="0" fillId="7" borderId="10" xfId="0" applyFill="1" applyBorder="1"/>
    <xf numFmtId="0" fontId="0" fillId="7" borderId="10" xfId="0" applyNumberFormat="1" applyFill="1" applyBorder="1"/>
    <xf numFmtId="0" fontId="11" fillId="0" borderId="0" xfId="0" applyFont="1" applyFill="1"/>
    <xf numFmtId="0" fontId="22" fillId="4" borderId="11" xfId="0" applyFont="1" applyFill="1" applyBorder="1"/>
    <xf numFmtId="0" fontId="22" fillId="4" borderId="12" xfId="0" applyFont="1" applyFill="1" applyBorder="1"/>
    <xf numFmtId="44" fontId="21" fillId="4" borderId="15" xfId="0" applyNumberFormat="1" applyFont="1" applyFill="1" applyBorder="1"/>
    <xf numFmtId="44" fontId="21" fillId="4" borderId="16" xfId="0" applyNumberFormat="1" applyFont="1" applyFill="1" applyBorder="1"/>
    <xf numFmtId="44" fontId="21" fillId="4" borderId="17" xfId="0" applyNumberFormat="1" applyFont="1" applyFill="1" applyBorder="1"/>
    <xf numFmtId="0" fontId="20" fillId="0" borderId="18" xfId="0" applyFont="1" applyBorder="1"/>
    <xf numFmtId="0" fontId="0" fillId="0" borderId="18" xfId="0" applyBorder="1"/>
    <xf numFmtId="0" fontId="0" fillId="11" borderId="18" xfId="0" applyFill="1" applyBorder="1"/>
    <xf numFmtId="0" fontId="1" fillId="3" borderId="0" xfId="0" applyFont="1" applyFill="1" applyBorder="1" applyAlignment="1">
      <alignment horizontal="center"/>
    </xf>
    <xf numFmtId="44" fontId="0" fillId="7" borderId="0" xfId="0" applyNumberFormat="1" applyFill="1"/>
    <xf numFmtId="10" fontId="0" fillId="0" borderId="0" xfId="0" applyNumberFormat="1"/>
    <xf numFmtId="14" fontId="22" fillId="4" borderId="12" xfId="0" applyNumberFormat="1" applyFont="1" applyFill="1" applyBorder="1"/>
    <xf numFmtId="0" fontId="0" fillId="2" borderId="19" xfId="0" applyFill="1" applyBorder="1"/>
    <xf numFmtId="44" fontId="21" fillId="4" borderId="20" xfId="0" applyNumberFormat="1" applyFont="1" applyFill="1" applyBorder="1"/>
    <xf numFmtId="44" fontId="21" fillId="4" borderId="21" xfId="0" applyNumberFormat="1" applyFont="1" applyFill="1" applyBorder="1"/>
    <xf numFmtId="44" fontId="21" fillId="4" borderId="22" xfId="0" applyNumberFormat="1" applyFont="1" applyFill="1" applyBorder="1"/>
    <xf numFmtId="0" fontId="22" fillId="4" borderId="12" xfId="0" applyFont="1" applyFill="1" applyBorder="1" applyAlignment="1">
      <alignment horizontal="right"/>
    </xf>
    <xf numFmtId="0" fontId="22" fillId="4" borderId="13" xfId="0" applyFont="1" applyFill="1" applyBorder="1" applyAlignment="1">
      <alignment horizontal="right"/>
    </xf>
    <xf numFmtId="14" fontId="22" fillId="4" borderId="13" xfId="0" applyNumberFormat="1" applyFont="1" applyFill="1" applyBorder="1"/>
    <xf numFmtId="14" fontId="22" fillId="4" borderId="13" xfId="0" applyNumberFormat="1" applyFont="1" applyFill="1" applyBorder="1" applyAlignment="1">
      <alignment horizontal="right"/>
    </xf>
    <xf numFmtId="0" fontId="22" fillId="4" borderId="11" xfId="0" applyFont="1" applyFill="1" applyBorder="1" applyAlignment="1">
      <alignment horizontal="center"/>
    </xf>
    <xf numFmtId="0" fontId="4" fillId="8" borderId="0" xfId="0" applyNumberFormat="1" applyFont="1" applyFill="1" applyAlignment="1">
      <alignment horizontal="center"/>
    </xf>
    <xf numFmtId="0" fontId="3" fillId="5" borderId="0" xfId="0" quotePrefix="1" applyFont="1" applyFill="1"/>
    <xf numFmtId="0" fontId="22" fillId="3" borderId="0" xfId="0" applyFont="1" applyFill="1"/>
    <xf numFmtId="0" fontId="0" fillId="10" borderId="0" xfId="0" applyFill="1"/>
    <xf numFmtId="0" fontId="0" fillId="10" borderId="0" xfId="0" applyNumberFormat="1" applyFill="1"/>
    <xf numFmtId="0" fontId="11" fillId="0" borderId="18" xfId="0" applyFont="1" applyBorder="1"/>
    <xf numFmtId="3" fontId="20" fillId="9" borderId="0" xfId="0" applyNumberFormat="1" applyFont="1" applyFill="1"/>
    <xf numFmtId="0" fontId="0" fillId="7" borderId="27" xfId="0" applyNumberFormat="1" applyFill="1" applyBorder="1"/>
    <xf numFmtId="0" fontId="0" fillId="7" borderId="28" xfId="0" applyNumberFormat="1" applyFill="1" applyBorder="1"/>
    <xf numFmtId="0" fontId="0" fillId="7" borderId="29" xfId="0" applyNumberFormat="1" applyFill="1" applyBorder="1"/>
    <xf numFmtId="0" fontId="4" fillId="3" borderId="23" xfId="0" applyNumberFormat="1" applyFont="1" applyFill="1" applyBorder="1"/>
    <xf numFmtId="14" fontId="4" fillId="3" borderId="24" xfId="0" applyNumberFormat="1" applyFont="1" applyFill="1" applyBorder="1" applyAlignment="1">
      <alignment horizontal="left"/>
    </xf>
    <xf numFmtId="0" fontId="4" fillId="3" borderId="25" xfId="0" applyNumberFormat="1" applyFont="1" applyFill="1" applyBorder="1"/>
    <xf numFmtId="14" fontId="4" fillId="3" borderId="26" xfId="0" applyNumberFormat="1" applyFont="1" applyFill="1" applyBorder="1"/>
    <xf numFmtId="0" fontId="0" fillId="13" borderId="0" xfId="0" applyFill="1"/>
    <xf numFmtId="0" fontId="0" fillId="3" borderId="0" xfId="0" applyFill="1"/>
    <xf numFmtId="0" fontId="0" fillId="13" borderId="30" xfId="0" applyFill="1" applyBorder="1"/>
    <xf numFmtId="0" fontId="0" fillId="3" borderId="30" xfId="0" applyFill="1" applyBorder="1"/>
    <xf numFmtId="0" fontId="21" fillId="3" borderId="0" xfId="0" applyFont="1" applyFill="1"/>
    <xf numFmtId="0" fontId="1" fillId="10" borderId="0" xfId="0" applyFont="1" applyFill="1"/>
    <xf numFmtId="0" fontId="22" fillId="10" borderId="0" xfId="0" applyNumberFormat="1" applyFont="1" applyFill="1"/>
    <xf numFmtId="0" fontId="22" fillId="10" borderId="0" xfId="0" applyFont="1" applyFill="1"/>
    <xf numFmtId="0" fontId="2" fillId="2" borderId="0" xfId="0" applyFont="1" applyFill="1" applyBorder="1" applyAlignment="1">
      <alignment vertical="center"/>
    </xf>
    <xf numFmtId="0" fontId="2" fillId="2" borderId="18" xfId="0" applyFont="1" applyFill="1" applyBorder="1" applyAlignment="1">
      <alignment vertical="center"/>
    </xf>
    <xf numFmtId="0" fontId="0" fillId="7" borderId="33" xfId="0" applyFill="1" applyBorder="1"/>
    <xf numFmtId="0" fontId="0" fillId="7" borderId="34" xfId="0" applyNumberFormat="1" applyFill="1" applyBorder="1"/>
    <xf numFmtId="0" fontId="0" fillId="7" borderId="35" xfId="0" applyFill="1" applyBorder="1"/>
    <xf numFmtId="0" fontId="0" fillId="7" borderId="34" xfId="0" applyFill="1" applyBorder="1"/>
    <xf numFmtId="0" fontId="0" fillId="7" borderId="0" xfId="0" applyFill="1" applyBorder="1"/>
    <xf numFmtId="0" fontId="0" fillId="7" borderId="0" xfId="0" applyFill="1" applyBorder="1" applyAlignment="1">
      <alignment horizontal="center"/>
    </xf>
    <xf numFmtId="0" fontId="0" fillId="7" borderId="36" xfId="0" applyFill="1" applyBorder="1"/>
    <xf numFmtId="44" fontId="0" fillId="7" borderId="10" xfId="0" applyNumberFormat="1" applyFill="1" applyBorder="1"/>
    <xf numFmtId="0" fontId="3" fillId="7" borderId="10" xfId="0" applyFont="1" applyFill="1" applyBorder="1"/>
    <xf numFmtId="0" fontId="0" fillId="0" borderId="10" xfId="0" applyBorder="1"/>
    <xf numFmtId="0" fontId="22" fillId="4" borderId="13" xfId="0" applyFont="1" applyFill="1" applyBorder="1"/>
    <xf numFmtId="0" fontId="0" fillId="0" borderId="0" xfId="0" applyFill="1" applyBorder="1"/>
    <xf numFmtId="0" fontId="0" fillId="7" borderId="38" xfId="0" applyFill="1" applyBorder="1"/>
    <xf numFmtId="0" fontId="0" fillId="7" borderId="0" xfId="0" applyNumberFormat="1" applyFill="1" applyBorder="1"/>
    <xf numFmtId="0" fontId="3" fillId="7" borderId="0" xfId="0" applyFont="1" applyFill="1" applyBorder="1"/>
    <xf numFmtId="0" fontId="0" fillId="7" borderId="35" xfId="0" applyNumberFormat="1" applyFill="1" applyBorder="1"/>
    <xf numFmtId="0" fontId="0" fillId="2" borderId="40" xfId="0" applyFill="1" applyBorder="1"/>
    <xf numFmtId="0" fontId="0" fillId="0" borderId="30" xfId="0" applyBorder="1"/>
    <xf numFmtId="16" fontId="0" fillId="0" borderId="0" xfId="0" applyNumberFormat="1"/>
    <xf numFmtId="44" fontId="20" fillId="7" borderId="0" xfId="0" applyNumberFormat="1" applyFont="1" applyFill="1" applyBorder="1"/>
    <xf numFmtId="44" fontId="20" fillId="7" borderId="10" xfId="0" applyNumberFormat="1" applyFont="1" applyFill="1" applyBorder="1"/>
    <xf numFmtId="0" fontId="0" fillId="14" borderId="0" xfId="0" applyFill="1"/>
    <xf numFmtId="0" fontId="0" fillId="0" borderId="27" xfId="0" applyNumberFormat="1" applyFill="1" applyBorder="1"/>
    <xf numFmtId="0" fontId="0" fillId="0" borderId="28" xfId="0" applyNumberFormat="1" applyFill="1" applyBorder="1"/>
    <xf numFmtId="0" fontId="0" fillId="0" borderId="29" xfId="0" applyNumberFormat="1" applyFill="1" applyBorder="1"/>
    <xf numFmtId="0" fontId="0" fillId="0" borderId="41" xfId="0" applyFill="1" applyBorder="1"/>
    <xf numFmtId="0" fontId="0" fillId="0" borderId="27" xfId="0" applyFill="1" applyBorder="1" applyAlignment="1">
      <alignment horizontal="left"/>
    </xf>
    <xf numFmtId="0" fontId="0" fillId="0" borderId="28" xfId="0" applyFill="1" applyBorder="1" applyAlignment="1">
      <alignment horizontal="left"/>
    </xf>
    <xf numFmtId="0" fontId="0" fillId="0" borderId="29" xfId="0" applyFill="1" applyBorder="1" applyAlignment="1">
      <alignment horizontal="left"/>
    </xf>
    <xf numFmtId="0" fontId="0" fillId="0" borderId="41" xfId="0" applyFill="1" applyBorder="1" applyAlignment="1">
      <alignment horizontal="left"/>
    </xf>
    <xf numFmtId="0" fontId="22" fillId="3" borderId="10" xfId="2" applyFont="1" applyFill="1" applyBorder="1"/>
    <xf numFmtId="0" fontId="22" fillId="3" borderId="0" xfId="0" applyFont="1" applyFill="1" applyBorder="1"/>
    <xf numFmtId="0" fontId="26" fillId="7" borderId="0" xfId="0" applyFont="1" applyFill="1" applyBorder="1"/>
    <xf numFmtId="0" fontId="26" fillId="7" borderId="10" xfId="0" applyFont="1" applyFill="1" applyBorder="1"/>
    <xf numFmtId="0" fontId="1" fillId="3" borderId="42" xfId="0" applyFont="1" applyFill="1" applyBorder="1"/>
    <xf numFmtId="14" fontId="1" fillId="3" borderId="43" xfId="0" applyNumberFormat="1" applyFont="1" applyFill="1" applyBorder="1"/>
    <xf numFmtId="0" fontId="2" fillId="2" borderId="0" xfId="0" applyFont="1" applyFill="1" applyBorder="1" applyAlignment="1">
      <alignment horizontal="left" vertical="center"/>
    </xf>
    <xf numFmtId="0" fontId="2" fillId="2" borderId="18" xfId="0" applyFont="1" applyFill="1" applyBorder="1" applyAlignment="1">
      <alignment horizontal="left" vertical="center"/>
    </xf>
    <xf numFmtId="0" fontId="2" fillId="14" borderId="31" xfId="0" applyFont="1" applyFill="1" applyBorder="1" applyAlignment="1">
      <alignment horizontal="left" vertical="center"/>
    </xf>
    <xf numFmtId="0" fontId="2" fillId="14" borderId="0" xfId="0" applyFont="1" applyFill="1" applyBorder="1" applyAlignment="1">
      <alignment horizontal="left" vertical="center"/>
    </xf>
    <xf numFmtId="0" fontId="2" fillId="14" borderId="32" xfId="0" applyFont="1" applyFill="1" applyBorder="1" applyAlignment="1">
      <alignment horizontal="left" vertical="center"/>
    </xf>
    <xf numFmtId="0" fontId="2" fillId="14" borderId="18" xfId="0" applyFont="1" applyFill="1" applyBorder="1" applyAlignment="1">
      <alignment horizontal="left" vertical="center"/>
    </xf>
    <xf numFmtId="0" fontId="24" fillId="0" borderId="4" xfId="0" applyFont="1" applyBorder="1" applyAlignment="1">
      <alignment horizontal="left" wrapText="1"/>
    </xf>
    <xf numFmtId="0" fontId="24" fillId="0" borderId="0" xfId="0" applyFont="1" applyBorder="1" applyAlignment="1">
      <alignment horizontal="left" wrapText="1"/>
    </xf>
    <xf numFmtId="0" fontId="24" fillId="0" borderId="4" xfId="0" applyFont="1" applyBorder="1" applyAlignment="1">
      <alignment horizontal="center" wrapText="1"/>
    </xf>
    <xf numFmtId="0" fontId="24" fillId="0" borderId="0" xfId="0" applyFont="1" applyBorder="1" applyAlignment="1">
      <alignment horizontal="center" wrapText="1"/>
    </xf>
    <xf numFmtId="0" fontId="24" fillId="0" borderId="4" xfId="0" applyFont="1" applyBorder="1" applyAlignment="1">
      <alignment horizontal="right" vertical="center" wrapText="1"/>
    </xf>
    <xf numFmtId="0" fontId="24" fillId="0" borderId="0" xfId="0" applyFont="1" applyBorder="1" applyAlignment="1">
      <alignment horizontal="right" vertical="center" wrapText="1"/>
    </xf>
    <xf numFmtId="165" fontId="9" fillId="0" borderId="0" xfId="0" applyNumberFormat="1" applyFont="1" applyBorder="1" applyAlignment="1">
      <alignment horizontal="left" vertical="center"/>
    </xf>
    <xf numFmtId="165" fontId="10" fillId="0" borderId="0" xfId="0" applyNumberFormat="1" applyFont="1" applyBorder="1" applyAlignment="1">
      <alignment horizontal="center" vertical="center"/>
    </xf>
    <xf numFmtId="3" fontId="10" fillId="0" borderId="0" xfId="0" applyNumberFormat="1" applyFont="1" applyBorder="1" applyAlignment="1">
      <alignment horizontal="right" vertical="center"/>
    </xf>
    <xf numFmtId="1" fontId="12" fillId="0" borderId="4" xfId="0" applyNumberFormat="1" applyFont="1" applyBorder="1" applyAlignment="1">
      <alignment horizontal="right" vertical="center"/>
    </xf>
    <xf numFmtId="1" fontId="12" fillId="0" borderId="5" xfId="0" applyNumberFormat="1" applyFont="1" applyBorder="1" applyAlignment="1">
      <alignment horizontal="right" vertical="center"/>
    </xf>
    <xf numFmtId="0" fontId="23" fillId="0" borderId="4" xfId="0" applyFont="1" applyBorder="1" applyAlignment="1">
      <alignment horizontal="left" vertical="center" wrapText="1"/>
    </xf>
    <xf numFmtId="0" fontId="23" fillId="0" borderId="5" xfId="0" applyFont="1" applyBorder="1" applyAlignment="1">
      <alignment horizontal="left" vertical="center" wrapText="1"/>
    </xf>
    <xf numFmtId="1" fontId="12" fillId="0" borderId="14" xfId="0" applyNumberFormat="1" applyFont="1" applyBorder="1" applyAlignment="1">
      <alignment horizontal="right" vertical="center"/>
    </xf>
    <xf numFmtId="0" fontId="23" fillId="0" borderId="14" xfId="0" applyFont="1" applyBorder="1" applyAlignment="1">
      <alignment horizontal="left" vertical="center"/>
    </xf>
    <xf numFmtId="0" fontId="23" fillId="0" borderId="5" xfId="0" applyFont="1" applyBorder="1" applyAlignment="1">
      <alignment horizontal="left" vertical="center"/>
    </xf>
    <xf numFmtId="0" fontId="2" fillId="2" borderId="37" xfId="0" applyFont="1" applyFill="1" applyBorder="1" applyAlignment="1">
      <alignment horizontal="left" vertical="center"/>
    </xf>
    <xf numFmtId="166" fontId="18" fillId="0" borderId="0" xfId="0" applyNumberFormat="1" applyFont="1" applyAlignment="1">
      <alignment horizontal="center" vertical="center"/>
    </xf>
    <xf numFmtId="166" fontId="19" fillId="0" borderId="0" xfId="0" applyNumberFormat="1" applyFont="1" applyAlignment="1">
      <alignment horizontal="center" vertical="center"/>
    </xf>
    <xf numFmtId="0" fontId="2" fillId="2" borderId="39" xfId="0" applyFont="1" applyFill="1" applyBorder="1" applyAlignment="1">
      <alignment horizontal="left" vertical="center"/>
    </xf>
    <xf numFmtId="0" fontId="0" fillId="7" borderId="44" xfId="0" applyFill="1" applyBorder="1"/>
    <xf numFmtId="0" fontId="1" fillId="3" borderId="44" xfId="0" applyFont="1" applyFill="1" applyBorder="1" applyAlignment="1">
      <alignment horizontal="center"/>
    </xf>
    <xf numFmtId="44" fontId="0" fillId="0" borderId="44" xfId="0" applyNumberFormat="1" applyBorder="1"/>
    <xf numFmtId="0" fontId="0" fillId="0" borderId="44" xfId="0" applyBorder="1"/>
    <xf numFmtId="0" fontId="1" fillId="3" borderId="44" xfId="0" applyFont="1" applyFill="1" applyBorder="1"/>
    <xf numFmtId="0" fontId="1" fillId="3" borderId="45" xfId="0" applyFont="1" applyFill="1" applyBorder="1"/>
  </cellXfs>
  <cellStyles count="3">
    <cellStyle name="Comma" xfId="1" builtinId="3"/>
    <cellStyle name="Hyperlink" xfId="2" builtinId="8"/>
    <cellStyle name="Normal" xfId="0" builtinId="0"/>
  </cellStyles>
  <dxfs count="88">
    <dxf>
      <font>
        <b/>
        <i val="0"/>
        <color rgb="FFFF0000"/>
      </font>
    </dxf>
    <dxf>
      <font>
        <b/>
        <i val="0"/>
        <color rgb="FFFF0000"/>
      </font>
    </dxf>
    <dxf>
      <font>
        <b/>
        <i val="0"/>
        <color theme="1"/>
      </font>
      <fill>
        <patternFill>
          <bgColor theme="7" tint="-0.499984740745262"/>
        </patternFill>
      </fill>
    </dxf>
    <dxf>
      <font>
        <b/>
        <i val="0"/>
        <color auto="1"/>
      </font>
      <fill>
        <patternFill>
          <bgColor theme="2" tint="-0.24994659260841701"/>
        </patternFill>
      </fill>
    </dxf>
    <dxf>
      <font>
        <b/>
        <i val="0"/>
        <color auto="1"/>
      </font>
      <fill>
        <patternFill>
          <bgColor theme="7" tint="0.39994506668294322"/>
        </patternFill>
      </fill>
    </dxf>
    <dxf>
      <font>
        <b/>
        <i val="0"/>
        <color auto="1"/>
      </font>
      <fill>
        <patternFill>
          <bgColor theme="8"/>
        </patternFill>
      </fill>
    </dxf>
    <dxf>
      <font>
        <b/>
        <i val="0"/>
        <color theme="0"/>
      </font>
      <fill>
        <patternFill>
          <bgColor theme="9" tint="-0.499984740745262"/>
        </patternFill>
      </fill>
    </dxf>
    <dxf>
      <font>
        <color rgb="FF9C0006"/>
      </font>
      <fill>
        <patternFill>
          <bgColor rgb="FFFFC7CE"/>
        </patternFill>
      </fill>
    </dxf>
    <dxf>
      <font>
        <color rgb="FF9C0006"/>
      </font>
      <fill>
        <patternFill>
          <bgColor rgb="FFFFC7CE"/>
        </patternFill>
      </fill>
    </dxf>
    <dxf>
      <numFmt numFmtId="34" formatCode="_-&quot;R$&quot;\ * #,##0.00_-;\-&quot;R$&quot;\ * #,##0.00_-;_-&quot;R$&quot;\ * &quot;-&quot;??_-;_-@_-"/>
      <alignment horizontal="center" vertical="bottom" textRotation="0" wrapText="0" indent="0" justifyLastLine="0" shrinkToFit="0" readingOrder="0"/>
      <border diagonalUp="0" diagonalDown="0">
        <left/>
        <right style="medium">
          <color auto="1"/>
        </right>
        <vertical/>
      </border>
    </dxf>
    <dxf>
      <numFmt numFmtId="0" formatCode="General"/>
    </dxf>
    <dxf>
      <numFmt numFmtId="0" formatCode="General"/>
    </dxf>
    <dxf>
      <numFmt numFmtId="0" formatCode="General"/>
    </dxf>
    <dxf>
      <numFmt numFmtId="34" formatCode="_-&quot;R$&quot;\ * #,##0.00_-;\-&quot;R$&quot;\ * #,##0.00_-;_-&quot;R$&quot;\ * &quot;-&quot;??_-;_-@_-"/>
    </dxf>
    <dxf>
      <numFmt numFmtId="34" formatCode="_-&quot;R$&quot;\ * #,##0.00_-;\-&quot;R$&quot;\ * #,##0.00_-;_-&quot;R$&quot;\ * &quot;-&quot;??_-;_-@_-"/>
    </dxf>
    <dxf>
      <numFmt numFmtId="34" formatCode="_-&quot;R$&quot;\ * #,##0.00_-;\-&quot;R$&quot;\ * #,##0.00_-;_-&quot;R$&quot;\ * &quot;-&quot;??_-;_-@_-"/>
      <alignment horizontal="center" vertical="bottom" textRotation="0" wrapText="0" indent="0" justifyLastLine="0" shrinkToFit="0" readingOrder="0"/>
    </dxf>
    <dxf>
      <numFmt numFmtId="19" formatCode="dd/mm/yyyy"/>
    </dxf>
    <dxf>
      <font>
        <b/>
        <i val="0"/>
        <strike val="0"/>
        <condense val="0"/>
        <extend val="0"/>
        <outline val="0"/>
        <shadow val="0"/>
        <u val="none"/>
        <vertAlign val="baseline"/>
        <sz val="11"/>
        <color theme="0"/>
        <name val="Calibri"/>
        <family val="2"/>
        <scheme val="minor"/>
      </font>
      <fill>
        <patternFill patternType="solid">
          <fgColor indexed="64"/>
          <bgColor theme="1" tint="0.249977111117893"/>
        </patternFill>
      </fill>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
      <numFmt numFmtId="34" formatCode="_-&quot;R$&quot;\ * #,##0.00_-;\-&quot;R$&quot;\ * #,##0.00_-;_-&quot;R$&quot;\ * &quot;-&quot;??_-;_-@_-"/>
    </dxf>
    <dxf>
      <border>
        <vertical style="medium">
          <color theme="1" tint="0.24994659260841701"/>
        </vertical>
      </border>
    </dxf>
    <dxf>
      <border>
        <vertical style="medium">
          <color theme="1" tint="0.24994659260841701"/>
        </vertical>
      </border>
    </dxf>
    <dxf>
      <border>
        <vertical style="medium">
          <color theme="1" tint="0.24994659260841701"/>
        </vertical>
      </border>
    </dxf>
    <dxf>
      <border>
        <vertical style="medium">
          <color theme="1" tint="0.24994659260841701"/>
        </vertical>
      </border>
    </dxf>
    <dxf>
      <border>
        <vertical style="medium">
          <color theme="1" tint="0.24994659260841701"/>
        </vertical>
      </border>
    </dxf>
    <dxf>
      <border>
        <vertical style="medium">
          <color theme="1" tint="0.24994659260841701"/>
        </vertical>
      </border>
    </dxf>
    <dxf>
      <border>
        <left style="medium">
          <color theme="1" tint="0.24994659260841701"/>
        </left>
        <right style="medium">
          <color theme="1" tint="0.24994659260841701"/>
        </right>
        <top style="medium">
          <color theme="1" tint="0.24994659260841701"/>
        </top>
        <bottom style="medium">
          <color theme="1" tint="0.24994659260841701"/>
        </bottom>
      </border>
    </dxf>
    <dxf>
      <border>
        <left style="medium">
          <color theme="1" tint="0.24994659260841701"/>
        </left>
        <right style="medium">
          <color theme="1" tint="0.24994659260841701"/>
        </right>
        <top style="medium">
          <color theme="1" tint="0.24994659260841701"/>
        </top>
        <bottom style="medium">
          <color theme="1" tint="0.24994659260841701"/>
        </bottom>
      </border>
    </dxf>
    <dxf>
      <border>
        <left style="medium">
          <color theme="1" tint="0.24994659260841701"/>
        </left>
        <right style="medium">
          <color theme="1" tint="0.24994659260841701"/>
        </right>
        <top style="medium">
          <color theme="1" tint="0.24994659260841701"/>
        </top>
        <bottom style="medium">
          <color theme="1" tint="0.24994659260841701"/>
        </bottom>
      </border>
    </dxf>
    <dxf>
      <border>
        <left style="medium">
          <color theme="1" tint="0.24994659260841701"/>
        </left>
        <right style="medium">
          <color theme="1" tint="0.24994659260841701"/>
        </right>
        <top style="medium">
          <color theme="1" tint="0.24994659260841701"/>
        </top>
        <bottom style="medium">
          <color theme="1" tint="0.24994659260841701"/>
        </bottom>
      </border>
    </dxf>
    <dxf>
      <border>
        <left style="medium">
          <color theme="1" tint="0.24994659260841701"/>
        </left>
        <right style="medium">
          <color theme="1" tint="0.24994659260841701"/>
        </right>
        <top style="medium">
          <color theme="1" tint="0.24994659260841701"/>
        </top>
        <bottom style="medium">
          <color theme="1" tint="0.24994659260841701"/>
        </bottom>
      </border>
    </dxf>
    <dxf>
      <border>
        <left style="medium">
          <color theme="1" tint="0.24994659260841701"/>
        </left>
        <right style="medium">
          <color theme="1" tint="0.24994659260841701"/>
        </right>
        <top style="medium">
          <color theme="1" tint="0.24994659260841701"/>
        </top>
        <bottom style="medium">
          <color theme="1" tint="0.2499465926084170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0" formatCode="General"/>
    </dxf>
    <dxf>
      <font>
        <b val="0"/>
        <i val="0"/>
        <strike val="0"/>
        <condense val="0"/>
        <extend val="0"/>
        <outline val="0"/>
        <shadow val="0"/>
        <u val="none"/>
        <vertAlign val="baseline"/>
        <sz val="11"/>
        <color theme="0"/>
        <name val="Calibri"/>
        <family val="2"/>
        <scheme val="minor"/>
      </font>
      <fill>
        <patternFill patternType="solid">
          <fgColor indexed="64"/>
          <bgColor theme="1" tint="4.9989318521683403E-2"/>
        </patternFill>
      </fill>
    </dxf>
    <dxf>
      <numFmt numFmtId="34" formatCode="_-&quot;R$&quot;\ * #,##0.00_-;\-&quot;R$&quot;\ * #,##0.00_-;_-&quot;R$&quot;\ * &quot;-&quot;??_-;_-@_-"/>
    </dxf>
    <dxf>
      <numFmt numFmtId="34" formatCode="_-&quot;R$&quot;\ * #,##0.00_-;\-&quot;R$&quot;\ * #,##0.00_-;_-&quot;R$&quot;\ * &quot;-&quot;??_-;_-@_-"/>
    </dxf>
    <dxf>
      <numFmt numFmtId="14" formatCode="0.00%"/>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34" formatCode="_-&quot;R$&quot;\ * #,##0.00_-;\-&quot;R$&quot;\ * #,##0.00_-;_-&quot;R$&quot;\ * &quot;-&quot;??_-;_-@_-"/>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0"/>
        <name val="Calibri"/>
        <family val="2"/>
        <scheme val="minor"/>
      </font>
      <fill>
        <patternFill patternType="solid">
          <fgColor indexed="64"/>
          <bgColor theme="1"/>
        </patternFill>
      </fill>
    </dxf>
  </dxfs>
  <tableStyles count="0" defaultTableStyle="TableStyleMedium2" defaultPivotStyle="PivotStyleLight16"/>
  <colors>
    <mruColors>
      <color rgb="FFFFFBEF"/>
      <color rgb="FFFFFFFF"/>
      <color rgb="FFFFF9E7"/>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07/relationships/slicerCache" Target="slicerCaches/slicerCache5.xml"/><Relationship Id="rId21" Type="http://schemas.openxmlformats.org/officeDocument/2006/relationships/worksheet" Target="worksheets/sheet21.xml"/><Relationship Id="rId34" Type="http://schemas.openxmlformats.org/officeDocument/2006/relationships/pivotCacheDefinition" Target="pivotCache/pivotCacheDefinition3.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1.xml"/><Relationship Id="rId37" Type="http://schemas.microsoft.com/office/2007/relationships/slicerCache" Target="slicerCaches/slicerCache3.xml"/><Relationship Id="rId40" Type="http://schemas.microsoft.com/office/2007/relationships/slicerCache" Target="slicerCaches/slicerCache6.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07/relationships/slicerCache" Target="slicerCaches/slicerCache1.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2.xml"/><Relationship Id="rId38" Type="http://schemas.microsoft.com/office/2007/relationships/slicerCache" Target="slicerCaches/slicerCache4.xml"/><Relationship Id="rId20" Type="http://schemas.openxmlformats.org/officeDocument/2006/relationships/worksheet" Target="worksheets/sheet20.xml"/><Relationship Id="rId41"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Copia.xlsx]PerfProdAnoAux!PivotTable2</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numFmt formatCode="&quot;R$&quot;\ #,##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PerfProdAnoAux!$D$7</c:f>
              <c:strCache>
                <c:ptCount val="1"/>
                <c:pt idx="0">
                  <c:v>Total</c:v>
                </c:pt>
              </c:strCache>
            </c:strRef>
          </c:tx>
          <c:spPr>
            <a:solidFill>
              <a:schemeClr val="accent1"/>
            </a:solidFill>
            <a:ln>
              <a:noFill/>
            </a:ln>
            <a:effectLst/>
          </c:spPr>
          <c:invertIfNegative val="0"/>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PerfProdAnoAux!$C$8:$C$10</c:f>
              <c:strCache>
                <c:ptCount val="2"/>
                <c:pt idx="0">
                  <c:v>2021</c:v>
                </c:pt>
                <c:pt idx="1">
                  <c:v>2022</c:v>
                </c:pt>
              </c:strCache>
            </c:strRef>
          </c:cat>
          <c:val>
            <c:numRef>
              <c:f>PerfProdAnoAux!$D$8:$D$10</c:f>
              <c:numCache>
                <c:formatCode>General</c:formatCode>
                <c:ptCount val="2"/>
                <c:pt idx="0">
                  <c:v>3000</c:v>
                </c:pt>
                <c:pt idx="1">
                  <c:v>108400</c:v>
                </c:pt>
              </c:numCache>
            </c:numRef>
          </c:val>
          <c:extLst>
            <c:ext xmlns:c16="http://schemas.microsoft.com/office/drawing/2014/chart" uri="{C3380CC4-5D6E-409C-BE32-E72D297353CC}">
              <c16:uniqueId val="{00000000-6906-42B1-8521-DBE1CF4A96DC}"/>
            </c:ext>
          </c:extLst>
        </c:ser>
        <c:dLbls>
          <c:dLblPos val="outEnd"/>
          <c:showLegendKey val="0"/>
          <c:showVal val="1"/>
          <c:showCatName val="0"/>
          <c:showSerName val="0"/>
          <c:showPercent val="0"/>
          <c:showBubbleSize val="0"/>
        </c:dLbls>
        <c:gapWidth val="219"/>
        <c:overlap val="-27"/>
        <c:axId val="109911040"/>
        <c:axId val="414178176"/>
      </c:barChart>
      <c:catAx>
        <c:axId val="10991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8176"/>
        <c:crosses val="autoZero"/>
        <c:auto val="1"/>
        <c:lblAlgn val="ctr"/>
        <c:lblOffset val="100"/>
        <c:noMultiLvlLbl val="0"/>
      </c:catAx>
      <c:valAx>
        <c:axId val="41417817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00_);_(&quot;R$&quot;* \(#,##0.00\);_(&quot;R$&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1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52-479C-991C-7676510221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52-479C-991C-7676510221F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152-479C-991C-7676510221F5}"/>
              </c:ext>
            </c:extLst>
          </c:dPt>
          <c:cat>
            <c:strRef>
              <c:f>ListaEstoque!$C$8:$C$10</c:f>
              <c:strCache>
                <c:ptCount val="2"/>
                <c:pt idx="0">
                  <c:v>Camera Intelbras</c:v>
                </c:pt>
                <c:pt idx="1">
                  <c:v>Caixa de Som</c:v>
                </c:pt>
              </c:strCache>
            </c:strRef>
          </c:cat>
          <c:val>
            <c:numRef>
              <c:f>ListaEstoque!$I$8:$I$10</c:f>
              <c:numCache>
                <c:formatCode>_("R$"* #,##0.00_);_("R$"* \(#,##0.00\);_("R$"* "-"??_);_(@_)</c:formatCode>
                <c:ptCount val="3"/>
                <c:pt idx="0">
                  <c:v>0</c:v>
                </c:pt>
                <c:pt idx="1">
                  <c:v>0</c:v>
                </c:pt>
              </c:numCache>
            </c:numRef>
          </c:val>
          <c:extLst>
            <c:ext xmlns:c16="http://schemas.microsoft.com/office/drawing/2014/chart" uri="{C3380CC4-5D6E-409C-BE32-E72D297353CC}">
              <c16:uniqueId val="{0000000C-E152-479C-991C-7676510221F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Copia.xlsx]LojaPerfAnualAux!PivotTable3</c:name>
    <c:fmtId val="7"/>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dLbl>
          <c:idx val="0"/>
          <c:numFmt formatCode="&quot;R$&quot;\ #,##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LojaPerfAnualAux!$D$7:$D$8</c:f>
              <c:strCache>
                <c:ptCount val="1"/>
                <c:pt idx="0">
                  <c:v>Compras</c:v>
                </c:pt>
              </c:strCache>
            </c:strRef>
          </c:tx>
          <c:spPr>
            <a:solidFill>
              <a:schemeClr val="accent1"/>
            </a:solidFill>
            <a:ln>
              <a:noFill/>
            </a:ln>
            <a:effectLst/>
          </c:spPr>
          <c:invertIfNegative val="0"/>
          <c:cat>
            <c:strRef>
              <c:f>LojaPerfAnualAux!$C$9:$C$13</c:f>
              <c:strCache>
                <c:ptCount val="4"/>
                <c:pt idx="0">
                  <c:v>2020</c:v>
                </c:pt>
                <c:pt idx="1">
                  <c:v>2021</c:v>
                </c:pt>
                <c:pt idx="2">
                  <c:v>2022</c:v>
                </c:pt>
                <c:pt idx="3">
                  <c:v>2023</c:v>
                </c:pt>
              </c:strCache>
            </c:strRef>
          </c:cat>
          <c:val>
            <c:numRef>
              <c:f>LojaPerfAnualAux!$D$9:$D$13</c:f>
              <c:numCache>
                <c:formatCode>_("R$"* #,##0.00_);_("R$"* \(#,##0.00\);_("R$"* "-"??_);_(@_)</c:formatCode>
                <c:ptCount val="4"/>
                <c:pt idx="0">
                  <c:v>-120</c:v>
                </c:pt>
                <c:pt idx="2">
                  <c:v>-22080</c:v>
                </c:pt>
              </c:numCache>
            </c:numRef>
          </c:val>
          <c:extLst>
            <c:ext xmlns:c16="http://schemas.microsoft.com/office/drawing/2014/chart" uri="{C3380CC4-5D6E-409C-BE32-E72D297353CC}">
              <c16:uniqueId val="{00000000-69CB-4296-9EE0-CE03C8297479}"/>
            </c:ext>
          </c:extLst>
        </c:ser>
        <c:ser>
          <c:idx val="1"/>
          <c:order val="1"/>
          <c:tx>
            <c:strRef>
              <c:f>LojaPerfAnualAux!$E$7:$E$8</c:f>
              <c:strCache>
                <c:ptCount val="1"/>
                <c:pt idx="0">
                  <c:v>Vendas</c:v>
                </c:pt>
              </c:strCache>
            </c:strRef>
          </c:tx>
          <c:spPr>
            <a:solidFill>
              <a:schemeClr val="accent2"/>
            </a:solidFill>
            <a:ln>
              <a:noFill/>
            </a:ln>
            <a:effectLst/>
          </c:spPr>
          <c:invertIfNegative val="0"/>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LojaPerfAnualAux!$C$9:$C$13</c:f>
              <c:strCache>
                <c:ptCount val="4"/>
                <c:pt idx="0">
                  <c:v>2020</c:v>
                </c:pt>
                <c:pt idx="1">
                  <c:v>2021</c:v>
                </c:pt>
                <c:pt idx="2">
                  <c:v>2022</c:v>
                </c:pt>
                <c:pt idx="3">
                  <c:v>2023</c:v>
                </c:pt>
              </c:strCache>
            </c:strRef>
          </c:cat>
          <c:val>
            <c:numRef>
              <c:f>LojaPerfAnualAux!$E$9:$E$13</c:f>
              <c:numCache>
                <c:formatCode>_("R$"* #,##0.00_);_("R$"* \(#,##0.00\);_("R$"* "-"??_);_(@_)</c:formatCode>
                <c:ptCount val="4"/>
                <c:pt idx="1">
                  <c:v>5000</c:v>
                </c:pt>
                <c:pt idx="2">
                  <c:v>2922050</c:v>
                </c:pt>
                <c:pt idx="3">
                  <c:v>3000</c:v>
                </c:pt>
              </c:numCache>
            </c:numRef>
          </c:val>
          <c:extLst>
            <c:ext xmlns:c16="http://schemas.microsoft.com/office/drawing/2014/chart" uri="{C3380CC4-5D6E-409C-BE32-E72D297353CC}">
              <c16:uniqueId val="{00000002-88D9-407F-A46E-35216BD07533}"/>
            </c:ext>
          </c:extLst>
        </c:ser>
        <c:dLbls>
          <c:showLegendKey val="0"/>
          <c:showVal val="0"/>
          <c:showCatName val="0"/>
          <c:showSerName val="0"/>
          <c:showPercent val="0"/>
          <c:showBubbleSize val="0"/>
        </c:dLbls>
        <c:gapWidth val="150"/>
        <c:axId val="840939936"/>
        <c:axId val="577319616"/>
      </c:barChart>
      <c:catAx>
        <c:axId val="84093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319616"/>
        <c:crosses val="autoZero"/>
        <c:auto val="1"/>
        <c:lblAlgn val="ctr"/>
        <c:lblOffset val="100"/>
        <c:noMultiLvlLbl val="0"/>
      </c:catAx>
      <c:valAx>
        <c:axId val="57731961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00_);_(&quot;R$&quot;* \(#,##0.0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3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RelatórioEstoqueAux!$F$12:$F$16</c:f>
              <c:strCache>
                <c:ptCount val="5"/>
                <c:pt idx="0">
                  <c:v>Camera Intelbras</c:v>
                </c:pt>
                <c:pt idx="1">
                  <c:v>Camera Intelbras</c:v>
                </c:pt>
                <c:pt idx="2">
                  <c:v>Camera Intelbras</c:v>
                </c:pt>
                <c:pt idx="3">
                  <c:v>Camera Intelbras</c:v>
                </c:pt>
                <c:pt idx="4">
                  <c:v>Camera Intelbras</c:v>
                </c:pt>
              </c:strCache>
            </c:strRef>
          </c:cat>
          <c:val>
            <c:numRef>
              <c:f>RelatórioEstoqueAux!$G$12:$G$16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6DD4-42D1-BEE9-D30103475CB7}"/>
            </c:ext>
          </c:extLst>
        </c:ser>
        <c:dLbls>
          <c:dLblPos val="ctr"/>
          <c:showLegendKey val="0"/>
          <c:showVal val="1"/>
          <c:showCatName val="0"/>
          <c:showSerName val="0"/>
          <c:showPercent val="0"/>
          <c:showBubbleSize val="0"/>
        </c:dLbls>
        <c:gapWidth val="182"/>
        <c:axId val="957095488"/>
        <c:axId val="895282896"/>
      </c:barChart>
      <c:catAx>
        <c:axId val="957095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282896"/>
        <c:crosses val="autoZero"/>
        <c:auto val="1"/>
        <c:lblAlgn val="ctr"/>
        <c:lblOffset val="100"/>
        <c:noMultiLvlLbl val="0"/>
      </c:catAx>
      <c:valAx>
        <c:axId val="8952828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5709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dLbl>
              <c:idx val="4"/>
              <c:layout>
                <c:manualLayout>
                  <c:x val="-0.23568480281831661"/>
                  <c:y val="0"/>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1935500379495859"/>
                      <c:h val="0.1570440251572327"/>
                    </c:manualLayout>
                  </c15:layout>
                </c:ext>
                <c:ext xmlns:c16="http://schemas.microsoft.com/office/drawing/2014/chart" uri="{C3380CC4-5D6E-409C-BE32-E72D297353CC}">
                  <c16:uniqueId val="{00000001-94CA-4B5E-A02B-0EAFDE28978C}"/>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RelatórioEstoqueAux!$K$12:$K$16</c:f>
              <c:strCache>
                <c:ptCount val="5"/>
                <c:pt idx="0">
                  <c:v>Camera Intelbras</c:v>
                </c:pt>
                <c:pt idx="1">
                  <c:v>Camera Intelbras</c:v>
                </c:pt>
                <c:pt idx="2">
                  <c:v>Camera Intelbras</c:v>
                </c:pt>
                <c:pt idx="3">
                  <c:v>Camera Intelbras</c:v>
                </c:pt>
                <c:pt idx="4">
                  <c:v>Camera Intelbras</c:v>
                </c:pt>
              </c:strCache>
            </c:strRef>
          </c:cat>
          <c:val>
            <c:numRef>
              <c:f>RelatórioEstoqueAux!$L$12:$L$16</c:f>
              <c:numCache>
                <c:formatCode>_("R$"* #,##0.00_);_("R$"* \(#,##0.00\);_("R$"* "-"??_);_(@_)</c:formatCode>
                <c:ptCount val="5"/>
                <c:pt idx="0">
                  <c:v>0</c:v>
                </c:pt>
                <c:pt idx="1">
                  <c:v>0</c:v>
                </c:pt>
                <c:pt idx="2">
                  <c:v>0</c:v>
                </c:pt>
                <c:pt idx="3">
                  <c:v>0</c:v>
                </c:pt>
                <c:pt idx="4">
                  <c:v>0</c:v>
                </c:pt>
              </c:numCache>
            </c:numRef>
          </c:val>
          <c:extLst>
            <c:ext xmlns:c16="http://schemas.microsoft.com/office/drawing/2014/chart" uri="{C3380CC4-5D6E-409C-BE32-E72D297353CC}">
              <c16:uniqueId val="{00000000-94CA-4B5E-A02B-0EAFDE28978C}"/>
            </c:ext>
          </c:extLst>
        </c:ser>
        <c:dLbls>
          <c:dLblPos val="ctr"/>
          <c:showLegendKey val="0"/>
          <c:showVal val="1"/>
          <c:showCatName val="0"/>
          <c:showSerName val="0"/>
          <c:showPercent val="0"/>
          <c:showBubbleSize val="0"/>
        </c:dLbls>
        <c:gapWidth val="182"/>
        <c:axId val="888273712"/>
        <c:axId val="895263760"/>
      </c:barChart>
      <c:catAx>
        <c:axId val="88827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263760"/>
        <c:crosses val="autoZero"/>
        <c:auto val="1"/>
        <c:lblAlgn val="ctr"/>
        <c:lblOffset val="100"/>
        <c:noMultiLvlLbl val="0"/>
      </c:catAx>
      <c:valAx>
        <c:axId val="895263760"/>
        <c:scaling>
          <c:orientation val="minMax"/>
        </c:scaling>
        <c:delete val="1"/>
        <c:axPos val="b"/>
        <c:majorGridlines>
          <c:spPr>
            <a:ln w="9525" cap="flat" cmpd="sng" algn="ctr">
              <a:solidFill>
                <a:schemeClr val="tx1">
                  <a:lumMod val="15000"/>
                  <a:lumOff val="85000"/>
                </a:schemeClr>
              </a:solidFill>
              <a:round/>
            </a:ln>
            <a:effectLst/>
          </c:spPr>
        </c:majorGridlines>
        <c:numFmt formatCode="_(&quot;R$&quot;* #,##0.00_);_(&quot;R$&quot;* \(#,##0.00\);_(&quot;R$&quot;* &quot;-&quot;??_);_(@_)" sourceLinked="1"/>
        <c:majorTickMark val="none"/>
        <c:minorTickMark val="none"/>
        <c:tickLblPos val="nextTo"/>
        <c:crossAx val="88827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Copia.xlsx]PerfProdAnoAux!PivotTable2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PerfProdAnoAux!$D$7</c:f>
              <c:strCache>
                <c:ptCount val="1"/>
                <c:pt idx="0">
                  <c:v>Total</c:v>
                </c:pt>
              </c:strCache>
            </c:strRef>
          </c:tx>
          <c:spPr>
            <a:solidFill>
              <a:schemeClr val="accent1"/>
            </a:solidFill>
            <a:ln>
              <a:noFill/>
            </a:ln>
            <a:effectLst/>
          </c:spPr>
          <c:invertIfNegative val="0"/>
          <c:cat>
            <c:strRef>
              <c:f>PerfProdAnoAux!$C$8:$C$10</c:f>
              <c:strCache>
                <c:ptCount val="2"/>
                <c:pt idx="0">
                  <c:v>2021</c:v>
                </c:pt>
                <c:pt idx="1">
                  <c:v>2022</c:v>
                </c:pt>
              </c:strCache>
            </c:strRef>
          </c:cat>
          <c:val>
            <c:numRef>
              <c:f>PerfProdAnoAux!$D$8:$D$10</c:f>
              <c:numCache>
                <c:formatCode>General</c:formatCode>
                <c:ptCount val="2"/>
                <c:pt idx="0">
                  <c:v>3000</c:v>
                </c:pt>
                <c:pt idx="1">
                  <c:v>108400</c:v>
                </c:pt>
              </c:numCache>
            </c:numRef>
          </c:val>
          <c:extLst>
            <c:ext xmlns:c16="http://schemas.microsoft.com/office/drawing/2014/chart" uri="{C3380CC4-5D6E-409C-BE32-E72D297353CC}">
              <c16:uniqueId val="{00000000-76D3-45E1-A1F8-649FD84035F2}"/>
            </c:ext>
          </c:extLst>
        </c:ser>
        <c:dLbls>
          <c:showLegendKey val="0"/>
          <c:showVal val="0"/>
          <c:showCatName val="0"/>
          <c:showSerName val="0"/>
          <c:showPercent val="0"/>
          <c:showBubbleSize val="0"/>
        </c:dLbls>
        <c:gapWidth val="219"/>
        <c:overlap val="-27"/>
        <c:axId val="109911040"/>
        <c:axId val="414178176"/>
      </c:barChart>
      <c:catAx>
        <c:axId val="10991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8176"/>
        <c:crosses val="autoZero"/>
        <c:auto val="1"/>
        <c:lblAlgn val="ctr"/>
        <c:lblOffset val="100"/>
        <c:noMultiLvlLbl val="0"/>
      </c:catAx>
      <c:valAx>
        <c:axId val="41417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1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FF2-4257-8210-FF08ED9F23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F2-4257-8210-FF08ED9F23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FF2-4257-8210-FF08ED9F23A2}"/>
              </c:ext>
            </c:extLst>
          </c:dPt>
          <c:cat>
            <c:strRef>
              <c:f>ListaEstoque!$C$8:$C$10</c:f>
              <c:strCache>
                <c:ptCount val="2"/>
                <c:pt idx="0">
                  <c:v>Camera Intelbras</c:v>
                </c:pt>
                <c:pt idx="1">
                  <c:v>Caixa de Som</c:v>
                </c:pt>
              </c:strCache>
            </c:strRef>
          </c:cat>
          <c:val>
            <c:numRef>
              <c:f>ListaEstoque!$I$8:$I$10</c:f>
              <c:numCache>
                <c:formatCode>_("R$"* #,##0.00_);_("R$"* \(#,##0.00\);_("R$"* "-"??_);_(@_)</c:formatCode>
                <c:ptCount val="3"/>
                <c:pt idx="0">
                  <c:v>0</c:v>
                </c:pt>
                <c:pt idx="1">
                  <c:v>0</c:v>
                </c:pt>
              </c:numCache>
            </c:numRef>
          </c:val>
          <c:extLst>
            <c:ext xmlns:c16="http://schemas.microsoft.com/office/drawing/2014/chart" uri="{C3380CC4-5D6E-409C-BE32-E72D297353CC}">
              <c16:uniqueId val="{0000000C-CFF2-4257-8210-FF08ED9F23A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Copia.xlsx]LojaPerfAnualAux!PivotTable3</c:name>
    <c:fmtId val="5"/>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LojaPerfAnualAux!$D$7:$D$8</c:f>
              <c:strCache>
                <c:ptCount val="1"/>
                <c:pt idx="0">
                  <c:v>Compras</c:v>
                </c:pt>
              </c:strCache>
            </c:strRef>
          </c:tx>
          <c:spPr>
            <a:solidFill>
              <a:schemeClr val="accent1"/>
            </a:solidFill>
            <a:ln>
              <a:noFill/>
            </a:ln>
            <a:effectLst/>
          </c:spPr>
          <c:invertIfNegative val="0"/>
          <c:cat>
            <c:strRef>
              <c:f>LojaPerfAnualAux!$C$9:$C$13</c:f>
              <c:strCache>
                <c:ptCount val="4"/>
                <c:pt idx="0">
                  <c:v>2020</c:v>
                </c:pt>
                <c:pt idx="1">
                  <c:v>2021</c:v>
                </c:pt>
                <c:pt idx="2">
                  <c:v>2022</c:v>
                </c:pt>
                <c:pt idx="3">
                  <c:v>2023</c:v>
                </c:pt>
              </c:strCache>
            </c:strRef>
          </c:cat>
          <c:val>
            <c:numRef>
              <c:f>LojaPerfAnualAux!$D$9:$D$13</c:f>
              <c:numCache>
                <c:formatCode>_("R$"* #,##0.00_);_("R$"* \(#,##0.00\);_("R$"* "-"??_);_(@_)</c:formatCode>
                <c:ptCount val="4"/>
                <c:pt idx="0">
                  <c:v>-120</c:v>
                </c:pt>
                <c:pt idx="2">
                  <c:v>-22080</c:v>
                </c:pt>
              </c:numCache>
            </c:numRef>
          </c:val>
          <c:extLst>
            <c:ext xmlns:c16="http://schemas.microsoft.com/office/drawing/2014/chart" uri="{C3380CC4-5D6E-409C-BE32-E72D297353CC}">
              <c16:uniqueId val="{00000000-7E12-4A1B-8C84-1036BA6A3FA6}"/>
            </c:ext>
          </c:extLst>
        </c:ser>
        <c:ser>
          <c:idx val="1"/>
          <c:order val="1"/>
          <c:tx>
            <c:strRef>
              <c:f>LojaPerfAnualAux!$E$7:$E$8</c:f>
              <c:strCache>
                <c:ptCount val="1"/>
                <c:pt idx="0">
                  <c:v>Vendas</c:v>
                </c:pt>
              </c:strCache>
            </c:strRef>
          </c:tx>
          <c:spPr>
            <a:solidFill>
              <a:schemeClr val="accent2"/>
            </a:solidFill>
            <a:ln>
              <a:noFill/>
            </a:ln>
            <a:effectLst/>
          </c:spPr>
          <c:invertIfNegative val="0"/>
          <c:cat>
            <c:strRef>
              <c:f>LojaPerfAnualAux!$C$9:$C$13</c:f>
              <c:strCache>
                <c:ptCount val="4"/>
                <c:pt idx="0">
                  <c:v>2020</c:v>
                </c:pt>
                <c:pt idx="1">
                  <c:v>2021</c:v>
                </c:pt>
                <c:pt idx="2">
                  <c:v>2022</c:v>
                </c:pt>
                <c:pt idx="3">
                  <c:v>2023</c:v>
                </c:pt>
              </c:strCache>
            </c:strRef>
          </c:cat>
          <c:val>
            <c:numRef>
              <c:f>LojaPerfAnualAux!$E$9:$E$13</c:f>
              <c:numCache>
                <c:formatCode>_("R$"* #,##0.00_);_("R$"* \(#,##0.00\);_("R$"* "-"??_);_(@_)</c:formatCode>
                <c:ptCount val="4"/>
                <c:pt idx="1">
                  <c:v>5000</c:v>
                </c:pt>
                <c:pt idx="2">
                  <c:v>2922050</c:v>
                </c:pt>
                <c:pt idx="3">
                  <c:v>3000</c:v>
                </c:pt>
              </c:numCache>
            </c:numRef>
          </c:val>
          <c:extLst>
            <c:ext xmlns:c16="http://schemas.microsoft.com/office/drawing/2014/chart" uri="{C3380CC4-5D6E-409C-BE32-E72D297353CC}">
              <c16:uniqueId val="{00000002-1773-4376-8BBD-DCF469E8C9EF}"/>
            </c:ext>
          </c:extLst>
        </c:ser>
        <c:dLbls>
          <c:showLegendKey val="0"/>
          <c:showVal val="0"/>
          <c:showCatName val="0"/>
          <c:showSerName val="0"/>
          <c:showPercent val="0"/>
          <c:showBubbleSize val="0"/>
        </c:dLbls>
        <c:gapWidth val="150"/>
        <c:axId val="840939936"/>
        <c:axId val="577319616"/>
      </c:barChart>
      <c:catAx>
        <c:axId val="84093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319616"/>
        <c:crosses val="autoZero"/>
        <c:auto val="1"/>
        <c:lblAlgn val="ctr"/>
        <c:lblOffset val="100"/>
        <c:noMultiLvlLbl val="0"/>
      </c:catAx>
      <c:valAx>
        <c:axId val="57731961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00_);_(&quot;R$&quot;* \(#,##0.0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3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Copia.xlsx]PerfProdAnoAux!PivotTable2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PerfProdAnoAux!$D$7</c:f>
              <c:strCache>
                <c:ptCount val="1"/>
                <c:pt idx="0">
                  <c:v>Total</c:v>
                </c:pt>
              </c:strCache>
            </c:strRef>
          </c:tx>
          <c:spPr>
            <a:solidFill>
              <a:schemeClr val="accent1"/>
            </a:solidFill>
            <a:ln>
              <a:noFill/>
            </a:ln>
            <a:effectLst/>
          </c:spPr>
          <c:invertIfNegative val="0"/>
          <c:cat>
            <c:strRef>
              <c:f>PerfProdAnoAux!$C$8:$C$10</c:f>
              <c:strCache>
                <c:ptCount val="2"/>
                <c:pt idx="0">
                  <c:v>2021</c:v>
                </c:pt>
                <c:pt idx="1">
                  <c:v>2022</c:v>
                </c:pt>
              </c:strCache>
            </c:strRef>
          </c:cat>
          <c:val>
            <c:numRef>
              <c:f>PerfProdAnoAux!$D$8:$D$10</c:f>
              <c:numCache>
                <c:formatCode>General</c:formatCode>
                <c:ptCount val="2"/>
                <c:pt idx="0">
                  <c:v>3000</c:v>
                </c:pt>
                <c:pt idx="1">
                  <c:v>108400</c:v>
                </c:pt>
              </c:numCache>
            </c:numRef>
          </c:val>
          <c:extLst>
            <c:ext xmlns:c16="http://schemas.microsoft.com/office/drawing/2014/chart" uri="{C3380CC4-5D6E-409C-BE32-E72D297353CC}">
              <c16:uniqueId val="{00000000-F159-4706-B2CA-7F24A6740DA2}"/>
            </c:ext>
          </c:extLst>
        </c:ser>
        <c:dLbls>
          <c:showLegendKey val="0"/>
          <c:showVal val="0"/>
          <c:showCatName val="0"/>
          <c:showSerName val="0"/>
          <c:showPercent val="0"/>
          <c:showBubbleSize val="0"/>
        </c:dLbls>
        <c:gapWidth val="219"/>
        <c:overlap val="-27"/>
        <c:axId val="109911040"/>
        <c:axId val="414178176"/>
      </c:barChart>
      <c:catAx>
        <c:axId val="10991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178176"/>
        <c:crosses val="autoZero"/>
        <c:auto val="1"/>
        <c:lblAlgn val="ctr"/>
        <c:lblOffset val="100"/>
        <c:noMultiLvlLbl val="0"/>
      </c:catAx>
      <c:valAx>
        <c:axId val="414178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1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Copia.xlsx]LojaPerfAnualAux!PivotTable3</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LojaPerfAnualAux!$D$7:$D$8</c:f>
              <c:strCache>
                <c:ptCount val="1"/>
                <c:pt idx="0">
                  <c:v>Compras</c:v>
                </c:pt>
              </c:strCache>
            </c:strRef>
          </c:tx>
          <c:spPr>
            <a:solidFill>
              <a:schemeClr val="accent1"/>
            </a:solidFill>
            <a:ln>
              <a:noFill/>
            </a:ln>
            <a:effectLst/>
          </c:spPr>
          <c:invertIfNegative val="0"/>
          <c:cat>
            <c:strRef>
              <c:f>LojaPerfAnualAux!$C$9:$C$13</c:f>
              <c:strCache>
                <c:ptCount val="4"/>
                <c:pt idx="0">
                  <c:v>2020</c:v>
                </c:pt>
                <c:pt idx="1">
                  <c:v>2021</c:v>
                </c:pt>
                <c:pt idx="2">
                  <c:v>2022</c:v>
                </c:pt>
                <c:pt idx="3">
                  <c:v>2023</c:v>
                </c:pt>
              </c:strCache>
            </c:strRef>
          </c:cat>
          <c:val>
            <c:numRef>
              <c:f>LojaPerfAnualAux!$D$9:$D$13</c:f>
              <c:numCache>
                <c:formatCode>_("R$"* #,##0.00_);_("R$"* \(#,##0.00\);_("R$"* "-"??_);_(@_)</c:formatCode>
                <c:ptCount val="4"/>
                <c:pt idx="0">
                  <c:v>-120</c:v>
                </c:pt>
                <c:pt idx="2">
                  <c:v>-22080</c:v>
                </c:pt>
              </c:numCache>
            </c:numRef>
          </c:val>
          <c:extLst>
            <c:ext xmlns:c16="http://schemas.microsoft.com/office/drawing/2014/chart" uri="{C3380CC4-5D6E-409C-BE32-E72D297353CC}">
              <c16:uniqueId val="{00000000-E0BE-42F9-B8D8-09258F6665ED}"/>
            </c:ext>
          </c:extLst>
        </c:ser>
        <c:ser>
          <c:idx val="1"/>
          <c:order val="1"/>
          <c:tx>
            <c:strRef>
              <c:f>LojaPerfAnualAux!$E$7:$E$8</c:f>
              <c:strCache>
                <c:ptCount val="1"/>
                <c:pt idx="0">
                  <c:v>Vendas</c:v>
                </c:pt>
              </c:strCache>
            </c:strRef>
          </c:tx>
          <c:spPr>
            <a:solidFill>
              <a:schemeClr val="accent2"/>
            </a:solidFill>
            <a:ln>
              <a:noFill/>
            </a:ln>
            <a:effectLst/>
          </c:spPr>
          <c:invertIfNegative val="0"/>
          <c:cat>
            <c:strRef>
              <c:f>LojaPerfAnualAux!$C$9:$C$13</c:f>
              <c:strCache>
                <c:ptCount val="4"/>
                <c:pt idx="0">
                  <c:v>2020</c:v>
                </c:pt>
                <c:pt idx="1">
                  <c:v>2021</c:v>
                </c:pt>
                <c:pt idx="2">
                  <c:v>2022</c:v>
                </c:pt>
                <c:pt idx="3">
                  <c:v>2023</c:v>
                </c:pt>
              </c:strCache>
            </c:strRef>
          </c:cat>
          <c:val>
            <c:numRef>
              <c:f>LojaPerfAnualAux!$E$9:$E$13</c:f>
              <c:numCache>
                <c:formatCode>_("R$"* #,##0.00_);_("R$"* \(#,##0.00\);_("R$"* "-"??_);_(@_)</c:formatCode>
                <c:ptCount val="4"/>
                <c:pt idx="1">
                  <c:v>5000</c:v>
                </c:pt>
                <c:pt idx="2">
                  <c:v>2922050</c:v>
                </c:pt>
                <c:pt idx="3">
                  <c:v>3000</c:v>
                </c:pt>
              </c:numCache>
            </c:numRef>
          </c:val>
          <c:extLst>
            <c:ext xmlns:c16="http://schemas.microsoft.com/office/drawing/2014/chart" uri="{C3380CC4-5D6E-409C-BE32-E72D297353CC}">
              <c16:uniqueId val="{00000002-69E4-447D-B154-AD8F349ED064}"/>
            </c:ext>
          </c:extLst>
        </c:ser>
        <c:dLbls>
          <c:showLegendKey val="0"/>
          <c:showVal val="0"/>
          <c:showCatName val="0"/>
          <c:showSerName val="0"/>
          <c:showPercent val="0"/>
          <c:showBubbleSize val="0"/>
        </c:dLbls>
        <c:gapWidth val="219"/>
        <c:axId val="840939936"/>
        <c:axId val="577319616"/>
      </c:barChart>
      <c:catAx>
        <c:axId val="84093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319616"/>
        <c:crosses val="autoZero"/>
        <c:auto val="1"/>
        <c:lblAlgn val="ctr"/>
        <c:lblOffset val="100"/>
        <c:noMultiLvlLbl val="0"/>
      </c:catAx>
      <c:valAx>
        <c:axId val="57731961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00_);_(&quot;R$&quot;* \(#,##0.0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3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PerfilClienteAux!$G$11</c:f>
              <c:strCache>
                <c:ptCount val="1"/>
                <c:pt idx="0">
                  <c:v>Compra</c:v>
                </c:pt>
              </c:strCache>
            </c:strRef>
          </c:tx>
          <c:spPr>
            <a:solidFill>
              <a:schemeClr val="accent1"/>
            </a:solidFill>
            <a:ln>
              <a:noFill/>
            </a:ln>
            <a:effectLst/>
          </c:spPr>
          <c:invertIfNegative val="0"/>
          <c:cat>
            <c:numRef>
              <c:f>PerfilClienteAux!$D$12:$D$23</c:f>
              <c:numCache>
                <c:formatCode>mmm/yyyy</c:formatCode>
                <c:ptCount val="12"/>
                <c:pt idx="0">
                  <c:v>44688</c:v>
                </c:pt>
                <c:pt idx="1">
                  <c:v>44658</c:v>
                </c:pt>
                <c:pt idx="2">
                  <c:v>44628</c:v>
                </c:pt>
                <c:pt idx="3">
                  <c:v>44598</c:v>
                </c:pt>
                <c:pt idx="4">
                  <c:v>44568</c:v>
                </c:pt>
                <c:pt idx="5">
                  <c:v>44538</c:v>
                </c:pt>
                <c:pt idx="6">
                  <c:v>44508</c:v>
                </c:pt>
                <c:pt idx="7">
                  <c:v>44478</c:v>
                </c:pt>
                <c:pt idx="8">
                  <c:v>44448</c:v>
                </c:pt>
                <c:pt idx="9">
                  <c:v>44418</c:v>
                </c:pt>
                <c:pt idx="10">
                  <c:v>44388</c:v>
                </c:pt>
                <c:pt idx="11">
                  <c:v>44358</c:v>
                </c:pt>
              </c:numCache>
            </c:numRef>
          </c:cat>
          <c:val>
            <c:numRef>
              <c:f>PerfilClienteAux!$G$12:$G$23</c:f>
              <c:numCache>
                <c:formatCode>"R$"\ #,##0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41FC-4173-891D-FBAB00F1226F}"/>
            </c:ext>
          </c:extLst>
        </c:ser>
        <c:dLbls>
          <c:showLegendKey val="0"/>
          <c:showVal val="0"/>
          <c:showCatName val="0"/>
          <c:showSerName val="0"/>
          <c:showPercent val="0"/>
          <c:showBubbleSize val="0"/>
        </c:dLbls>
        <c:gapWidth val="219"/>
        <c:overlap val="-27"/>
        <c:axId val="292860368"/>
        <c:axId val="700387152"/>
      </c:barChart>
      <c:dateAx>
        <c:axId val="292860368"/>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387152"/>
        <c:crosses val="autoZero"/>
        <c:auto val="1"/>
        <c:lblOffset val="100"/>
        <c:baseTimeUnit val="months"/>
      </c:dateAx>
      <c:valAx>
        <c:axId val="700387152"/>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86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553237339171058"/>
          <c:y val="0.17820316769683964"/>
          <c:w val="0.78311329833770782"/>
          <c:h val="0.7208876494604841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PerfilClienteAux!$I$15:$I$17</c:f>
              <c:strCache>
                <c:ptCount val="3"/>
                <c:pt idx="0">
                  <c:v>À Vista</c:v>
                </c:pt>
                <c:pt idx="1">
                  <c:v>Cartão</c:v>
                </c:pt>
                <c:pt idx="2">
                  <c:v>Parcelado</c:v>
                </c:pt>
              </c:strCache>
            </c:strRef>
          </c:cat>
          <c:val>
            <c:numRef>
              <c:f>PerfilClienteAux!$K$15:$K$17</c:f>
              <c:numCache>
                <c:formatCode>"R$"\ #,##0</c:formatCode>
                <c:ptCount val="3"/>
                <c:pt idx="0">
                  <c:v>0</c:v>
                </c:pt>
                <c:pt idx="1">
                  <c:v>0</c:v>
                </c:pt>
                <c:pt idx="2">
                  <c:v>0</c:v>
                </c:pt>
              </c:numCache>
            </c:numRef>
          </c:val>
          <c:extLst>
            <c:ext xmlns:c16="http://schemas.microsoft.com/office/drawing/2014/chart" uri="{C3380CC4-5D6E-409C-BE32-E72D297353CC}">
              <c16:uniqueId val="{00000000-4FA5-47F8-A4B2-5A3F913A0E78}"/>
            </c:ext>
          </c:extLst>
        </c:ser>
        <c:dLbls>
          <c:dLblPos val="ctr"/>
          <c:showLegendKey val="0"/>
          <c:showVal val="1"/>
          <c:showCatName val="0"/>
          <c:showSerName val="0"/>
          <c:showPercent val="0"/>
          <c:showBubbleSize val="0"/>
        </c:dLbls>
        <c:gapWidth val="182"/>
        <c:axId val="164235744"/>
        <c:axId val="162293872"/>
      </c:barChart>
      <c:catAx>
        <c:axId val="164235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93872"/>
        <c:crosses val="autoZero"/>
        <c:auto val="1"/>
        <c:lblAlgn val="ctr"/>
        <c:lblOffset val="100"/>
        <c:noMultiLvlLbl val="0"/>
      </c:catAx>
      <c:valAx>
        <c:axId val="162293872"/>
        <c:scaling>
          <c:orientation val="minMax"/>
        </c:scaling>
        <c:delete val="1"/>
        <c:axPos val="b"/>
        <c:numFmt formatCode="&quot;R$&quot;\ #,##0" sourceLinked="1"/>
        <c:majorTickMark val="none"/>
        <c:minorTickMark val="none"/>
        <c:tickLblPos val="nextTo"/>
        <c:crossAx val="16423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Copia.xlsx]PerformanceClienteAux2!PivotTable5</c:name>
    <c:fmtId val="5"/>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numFmt formatCode="&quot;R$&quot;\ #,##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29288177311603"/>
          <c:y val="0.11479948727339315"/>
          <c:w val="0.7079908183209731"/>
          <c:h val="0.70432045412928024"/>
        </c:manualLayout>
      </c:layout>
      <c:barChart>
        <c:barDir val="col"/>
        <c:grouping val="clustered"/>
        <c:varyColors val="0"/>
        <c:ser>
          <c:idx val="0"/>
          <c:order val="0"/>
          <c:tx>
            <c:strRef>
              <c:f>PerformanceClienteAux2!$D$7:$D$8</c:f>
              <c:strCache>
                <c:ptCount val="1"/>
                <c:pt idx="0">
                  <c:v>Adilson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numFmt formatCode="&quot;R$&quot;\ #,##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PerformanceClienteAux2!$C$9:$C$11</c:f>
              <c:strCache>
                <c:ptCount val="2"/>
                <c:pt idx="0">
                  <c:v>2022</c:v>
                </c:pt>
                <c:pt idx="1">
                  <c:v>2023</c:v>
                </c:pt>
              </c:strCache>
            </c:strRef>
          </c:cat>
          <c:val>
            <c:numRef>
              <c:f>PerformanceClienteAux2!$D$9:$D$11</c:f>
              <c:numCache>
                <c:formatCode>General</c:formatCode>
                <c:ptCount val="2"/>
                <c:pt idx="0">
                  <c:v>7300</c:v>
                </c:pt>
                <c:pt idx="1">
                  <c:v>3000</c:v>
                </c:pt>
              </c:numCache>
            </c:numRef>
          </c:val>
          <c:extLst>
            <c:ext xmlns:c16="http://schemas.microsoft.com/office/drawing/2014/chart" uri="{C3380CC4-5D6E-409C-BE32-E72D297353CC}">
              <c16:uniqueId val="{00000000-5918-464D-BF54-1A36C4B4AE41}"/>
            </c:ext>
          </c:extLst>
        </c:ser>
        <c:dLbls>
          <c:showLegendKey val="0"/>
          <c:showVal val="0"/>
          <c:showCatName val="0"/>
          <c:showSerName val="0"/>
          <c:showPercent val="0"/>
          <c:showBubbleSize val="0"/>
        </c:dLbls>
        <c:gapWidth val="315"/>
        <c:overlap val="-40"/>
        <c:axId val="807892560"/>
        <c:axId val="906261600"/>
      </c:barChart>
      <c:catAx>
        <c:axId val="8078925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06261600"/>
        <c:crosses val="autoZero"/>
        <c:auto val="1"/>
        <c:lblAlgn val="ctr"/>
        <c:lblOffset val="100"/>
        <c:noMultiLvlLbl val="0"/>
      </c:catAx>
      <c:valAx>
        <c:axId val="9062616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789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Copia.xlsx]PerformanceClienteAux!PivotTable10</c:name>
    <c:fmtId val="6"/>
  </c:pivotSource>
  <c:chart>
    <c:autoTitleDeleted val="1"/>
    <c:pivotFmts>
      <c:pivotFmt>
        <c:idx val="0"/>
      </c:pivotFmt>
      <c:pivotFmt>
        <c:idx val="1"/>
      </c:pivotFmt>
      <c:pivotFmt>
        <c:idx val="2"/>
      </c:pivotFmt>
      <c:pivotFmt>
        <c:idx val="3"/>
      </c:pivotFmt>
      <c:pivotFmt>
        <c:idx val="4"/>
      </c:pivotFmt>
      <c:pivotFmt>
        <c:idx val="5"/>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numFmt formatCode="_(&quot;R$&quot;* #,##0_);_(&quot;R$&quot;* \(#,##0\);_(&quot;R$&quot;* &quot;-&quot;_);_(@_)"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PerformanceClienteAux!$D$7:$D$8</c:f>
              <c:strCache>
                <c:ptCount val="1"/>
                <c:pt idx="0">
                  <c:v>Adilson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numFmt formatCode="_(&quot;R$&quot;* #,##0_);_(&quot;R$&quot;* \(#,##0\);_(&quot;R$&quot;* &quot;-&quot;_);_(@_)"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PerformanceClienteAux!$C$9:$C$12</c:f>
              <c:multiLvlStrCache>
                <c:ptCount val="2"/>
                <c:lvl>
                  <c:pt idx="0">
                    <c:v>5</c:v>
                  </c:pt>
                  <c:pt idx="1">
                    <c:v>6</c:v>
                  </c:pt>
                </c:lvl>
                <c:lvl>
                  <c:pt idx="0">
                    <c:v>2022</c:v>
                  </c:pt>
                </c:lvl>
              </c:multiLvlStrCache>
            </c:multiLvlStrRef>
          </c:cat>
          <c:val>
            <c:numRef>
              <c:f>PerformanceClienteAux!$D$9:$D$12</c:f>
              <c:numCache>
                <c:formatCode>General</c:formatCode>
                <c:ptCount val="2"/>
                <c:pt idx="0">
                  <c:v>2300</c:v>
                </c:pt>
                <c:pt idx="1">
                  <c:v>5000</c:v>
                </c:pt>
              </c:numCache>
            </c:numRef>
          </c:val>
          <c:extLst>
            <c:ext xmlns:c16="http://schemas.microsoft.com/office/drawing/2014/chart" uri="{C3380CC4-5D6E-409C-BE32-E72D297353CC}">
              <c16:uniqueId val="{00000000-1D1C-4B64-9399-6C2560937A85}"/>
            </c:ext>
          </c:extLst>
        </c:ser>
        <c:dLbls>
          <c:showLegendKey val="0"/>
          <c:showVal val="0"/>
          <c:showCatName val="0"/>
          <c:showSerName val="0"/>
          <c:showPercent val="0"/>
          <c:showBubbleSize val="0"/>
        </c:dLbls>
        <c:gapWidth val="315"/>
        <c:overlap val="-40"/>
        <c:axId val="817173888"/>
        <c:axId val="700362192"/>
      </c:barChart>
      <c:catAx>
        <c:axId val="8171738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00362192"/>
        <c:crosses val="autoZero"/>
        <c:auto val="1"/>
        <c:lblAlgn val="ctr"/>
        <c:lblOffset val="100"/>
        <c:noMultiLvlLbl val="0"/>
      </c:catAx>
      <c:valAx>
        <c:axId val="7003621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717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Copia.xlsx]PerformanceClienteAux!PivotTable10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PerformanceClienteAux!$D$7:$D$8</c:f>
              <c:strCache>
                <c:ptCount val="1"/>
                <c:pt idx="0">
                  <c:v>Adilson</c:v>
                </c:pt>
              </c:strCache>
            </c:strRef>
          </c:tx>
          <c:spPr>
            <a:solidFill>
              <a:schemeClr val="accent1"/>
            </a:solidFill>
            <a:ln>
              <a:noFill/>
            </a:ln>
            <a:effectLst/>
          </c:spPr>
          <c:invertIfNegative val="0"/>
          <c:cat>
            <c:multiLvlStrRef>
              <c:f>PerformanceClienteAux!$C$9:$C$12</c:f>
              <c:multiLvlStrCache>
                <c:ptCount val="2"/>
                <c:lvl>
                  <c:pt idx="0">
                    <c:v>5</c:v>
                  </c:pt>
                  <c:pt idx="1">
                    <c:v>6</c:v>
                  </c:pt>
                </c:lvl>
                <c:lvl>
                  <c:pt idx="0">
                    <c:v>2022</c:v>
                  </c:pt>
                </c:lvl>
              </c:multiLvlStrCache>
            </c:multiLvlStrRef>
          </c:cat>
          <c:val>
            <c:numRef>
              <c:f>PerformanceClienteAux!$D$9:$D$12</c:f>
              <c:numCache>
                <c:formatCode>General</c:formatCode>
                <c:ptCount val="2"/>
                <c:pt idx="0">
                  <c:v>2300</c:v>
                </c:pt>
                <c:pt idx="1">
                  <c:v>5000</c:v>
                </c:pt>
              </c:numCache>
            </c:numRef>
          </c:val>
          <c:extLst>
            <c:ext xmlns:c16="http://schemas.microsoft.com/office/drawing/2014/chart" uri="{C3380CC4-5D6E-409C-BE32-E72D297353CC}">
              <c16:uniqueId val="{00000000-C560-4687-9619-BD1716462BDA}"/>
            </c:ext>
          </c:extLst>
        </c:ser>
        <c:dLbls>
          <c:showLegendKey val="0"/>
          <c:showVal val="0"/>
          <c:showCatName val="0"/>
          <c:showSerName val="0"/>
          <c:showPercent val="0"/>
          <c:showBubbleSize val="0"/>
        </c:dLbls>
        <c:gapWidth val="219"/>
        <c:overlap val="-27"/>
        <c:axId val="817173888"/>
        <c:axId val="700362192"/>
      </c:barChart>
      <c:catAx>
        <c:axId val="81717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362192"/>
        <c:crosses val="autoZero"/>
        <c:auto val="1"/>
        <c:lblAlgn val="ctr"/>
        <c:lblOffset val="100"/>
        <c:noMultiLvlLbl val="0"/>
      </c:catAx>
      <c:valAx>
        <c:axId val="70036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17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Copia.xlsx]PerformanceClienteAux2!PivotTable5</c:name>
    <c:fmtId val="1"/>
  </c:pivotSource>
  <c:chart>
    <c:title>
      <c:layout>
        <c:manualLayout>
          <c:xMode val="edge"/>
          <c:yMode val="edge"/>
          <c:x val="0.45048184996016882"/>
          <c:y val="4.4324961234655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s>
    <c:plotArea>
      <c:layout>
        <c:manualLayout>
          <c:layoutTarget val="inner"/>
          <c:xMode val="edge"/>
          <c:yMode val="edge"/>
          <c:x val="9.5254149277097702E-2"/>
          <c:y val="6.861262485032113E-2"/>
          <c:w val="0.84095068802410733"/>
          <c:h val="0.80664610127757508"/>
        </c:manualLayout>
      </c:layout>
      <c:barChart>
        <c:barDir val="col"/>
        <c:grouping val="clustered"/>
        <c:varyColors val="0"/>
        <c:ser>
          <c:idx val="0"/>
          <c:order val="0"/>
          <c:tx>
            <c:strRef>
              <c:f>PerformanceClienteAux2!$D$7:$D$8</c:f>
              <c:strCache>
                <c:ptCount val="1"/>
                <c:pt idx="0">
                  <c:v>Adilson</c:v>
                </c:pt>
              </c:strCache>
            </c:strRef>
          </c:tx>
          <c:spPr>
            <a:solidFill>
              <a:schemeClr val="accent1"/>
            </a:solidFill>
            <a:ln>
              <a:noFill/>
            </a:ln>
            <a:effectLst/>
          </c:spPr>
          <c:invertIfNegative val="0"/>
          <c:cat>
            <c:strRef>
              <c:f>PerformanceClienteAux2!$C$9:$C$11</c:f>
              <c:strCache>
                <c:ptCount val="2"/>
                <c:pt idx="0">
                  <c:v>2022</c:v>
                </c:pt>
                <c:pt idx="1">
                  <c:v>2023</c:v>
                </c:pt>
              </c:strCache>
            </c:strRef>
          </c:cat>
          <c:val>
            <c:numRef>
              <c:f>PerformanceClienteAux2!$D$9:$D$11</c:f>
              <c:numCache>
                <c:formatCode>General</c:formatCode>
                <c:ptCount val="2"/>
                <c:pt idx="0">
                  <c:v>7300</c:v>
                </c:pt>
                <c:pt idx="1">
                  <c:v>3000</c:v>
                </c:pt>
              </c:numCache>
            </c:numRef>
          </c:val>
          <c:extLst>
            <c:ext xmlns:c16="http://schemas.microsoft.com/office/drawing/2014/chart" uri="{C3380CC4-5D6E-409C-BE32-E72D297353CC}">
              <c16:uniqueId val="{00000000-D3CA-4A5C-93F1-971C4DA659EC}"/>
            </c:ext>
          </c:extLst>
        </c:ser>
        <c:dLbls>
          <c:showLegendKey val="0"/>
          <c:showVal val="0"/>
          <c:showCatName val="0"/>
          <c:showSerName val="0"/>
          <c:showPercent val="0"/>
          <c:showBubbleSize val="0"/>
        </c:dLbls>
        <c:gapWidth val="219"/>
        <c:overlap val="-27"/>
        <c:axId val="807892560"/>
        <c:axId val="906261600"/>
      </c:barChart>
      <c:catAx>
        <c:axId val="80789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261600"/>
        <c:crosses val="autoZero"/>
        <c:auto val="1"/>
        <c:lblAlgn val="ctr"/>
        <c:lblOffset val="100"/>
        <c:noMultiLvlLbl val="0"/>
      </c:catAx>
      <c:valAx>
        <c:axId val="90626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89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Copia.xlsx]ExtraClienteAux!PivotTable1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marker>
          <c:symbol val="none"/>
        </c:marke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marker>
          <c:symbol val="none"/>
        </c:marker>
      </c:pivotFmt>
      <c:pivotFmt>
        <c:idx val="13"/>
        <c:spPr>
          <a:solidFill>
            <a:schemeClr val="accent1"/>
          </a:solidFill>
          <a:ln w="19050">
            <a:solidFill>
              <a:schemeClr val="lt1"/>
            </a:solidFill>
          </a:ln>
          <a:effectLst/>
        </c:spPr>
        <c:marker>
          <c:symbol val="none"/>
        </c:marke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s>
    <c:plotArea>
      <c:layout/>
      <c:pieChart>
        <c:varyColors val="1"/>
        <c:ser>
          <c:idx val="0"/>
          <c:order val="0"/>
          <c:tx>
            <c:strRef>
              <c:f>ExtraClienteAux!$D$7:$D$8</c:f>
              <c:strCache>
                <c:ptCount val="1"/>
                <c:pt idx="0">
                  <c:v>Entradas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BC-4F16-9354-C1C0A35B30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BC-4F16-9354-C1C0A35B30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EBC-4F16-9354-C1C0A35B30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EBC-4F16-9354-C1C0A35B30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EBC-4F16-9354-C1C0A35B30A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EBC-4F16-9354-C1C0A35B30A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EBC-4F16-9354-C1C0A35B30A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EBC-4F16-9354-C1C0A35B30A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EBC-4F16-9354-C1C0A35B30A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EBC-4F16-9354-C1C0A35B30A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EBC-4F16-9354-C1C0A35B30AC}"/>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EBC-4F16-9354-C1C0A35B30AC}"/>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FBF-4029-8D4C-B07534F67D16}"/>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FBF-4029-8D4C-B07534F67D16}"/>
              </c:ext>
            </c:extLst>
          </c:dPt>
          <c:cat>
            <c:strRef>
              <c:f>ExtraClienteAux!$C$9:$C$22</c:f>
              <c:strCache>
                <c:ptCount val="13"/>
                <c:pt idx="0">
                  <c:v>Adilson</c:v>
                </c:pt>
                <c:pt idx="1">
                  <c:v>Alexandre</c:v>
                </c:pt>
                <c:pt idx="2">
                  <c:v>Ana Cláudia</c:v>
                </c:pt>
                <c:pt idx="3">
                  <c:v>Catarina</c:v>
                </c:pt>
                <c:pt idx="4">
                  <c:v>Joana</c:v>
                </c:pt>
                <c:pt idx="5">
                  <c:v>Leda</c:v>
                </c:pt>
                <c:pt idx="6">
                  <c:v>Marcelo</c:v>
                </c:pt>
                <c:pt idx="7">
                  <c:v>Solange</c:v>
                </c:pt>
                <c:pt idx="8">
                  <c:v>(blank)</c:v>
                </c:pt>
                <c:pt idx="9">
                  <c:v>João</c:v>
                </c:pt>
                <c:pt idx="10">
                  <c:v>Dejean</c:v>
                </c:pt>
                <c:pt idx="11">
                  <c:v>Maria</c:v>
                </c:pt>
                <c:pt idx="12">
                  <c:v>Luiz</c:v>
                </c:pt>
              </c:strCache>
            </c:strRef>
          </c:cat>
          <c:val>
            <c:numRef>
              <c:f>ExtraClienteAux!$D$9:$D$22</c:f>
              <c:numCache>
                <c:formatCode>_("R$"* #,##0.00_);_("R$"* \(#,##0.00\);_("R$"* "-"??_);_(@_)</c:formatCode>
                <c:ptCount val="13"/>
                <c:pt idx="0">
                  <c:v>10500</c:v>
                </c:pt>
                <c:pt idx="1">
                  <c:v>300</c:v>
                </c:pt>
                <c:pt idx="2">
                  <c:v>40</c:v>
                </c:pt>
                <c:pt idx="3">
                  <c:v>70850</c:v>
                </c:pt>
                <c:pt idx="4">
                  <c:v>200</c:v>
                </c:pt>
                <c:pt idx="5">
                  <c:v>2300</c:v>
                </c:pt>
                <c:pt idx="6">
                  <c:v>1000120</c:v>
                </c:pt>
                <c:pt idx="7">
                  <c:v>1000</c:v>
                </c:pt>
                <c:pt idx="8">
                  <c:v>6300</c:v>
                </c:pt>
                <c:pt idx="9">
                  <c:v>35000</c:v>
                </c:pt>
                <c:pt idx="10">
                  <c:v>6800</c:v>
                </c:pt>
                <c:pt idx="11">
                  <c:v>250</c:v>
                </c:pt>
                <c:pt idx="12">
                  <c:v>1800000</c:v>
                </c:pt>
              </c:numCache>
            </c:numRef>
          </c:val>
          <c:extLst>
            <c:ext xmlns:c16="http://schemas.microsoft.com/office/drawing/2014/chart" uri="{C3380CC4-5D6E-409C-BE32-E72D297353CC}">
              <c16:uniqueId val="{00000000-95E5-4D13-AE12-AD8E95224FD3}"/>
            </c:ext>
          </c:extLst>
        </c:ser>
        <c:ser>
          <c:idx val="1"/>
          <c:order val="1"/>
          <c:tx>
            <c:strRef>
              <c:f>ExtraClienteAux!$E$7:$E$8</c:f>
              <c:strCache>
                <c:ptCount val="1"/>
                <c:pt idx="0">
                  <c:v>Saídas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BC-4F16-9354-C1C0A35B30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4EBC-4F16-9354-C1C0A35B30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4EBC-4F16-9354-C1C0A35B30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4EBC-4F16-9354-C1C0A35B30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4EBC-4F16-9354-C1C0A35B30A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4EBC-4F16-9354-C1C0A35B30A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5-4EBC-4F16-9354-C1C0A35B30A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7-4EBC-4F16-9354-C1C0A35B30A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9-4EBC-4F16-9354-C1C0A35B30A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B-4EBC-4F16-9354-C1C0A35B30A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D-4EBC-4F16-9354-C1C0A35B30AC}"/>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2F-4EBC-4F16-9354-C1C0A35B30AC}"/>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5-9FBF-4029-8D4C-B07534F67D16}"/>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7-9FBF-4029-8D4C-B07534F67D16}"/>
              </c:ext>
            </c:extLst>
          </c:dPt>
          <c:cat>
            <c:strRef>
              <c:f>ExtraClienteAux!$C$9:$C$22</c:f>
              <c:strCache>
                <c:ptCount val="13"/>
                <c:pt idx="0">
                  <c:v>Adilson</c:v>
                </c:pt>
                <c:pt idx="1">
                  <c:v>Alexandre</c:v>
                </c:pt>
                <c:pt idx="2">
                  <c:v>Ana Cláudia</c:v>
                </c:pt>
                <c:pt idx="3">
                  <c:v>Catarina</c:v>
                </c:pt>
                <c:pt idx="4">
                  <c:v>Joana</c:v>
                </c:pt>
                <c:pt idx="5">
                  <c:v>Leda</c:v>
                </c:pt>
                <c:pt idx="6">
                  <c:v>Marcelo</c:v>
                </c:pt>
                <c:pt idx="7">
                  <c:v>Solange</c:v>
                </c:pt>
                <c:pt idx="8">
                  <c:v>(blank)</c:v>
                </c:pt>
                <c:pt idx="9">
                  <c:v>João</c:v>
                </c:pt>
                <c:pt idx="10">
                  <c:v>Dejean</c:v>
                </c:pt>
                <c:pt idx="11">
                  <c:v>Maria</c:v>
                </c:pt>
                <c:pt idx="12">
                  <c:v>Luiz</c:v>
                </c:pt>
              </c:strCache>
            </c:strRef>
          </c:cat>
          <c:val>
            <c:numRef>
              <c:f>ExtraClienteAux!$E$9:$E$22</c:f>
              <c:numCache>
                <c:formatCode>_("R$"* #,##0.00_);_("R$"* \(#,##0.00\);_("R$"* "-"??_);_(@_)</c:formatCode>
                <c:ptCount val="13"/>
                <c:pt idx="0">
                  <c:v>-200</c:v>
                </c:pt>
                <c:pt idx="1">
                  <c:v>-50</c:v>
                </c:pt>
                <c:pt idx="2">
                  <c:v>-300</c:v>
                </c:pt>
                <c:pt idx="3">
                  <c:v>-220</c:v>
                </c:pt>
                <c:pt idx="6">
                  <c:v>-20</c:v>
                </c:pt>
                <c:pt idx="7">
                  <c:v>-300</c:v>
                </c:pt>
                <c:pt idx="8">
                  <c:v>-1900</c:v>
                </c:pt>
                <c:pt idx="9">
                  <c:v>-6000</c:v>
                </c:pt>
                <c:pt idx="10">
                  <c:v>-14000</c:v>
                </c:pt>
              </c:numCache>
            </c:numRef>
          </c:val>
          <c:extLst>
            <c:ext xmlns:c16="http://schemas.microsoft.com/office/drawing/2014/chart" uri="{C3380CC4-5D6E-409C-BE32-E72D297353CC}">
              <c16:uniqueId val="{00000011-95E5-4D13-AE12-AD8E95224FD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496647353043135"/>
          <c:y val="7.4073751830744924E-2"/>
          <c:w val="0.73478801104918057"/>
          <c:h val="0.76665974445502005"/>
        </c:manualLayout>
      </c:layout>
      <c:barChart>
        <c:barDir val="col"/>
        <c:grouping val="clustered"/>
        <c:varyColors val="0"/>
        <c:ser>
          <c:idx val="0"/>
          <c:order val="0"/>
          <c:spPr>
            <a:solidFill>
              <a:schemeClr val="accent6">
                <a:lumMod val="75000"/>
              </a:schemeClr>
            </a:solidFill>
            <a:ln>
              <a:noFill/>
            </a:ln>
            <a:effectLst/>
          </c:spPr>
          <c:invertIfNegative val="0"/>
          <c:cat>
            <c:strRef>
              <c:f>'DashAtual Aux'!$N$11:$N$22</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'DashAtual Aux'!$M$11:$M$22</c:f>
              <c:numCache>
                <c:formatCode>_(* #,##0.00_);_(* \(#,##0.00\);_(* "-"??_);_(@_)</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15D6-4BFD-9CB2-B4858CDB7954}"/>
            </c:ext>
          </c:extLst>
        </c:ser>
        <c:dLbls>
          <c:showLegendKey val="0"/>
          <c:showVal val="0"/>
          <c:showCatName val="0"/>
          <c:showSerName val="0"/>
          <c:showPercent val="0"/>
          <c:showBubbleSize val="0"/>
        </c:dLbls>
        <c:gapWidth val="219"/>
        <c:overlap val="-27"/>
        <c:axId val="264349648"/>
        <c:axId val="366095968"/>
      </c:barChart>
      <c:catAx>
        <c:axId val="26434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095968"/>
        <c:crosses val="autoZero"/>
        <c:auto val="1"/>
        <c:lblAlgn val="ctr"/>
        <c:lblOffset val="100"/>
        <c:noMultiLvlLbl val="0"/>
      </c:catAx>
      <c:valAx>
        <c:axId val="36609596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4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33552726040535"/>
          <c:y val="0.10164424514200299"/>
          <c:w val="0.80032113875419053"/>
          <c:h val="0.73209894810387943"/>
        </c:manualLayout>
      </c:layout>
      <c:barChart>
        <c:barDir val="col"/>
        <c:grouping val="clustered"/>
        <c:varyColors val="0"/>
        <c:ser>
          <c:idx val="0"/>
          <c:order val="0"/>
          <c:spPr>
            <a:solidFill>
              <a:srgbClr val="C00000"/>
            </a:solidFill>
            <a:ln>
              <a:noFill/>
            </a:ln>
            <a:effectLst/>
          </c:spPr>
          <c:invertIfNegative val="0"/>
          <c:dLbls>
            <c:delete val="1"/>
          </c:dLbls>
          <c:cat>
            <c:strRef>
              <c:f>'DashAtual Aux'!$K$38:$K$49</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'DashAtual Aux'!$J$38:$J$49</c:f>
              <c:numCache>
                <c:formatCode>_(* #,##0.00_);_(* \(#,##0.00\);_(*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E47-4D1B-B5A4-749E84690955}"/>
            </c:ext>
          </c:extLst>
        </c:ser>
        <c:dLbls>
          <c:dLblPos val="outEnd"/>
          <c:showLegendKey val="0"/>
          <c:showVal val="1"/>
          <c:showCatName val="0"/>
          <c:showSerName val="0"/>
          <c:showPercent val="0"/>
          <c:showBubbleSize val="0"/>
        </c:dLbls>
        <c:gapWidth val="219"/>
        <c:overlap val="-27"/>
        <c:axId val="270573664"/>
        <c:axId val="366096384"/>
      </c:barChart>
      <c:catAx>
        <c:axId val="27057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096384"/>
        <c:crosses val="autoZero"/>
        <c:auto val="1"/>
        <c:lblAlgn val="ctr"/>
        <c:lblOffset val="100"/>
        <c:noMultiLvlLbl val="0"/>
      </c:catAx>
      <c:valAx>
        <c:axId val="36609638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7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3832281706291637"/>
          <c:y val="5.3589372084389526E-2"/>
          <c:w val="0.49249463320252312"/>
          <c:h val="0.85100323966900604"/>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07E1-4EE1-B0D6-1247DDBFCF63}"/>
              </c:ext>
            </c:extLst>
          </c:dPt>
          <c:dPt>
            <c:idx val="1"/>
            <c:invertIfNegative val="0"/>
            <c:bubble3D val="0"/>
            <c:spPr>
              <a:solidFill>
                <a:srgbClr val="C00000"/>
              </a:solidFill>
              <a:ln>
                <a:noFill/>
              </a:ln>
              <a:effectLst/>
            </c:spPr>
            <c:extLst>
              <c:ext xmlns:c16="http://schemas.microsoft.com/office/drawing/2014/chart" uri="{C3380CC4-5D6E-409C-BE32-E72D297353CC}">
                <c16:uniqueId val="{00000000-07E1-4EE1-B0D6-1247DDBFCF63}"/>
              </c:ext>
            </c:extLst>
          </c:dPt>
          <c:cat>
            <c:strRef>
              <c:f>'DashAtual Aux'!$E$37:$F$37</c:f>
              <c:strCache>
                <c:ptCount val="2"/>
                <c:pt idx="0">
                  <c:v>Entradas</c:v>
                </c:pt>
                <c:pt idx="1">
                  <c:v>Saídas</c:v>
                </c:pt>
              </c:strCache>
            </c:strRef>
          </c:cat>
          <c:val>
            <c:numRef>
              <c:f>'DashAtual Aux'!$E$38:$F$38</c:f>
              <c:numCache>
                <c:formatCode>"R$"\ #,##0</c:formatCode>
                <c:ptCount val="2"/>
                <c:pt idx="0">
                  <c:v>2040</c:v>
                </c:pt>
                <c:pt idx="1">
                  <c:v>300</c:v>
                </c:pt>
              </c:numCache>
            </c:numRef>
          </c:val>
          <c:extLst>
            <c:ext xmlns:c16="http://schemas.microsoft.com/office/drawing/2014/chart" uri="{C3380CC4-5D6E-409C-BE32-E72D297353CC}">
              <c16:uniqueId val="{00000000-F40B-4F8A-844D-9DAD2A9051A5}"/>
            </c:ext>
          </c:extLst>
        </c:ser>
        <c:dLbls>
          <c:showLegendKey val="0"/>
          <c:showVal val="0"/>
          <c:showCatName val="0"/>
          <c:showSerName val="0"/>
          <c:showPercent val="0"/>
          <c:showBubbleSize val="0"/>
        </c:dLbls>
        <c:gapWidth val="219"/>
        <c:overlap val="-27"/>
        <c:axId val="256276336"/>
        <c:axId val="366121344"/>
      </c:barChart>
      <c:catAx>
        <c:axId val="25627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121344"/>
        <c:crosses val="autoZero"/>
        <c:auto val="1"/>
        <c:lblAlgn val="ctr"/>
        <c:lblOffset val="100"/>
        <c:noMultiLvlLbl val="0"/>
      </c:catAx>
      <c:valAx>
        <c:axId val="366121344"/>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27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75-44A1-A338-30346E808C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75-44A1-A338-30346E808C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B75-44A1-A338-30346E808C86}"/>
              </c:ext>
            </c:extLst>
          </c:dPt>
          <c:cat>
            <c:strRef>
              <c:f>'DashAtual Aux'!$E$27:$G$27</c:f>
              <c:strCache>
                <c:ptCount val="3"/>
                <c:pt idx="0">
                  <c:v>À Vista</c:v>
                </c:pt>
                <c:pt idx="1">
                  <c:v>Cartão</c:v>
                </c:pt>
                <c:pt idx="2">
                  <c:v>Parcelado</c:v>
                </c:pt>
              </c:strCache>
            </c:strRef>
          </c:cat>
          <c:val>
            <c:numRef>
              <c:f>'DashAtual Aux'!$E$28:$G$28</c:f>
              <c:numCache>
                <c:formatCode>_(* #,##0.00_);_(* \(#,##0.00\);_(* "-"??_);_(@_)</c:formatCode>
                <c:ptCount val="3"/>
                <c:pt idx="0">
                  <c:v>2040</c:v>
                </c:pt>
                <c:pt idx="1">
                  <c:v>0</c:v>
                </c:pt>
                <c:pt idx="2">
                  <c:v>0</c:v>
                </c:pt>
              </c:numCache>
            </c:numRef>
          </c:val>
          <c:extLst>
            <c:ext xmlns:c16="http://schemas.microsoft.com/office/drawing/2014/chart" uri="{C3380CC4-5D6E-409C-BE32-E72D297353CC}">
              <c16:uniqueId val="{00000006-9B75-44A1-A338-30346E808C8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286059050024617"/>
          <c:y val="7.4064741907261589E-2"/>
          <c:w val="0.76675475292056205"/>
          <c:h val="0.75261053906723197"/>
        </c:manualLayout>
      </c:layout>
      <c:barChart>
        <c:barDir val="col"/>
        <c:grouping val="clustered"/>
        <c:varyColors val="0"/>
        <c:ser>
          <c:idx val="0"/>
          <c:order val="0"/>
          <c:spPr>
            <a:solidFill>
              <a:schemeClr val="accent6">
                <a:lumMod val="75000"/>
              </a:schemeClr>
            </a:solidFill>
            <a:ln>
              <a:noFill/>
            </a:ln>
            <a:effectLst/>
          </c:spPr>
          <c:invertIfNegative val="0"/>
          <c:cat>
            <c:strRef>
              <c:f>'DashAnual Aux'!$N$11:$N$22</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'DashAnual Aux'!$M$11:$M$22</c:f>
              <c:numCache>
                <c:formatCode>_(* #,##0.00_);_(* \(#,##0.00\);_(* "-"??_);_(@_)</c:formatCode>
                <c:ptCount val="12"/>
                <c:pt idx="0">
                  <c:v>#N/A</c:v>
                </c:pt>
                <c:pt idx="1">
                  <c:v>#N/A</c:v>
                </c:pt>
                <c:pt idx="2">
                  <c:v>#N/A</c:v>
                </c:pt>
                <c:pt idx="3">
                  <c:v>#N/A</c:v>
                </c:pt>
                <c:pt idx="4">
                  <c:v>2040</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F49A-4791-8B10-FA0651E4A99D}"/>
            </c:ext>
          </c:extLst>
        </c:ser>
        <c:dLbls>
          <c:showLegendKey val="0"/>
          <c:showVal val="0"/>
          <c:showCatName val="0"/>
          <c:showSerName val="0"/>
          <c:showPercent val="0"/>
          <c:showBubbleSize val="0"/>
        </c:dLbls>
        <c:gapWidth val="150"/>
        <c:axId val="2126535632"/>
        <c:axId val="269594480"/>
      </c:barChart>
      <c:catAx>
        <c:axId val="212653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94480"/>
        <c:crosses val="autoZero"/>
        <c:auto val="1"/>
        <c:lblAlgn val="ctr"/>
        <c:lblOffset val="100"/>
        <c:noMultiLvlLbl val="0"/>
      </c:catAx>
      <c:valAx>
        <c:axId val="26959448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53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98932600957345"/>
          <c:y val="0.19855018122734655"/>
          <c:w val="0.79037665746327157"/>
          <c:h val="0.53754718160229975"/>
        </c:manualLayout>
      </c:layout>
      <c:barChart>
        <c:barDir val="col"/>
        <c:grouping val="clustered"/>
        <c:varyColors val="0"/>
        <c:ser>
          <c:idx val="0"/>
          <c:order val="0"/>
          <c:spPr>
            <a:solidFill>
              <a:srgbClr val="C00000"/>
            </a:solidFill>
            <a:ln>
              <a:noFill/>
            </a:ln>
            <a:effectLst/>
          </c:spPr>
          <c:invertIfNegative val="0"/>
          <c:cat>
            <c:strRef>
              <c:f>'DashAnual Aux'!$K$38:$K$49</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'DashAnual Aux'!$J$38:$J$49</c:f>
              <c:numCache>
                <c:formatCode>_(* #,##0.00_);_(* \(#,##0.00\);_(* "-"??_);_(@_)</c:formatCode>
                <c:ptCount val="12"/>
                <c:pt idx="0">
                  <c:v>0</c:v>
                </c:pt>
                <c:pt idx="1">
                  <c:v>0</c:v>
                </c:pt>
                <c:pt idx="2">
                  <c:v>0</c:v>
                </c:pt>
                <c:pt idx="3">
                  <c:v>0</c:v>
                </c:pt>
                <c:pt idx="4">
                  <c:v>300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E72-49BC-8898-64D8F075FAD8}"/>
            </c:ext>
          </c:extLst>
        </c:ser>
        <c:dLbls>
          <c:showLegendKey val="0"/>
          <c:showVal val="0"/>
          <c:showCatName val="0"/>
          <c:showSerName val="0"/>
          <c:showPercent val="0"/>
          <c:showBubbleSize val="0"/>
        </c:dLbls>
        <c:gapWidth val="219"/>
        <c:overlap val="-27"/>
        <c:axId val="2086155520"/>
        <c:axId val="269591152"/>
      </c:barChart>
      <c:catAx>
        <c:axId val="208615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591152"/>
        <c:crosses val="autoZero"/>
        <c:auto val="1"/>
        <c:lblAlgn val="ctr"/>
        <c:lblOffset val="100"/>
        <c:noMultiLvlLbl val="0"/>
      </c:catAx>
      <c:valAx>
        <c:axId val="26959115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15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CC-4714-A527-1E6F043183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CC-4714-A527-1E6F043183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CC-4714-A527-1E6F04318319}"/>
              </c:ext>
            </c:extLst>
          </c:dPt>
          <c:cat>
            <c:strRef>
              <c:f>'DashAnual Aux'!$E$27:$G$27</c:f>
              <c:strCache>
                <c:ptCount val="3"/>
                <c:pt idx="0">
                  <c:v>À Vista</c:v>
                </c:pt>
                <c:pt idx="1">
                  <c:v>Cartão</c:v>
                </c:pt>
                <c:pt idx="2">
                  <c:v>Parcelado</c:v>
                </c:pt>
              </c:strCache>
            </c:strRef>
          </c:cat>
          <c:val>
            <c:numRef>
              <c:f>'DashAnual Aux'!$E$28:$G$28</c:f>
              <c:numCache>
                <c:formatCode>_(* #,##0.00_);_(* \(#,##0.00\);_(* "-"??_);_(@_)</c:formatCode>
                <c:ptCount val="3"/>
                <c:pt idx="0">
                  <c:v>2040</c:v>
                </c:pt>
                <c:pt idx="1">
                  <c:v>0</c:v>
                </c:pt>
                <c:pt idx="2">
                  <c:v>0</c:v>
                </c:pt>
              </c:numCache>
            </c:numRef>
          </c:val>
          <c:extLst>
            <c:ext xmlns:c16="http://schemas.microsoft.com/office/drawing/2014/chart" uri="{C3380CC4-5D6E-409C-BE32-E72D297353CC}">
              <c16:uniqueId val="{00000006-A2CC-4714-A527-1E6F0431831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1240885173713476"/>
          <c:y val="2.8301963533720095E-2"/>
          <c:w val="0.51534178917290507"/>
          <c:h val="0.89245827762095775"/>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0-265B-42BE-B401-262A78E26E7E}"/>
              </c:ext>
            </c:extLst>
          </c:dPt>
          <c:dPt>
            <c:idx val="1"/>
            <c:invertIfNegative val="0"/>
            <c:bubble3D val="0"/>
            <c:spPr>
              <a:solidFill>
                <a:srgbClr val="C00000"/>
              </a:solidFill>
              <a:ln>
                <a:noFill/>
              </a:ln>
              <a:effectLst/>
            </c:spPr>
            <c:extLst>
              <c:ext xmlns:c16="http://schemas.microsoft.com/office/drawing/2014/chart" uri="{C3380CC4-5D6E-409C-BE32-E72D297353CC}">
                <c16:uniqueId val="{00000001-265B-42BE-B401-262A78E26E7E}"/>
              </c:ext>
            </c:extLst>
          </c:dPt>
          <c:cat>
            <c:strRef>
              <c:f>'DashAnual Aux'!$E$37:$F$37</c:f>
              <c:strCache>
                <c:ptCount val="2"/>
                <c:pt idx="0">
                  <c:v>Entradas</c:v>
                </c:pt>
                <c:pt idx="1">
                  <c:v>Saídas</c:v>
                </c:pt>
              </c:strCache>
            </c:strRef>
          </c:cat>
          <c:val>
            <c:numRef>
              <c:f>'DashAnual Aux'!$E$38:$F$38</c:f>
              <c:numCache>
                <c:formatCode>"R$"\ #,##0</c:formatCode>
                <c:ptCount val="2"/>
                <c:pt idx="0">
                  <c:v>2040</c:v>
                </c:pt>
                <c:pt idx="1">
                  <c:v>300</c:v>
                </c:pt>
              </c:numCache>
            </c:numRef>
          </c:val>
          <c:extLst>
            <c:ext xmlns:c16="http://schemas.microsoft.com/office/drawing/2014/chart" uri="{C3380CC4-5D6E-409C-BE32-E72D297353CC}">
              <c16:uniqueId val="{00000000-4A92-4492-90AA-A94E8041D417}"/>
            </c:ext>
          </c:extLst>
        </c:ser>
        <c:dLbls>
          <c:showLegendKey val="0"/>
          <c:showVal val="0"/>
          <c:showCatName val="0"/>
          <c:showSerName val="0"/>
          <c:showPercent val="0"/>
          <c:showBubbleSize val="0"/>
        </c:dLbls>
        <c:gapWidth val="219"/>
        <c:overlap val="-27"/>
        <c:axId val="2086156320"/>
        <c:axId val="269634416"/>
      </c:barChart>
      <c:catAx>
        <c:axId val="2086156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634416"/>
        <c:crosses val="autoZero"/>
        <c:auto val="1"/>
        <c:lblAlgn val="ctr"/>
        <c:lblOffset val="100"/>
        <c:noMultiLvlLbl val="0"/>
      </c:catAx>
      <c:valAx>
        <c:axId val="269634416"/>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156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Copia.xlsx]PerformancePorAnoAux!PivotTable1</c:name>
    <c:fmtId val="4"/>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numFmt formatCode="&quot;R$&quot;\ #,##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1"/>
            </a:solidFill>
            <a:miter lim="800000"/>
          </a:ln>
          <a:effectLst>
            <a:glow rad="63500">
              <a:schemeClr val="accent1">
                <a:satMod val="175000"/>
                <a:alpha val="25000"/>
              </a:schemeClr>
            </a:glow>
          </a:effectLst>
        </c:spPr>
        <c:dLbl>
          <c:idx val="0"/>
          <c:layout>
            <c:manualLayout>
              <c:x val="0"/>
              <c:y val="7.5527404542019547E-2"/>
            </c:manualLayout>
          </c:layout>
          <c:numFmt formatCode="&quot;R$&quot;\ #,##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87137924315708"/>
          <c:y val="0.10393469680528895"/>
          <c:w val="0.83103595316877554"/>
          <c:h val="0.80665493131709776"/>
        </c:manualLayout>
      </c:layout>
      <c:barChart>
        <c:barDir val="col"/>
        <c:grouping val="clustered"/>
        <c:varyColors val="0"/>
        <c:ser>
          <c:idx val="0"/>
          <c:order val="0"/>
          <c:tx>
            <c:strRef>
              <c:f>PerformancePorAnoAux!$D$7</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Pt>
            <c:idx val="3"/>
            <c:invertIfNegative val="0"/>
            <c:bubble3D val="0"/>
            <c:spPr>
              <a:noFill/>
              <a:ln w="9525" cap="flat" cmpd="sng" algn="ctr">
                <a:solidFill>
                  <a:schemeClr val="accent1"/>
                </a:solidFill>
                <a:miter lim="800000"/>
              </a:ln>
              <a:effectLst>
                <a:glow rad="63500">
                  <a:schemeClr val="accent1">
                    <a:satMod val="175000"/>
                    <a:alpha val="25000"/>
                  </a:schemeClr>
                </a:glow>
              </a:effectLst>
            </c:spPr>
            <c:extLst>
              <c:ext xmlns:c16="http://schemas.microsoft.com/office/drawing/2014/chart" uri="{C3380CC4-5D6E-409C-BE32-E72D297353CC}">
                <c16:uniqueId val="{00000001-51EC-4DA8-B4AE-448D13BF210B}"/>
              </c:ext>
            </c:extLst>
          </c:dPt>
          <c:dLbls>
            <c:dLbl>
              <c:idx val="3"/>
              <c:layout>
                <c:manualLayout>
                  <c:x val="0"/>
                  <c:y val="7.55274045420195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1EC-4DA8-B4AE-448D13BF210B}"/>
                </c:ext>
              </c:extLst>
            </c:dLbl>
            <c:numFmt formatCode="&quot;R$&quot;\ #,##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PerformancePorAnoAux!$C$8:$C$12</c:f>
              <c:strCache>
                <c:ptCount val="4"/>
                <c:pt idx="0">
                  <c:v>2022</c:v>
                </c:pt>
                <c:pt idx="1">
                  <c:v>2023</c:v>
                </c:pt>
                <c:pt idx="2">
                  <c:v>2021</c:v>
                </c:pt>
                <c:pt idx="3">
                  <c:v>2020</c:v>
                </c:pt>
              </c:strCache>
            </c:strRef>
          </c:cat>
          <c:val>
            <c:numRef>
              <c:f>PerformancePorAnoAux!$D$8:$D$12</c:f>
              <c:numCache>
                <c:formatCode>_("R$"* #,##0.00_);_("R$"* \(#,##0.00\);_("R$"* "-"??_);_(@_)</c:formatCode>
                <c:ptCount val="4"/>
                <c:pt idx="0">
                  <c:v>2902790</c:v>
                </c:pt>
                <c:pt idx="1">
                  <c:v>3000</c:v>
                </c:pt>
                <c:pt idx="2">
                  <c:v>5000</c:v>
                </c:pt>
                <c:pt idx="3">
                  <c:v>-120</c:v>
                </c:pt>
              </c:numCache>
            </c:numRef>
          </c:val>
          <c:extLst>
            <c:ext xmlns:c16="http://schemas.microsoft.com/office/drawing/2014/chart" uri="{C3380CC4-5D6E-409C-BE32-E72D297353CC}">
              <c16:uniqueId val="{00000000-51EC-4DA8-B4AE-448D13BF210B}"/>
            </c:ext>
          </c:extLst>
        </c:ser>
        <c:dLbls>
          <c:dLblPos val="ctr"/>
          <c:showLegendKey val="0"/>
          <c:showVal val="1"/>
          <c:showCatName val="0"/>
          <c:showSerName val="0"/>
          <c:showPercent val="0"/>
          <c:showBubbleSize val="0"/>
        </c:dLbls>
        <c:gapWidth val="315"/>
        <c:overlap val="-40"/>
        <c:axId val="362658416"/>
        <c:axId val="366134656"/>
      </c:barChart>
      <c:catAx>
        <c:axId val="3626584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6134656"/>
        <c:crosses val="autoZero"/>
        <c:auto val="1"/>
        <c:lblAlgn val="ctr"/>
        <c:lblOffset val="100"/>
        <c:noMultiLvlLbl val="0"/>
      </c:catAx>
      <c:valAx>
        <c:axId val="3661346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quot;R$&quot;* #,##0.00_);_(&quot;R$&quot;* \(#,##0.0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265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0" i="0" u="none" strike="noStrike" kern="1200" spc="0" baseline="0">
                <a:solidFill>
                  <a:schemeClr val="bg1"/>
                </a:solidFill>
                <a:latin typeface="+mn-lt"/>
                <a:ea typeface="+mn-ea"/>
                <a:cs typeface="+mn-cs"/>
              </a:defRPr>
            </a:pPr>
            <a:r>
              <a:rPr lang="pt-BR" sz="1500" baseline="0">
                <a:solidFill>
                  <a:schemeClr val="bg1"/>
                </a:solidFill>
              </a:rPr>
              <a:t>Entradas e Saídas por mês</a:t>
            </a: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1"/>
          <c:order val="1"/>
          <c:tx>
            <c:strRef>
              <c:f>PerformancePorMes!$D$11</c:f>
              <c:strCache>
                <c:ptCount val="1"/>
                <c:pt idx="0">
                  <c:v>Entradas</c:v>
                </c:pt>
              </c:strCache>
            </c:strRef>
          </c:tx>
          <c:spPr>
            <a:solidFill>
              <a:schemeClr val="accent2"/>
            </a:solidFill>
            <a:ln>
              <a:noFill/>
            </a:ln>
            <a:effectLst/>
          </c:spPr>
          <c:invertIfNegative val="0"/>
          <c:cat>
            <c:strRef>
              <c:f>PerformancePorMes!$E$9:$P$9</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PerformancePorMes!$E$11:$P$11</c:f>
              <c:numCache>
                <c:formatCode>#,##0</c:formatCode>
                <c:ptCount val="12"/>
                <c:pt idx="0">
                  <c:v>0</c:v>
                </c:pt>
                <c:pt idx="1">
                  <c:v>0</c:v>
                </c:pt>
                <c:pt idx="2">
                  <c:v>0</c:v>
                </c:pt>
                <c:pt idx="3">
                  <c:v>0</c:v>
                </c:pt>
                <c:pt idx="4">
                  <c:v>2040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AE04-49A7-8DE9-A5CA3826E00B}"/>
            </c:ext>
          </c:extLst>
        </c:ser>
        <c:ser>
          <c:idx val="2"/>
          <c:order val="2"/>
          <c:tx>
            <c:strRef>
              <c:f>PerformancePorMes!$D$12</c:f>
              <c:strCache>
                <c:ptCount val="1"/>
                <c:pt idx="0">
                  <c:v>Saídas</c:v>
                </c:pt>
              </c:strCache>
            </c:strRef>
          </c:tx>
          <c:spPr>
            <a:solidFill>
              <a:schemeClr val="accent3"/>
            </a:solidFill>
            <a:ln>
              <a:noFill/>
            </a:ln>
            <a:effectLst/>
          </c:spPr>
          <c:invertIfNegative val="0"/>
          <c:cat>
            <c:strRef>
              <c:f>PerformancePorMes!$E$9:$P$9</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PerformancePorMes!$E$12:$P$12</c:f>
              <c:numCache>
                <c:formatCode>#,##0</c:formatCode>
                <c:ptCount val="12"/>
                <c:pt idx="0">
                  <c:v>0</c:v>
                </c:pt>
                <c:pt idx="1">
                  <c:v>0</c:v>
                </c:pt>
                <c:pt idx="2">
                  <c:v>0</c:v>
                </c:pt>
                <c:pt idx="3">
                  <c:v>0</c:v>
                </c:pt>
                <c:pt idx="4">
                  <c:v>300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AE04-49A7-8DE9-A5CA3826E00B}"/>
            </c:ext>
          </c:extLst>
        </c:ser>
        <c:dLbls>
          <c:showLegendKey val="0"/>
          <c:showVal val="0"/>
          <c:showCatName val="0"/>
          <c:showSerName val="0"/>
          <c:showPercent val="0"/>
          <c:showBubbleSize val="0"/>
        </c:dLbls>
        <c:gapWidth val="219"/>
        <c:overlap val="-27"/>
        <c:axId val="906114560"/>
        <c:axId val="906255776"/>
        <c:extLst>
          <c:ext xmlns:c15="http://schemas.microsoft.com/office/drawing/2012/chart" uri="{02D57815-91ED-43cb-92C2-25804820EDAC}">
            <c15:filteredBarSeries>
              <c15:ser>
                <c:idx val="0"/>
                <c:order val="0"/>
                <c:tx>
                  <c:strRef>
                    <c:extLst>
                      <c:ext uri="{02D57815-91ED-43cb-92C2-25804820EDAC}">
                        <c15:formulaRef>
                          <c15:sqref>PerformancePorMes!$D$10</c15:sqref>
                        </c15:formulaRef>
                      </c:ext>
                    </c:extLst>
                    <c:strCache>
                      <c:ptCount val="1"/>
                      <c:pt idx="0">
                        <c:v>Saldo Inicial</c:v>
                      </c:pt>
                    </c:strCache>
                  </c:strRef>
                </c:tx>
                <c:spPr>
                  <a:solidFill>
                    <a:schemeClr val="accent1"/>
                  </a:solidFill>
                  <a:ln>
                    <a:noFill/>
                  </a:ln>
                  <a:effectLst/>
                </c:spPr>
                <c:invertIfNegative val="0"/>
                <c:cat>
                  <c:strRef>
                    <c:extLst>
                      <c:ext uri="{02D57815-91ED-43cb-92C2-25804820EDAC}">
                        <c15:formulaRef>
                          <c15:sqref>PerformancePorMes!$E$9:$P$9</c15:sqref>
                        </c15:formulaRef>
                      </c:ext>
                    </c:extLst>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extLst>
                      <c:ext uri="{02D57815-91ED-43cb-92C2-25804820EDAC}">
                        <c15:formulaRef>
                          <c15:sqref>PerformancePorMes!$E$10:$P$10</c15:sqref>
                        </c15:formulaRef>
                      </c:ext>
                    </c:extLst>
                    <c:numCache>
                      <c:formatCode>#,##0</c:formatCode>
                      <c:ptCount val="12"/>
                      <c:pt idx="0">
                        <c:v>0</c:v>
                      </c:pt>
                      <c:pt idx="1">
                        <c:v>0</c:v>
                      </c:pt>
                      <c:pt idx="2">
                        <c:v>0</c:v>
                      </c:pt>
                      <c:pt idx="3">
                        <c:v>0</c:v>
                      </c:pt>
                      <c:pt idx="4">
                        <c:v>0</c:v>
                      </c:pt>
                      <c:pt idx="5">
                        <c:v>1740</c:v>
                      </c:pt>
                      <c:pt idx="6">
                        <c:v>1740</c:v>
                      </c:pt>
                      <c:pt idx="7">
                        <c:v>1740</c:v>
                      </c:pt>
                      <c:pt idx="8">
                        <c:v>1740</c:v>
                      </c:pt>
                      <c:pt idx="9">
                        <c:v>1740</c:v>
                      </c:pt>
                      <c:pt idx="10">
                        <c:v>1740</c:v>
                      </c:pt>
                      <c:pt idx="11">
                        <c:v>1740</c:v>
                      </c:pt>
                    </c:numCache>
                  </c:numRef>
                </c:val>
                <c:extLst>
                  <c:ext xmlns:c16="http://schemas.microsoft.com/office/drawing/2014/chart" uri="{C3380CC4-5D6E-409C-BE32-E72D297353CC}">
                    <c16:uniqueId val="{00000000-AE04-49A7-8DE9-A5CA3826E00B}"/>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PerformancePorMes!$D$13</c15:sqref>
                        </c15:formulaRef>
                      </c:ext>
                    </c:extLst>
                    <c:strCache>
                      <c:ptCount val="1"/>
                      <c:pt idx="0">
                        <c:v>Saldo Final</c:v>
                      </c:pt>
                    </c:strCache>
                  </c:strRef>
                </c:tx>
                <c:spPr>
                  <a:solidFill>
                    <a:schemeClr val="accent4"/>
                  </a:solidFill>
                  <a:ln>
                    <a:noFill/>
                  </a:ln>
                  <a:effectLst/>
                </c:spPr>
                <c:invertIfNegative val="0"/>
                <c:cat>
                  <c:strRef>
                    <c:extLst xmlns:c15="http://schemas.microsoft.com/office/drawing/2012/chart">
                      <c:ext xmlns:c15="http://schemas.microsoft.com/office/drawing/2012/chart" uri="{02D57815-91ED-43cb-92C2-25804820EDAC}">
                        <c15:formulaRef>
                          <c15:sqref>PerformancePorMes!$E$9:$P$9</c15:sqref>
                        </c15:formulaRef>
                      </c:ext>
                    </c:extLst>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extLst xmlns:c15="http://schemas.microsoft.com/office/drawing/2012/chart">
                      <c:ext xmlns:c15="http://schemas.microsoft.com/office/drawing/2012/chart" uri="{02D57815-91ED-43cb-92C2-25804820EDAC}">
                        <c15:formulaRef>
                          <c15:sqref>PerformancePorMes!$E$13:$P$13</c15:sqref>
                        </c15:formulaRef>
                      </c:ext>
                    </c:extLst>
                    <c:numCache>
                      <c:formatCode>#,##0</c:formatCode>
                      <c:ptCount val="12"/>
                      <c:pt idx="0">
                        <c:v>0</c:v>
                      </c:pt>
                      <c:pt idx="1">
                        <c:v>0</c:v>
                      </c:pt>
                      <c:pt idx="2">
                        <c:v>0</c:v>
                      </c:pt>
                      <c:pt idx="3">
                        <c:v>0</c:v>
                      </c:pt>
                      <c:pt idx="4">
                        <c:v>1740</c:v>
                      </c:pt>
                      <c:pt idx="5">
                        <c:v>1740</c:v>
                      </c:pt>
                      <c:pt idx="6">
                        <c:v>1740</c:v>
                      </c:pt>
                      <c:pt idx="7">
                        <c:v>1740</c:v>
                      </c:pt>
                      <c:pt idx="8">
                        <c:v>1740</c:v>
                      </c:pt>
                      <c:pt idx="9">
                        <c:v>1740</c:v>
                      </c:pt>
                      <c:pt idx="10">
                        <c:v>1740</c:v>
                      </c:pt>
                      <c:pt idx="11">
                        <c:v>1740</c:v>
                      </c:pt>
                    </c:numCache>
                  </c:numRef>
                </c:val>
                <c:extLst xmlns:c15="http://schemas.microsoft.com/office/drawing/2012/chart">
                  <c:ext xmlns:c16="http://schemas.microsoft.com/office/drawing/2014/chart" uri="{C3380CC4-5D6E-409C-BE32-E72D297353CC}">
                    <c16:uniqueId val="{00000003-AE04-49A7-8DE9-A5CA3826E00B}"/>
                  </c:ext>
                </c:extLst>
              </c15:ser>
            </c15:filteredBarSeries>
          </c:ext>
        </c:extLst>
      </c:barChart>
      <c:catAx>
        <c:axId val="90611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6255776"/>
        <c:crosses val="autoZero"/>
        <c:auto val="1"/>
        <c:lblAlgn val="ctr"/>
        <c:lblOffset val="100"/>
        <c:noMultiLvlLbl val="0"/>
      </c:catAx>
      <c:valAx>
        <c:axId val="906255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6114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[Planilha de Gerenciamento Autolife - Copia.xlsx]PerformancePorAnoAux!PivotTable1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s>
    <c:plotArea>
      <c:layout/>
      <c:barChart>
        <c:barDir val="col"/>
        <c:grouping val="clustered"/>
        <c:varyColors val="0"/>
        <c:ser>
          <c:idx val="0"/>
          <c:order val="0"/>
          <c:tx>
            <c:strRef>
              <c:f>PerformancePorAnoAux!$D$7</c:f>
              <c:strCache>
                <c:ptCount val="1"/>
                <c:pt idx="0">
                  <c:v>Total</c:v>
                </c:pt>
              </c:strCache>
            </c:strRef>
          </c:tx>
          <c:spPr>
            <a:solidFill>
              <a:schemeClr val="accent1"/>
            </a:solidFill>
            <a:ln>
              <a:noFill/>
            </a:ln>
            <a:effectLst/>
          </c:spPr>
          <c:invertIfNegative val="0"/>
          <c:cat>
            <c:strRef>
              <c:f>PerformancePorAnoAux!$C$8:$C$12</c:f>
              <c:strCache>
                <c:ptCount val="4"/>
                <c:pt idx="0">
                  <c:v>2022</c:v>
                </c:pt>
                <c:pt idx="1">
                  <c:v>2023</c:v>
                </c:pt>
                <c:pt idx="2">
                  <c:v>2021</c:v>
                </c:pt>
                <c:pt idx="3">
                  <c:v>2020</c:v>
                </c:pt>
              </c:strCache>
            </c:strRef>
          </c:cat>
          <c:val>
            <c:numRef>
              <c:f>PerformancePorAnoAux!$D$8:$D$12</c:f>
              <c:numCache>
                <c:formatCode>_("R$"* #,##0.00_);_("R$"* \(#,##0.00\);_("R$"* "-"??_);_(@_)</c:formatCode>
                <c:ptCount val="4"/>
                <c:pt idx="0">
                  <c:v>2902790</c:v>
                </c:pt>
                <c:pt idx="1">
                  <c:v>3000</c:v>
                </c:pt>
                <c:pt idx="2">
                  <c:v>5000</c:v>
                </c:pt>
                <c:pt idx="3">
                  <c:v>-120</c:v>
                </c:pt>
              </c:numCache>
            </c:numRef>
          </c:val>
          <c:extLst>
            <c:ext xmlns:c16="http://schemas.microsoft.com/office/drawing/2014/chart" uri="{C3380CC4-5D6E-409C-BE32-E72D297353CC}">
              <c16:uniqueId val="{00000000-0C49-409A-B38E-318CACF43F18}"/>
            </c:ext>
          </c:extLst>
        </c:ser>
        <c:dLbls>
          <c:showLegendKey val="0"/>
          <c:showVal val="0"/>
          <c:showCatName val="0"/>
          <c:showSerName val="0"/>
          <c:showPercent val="0"/>
          <c:showBubbleSize val="0"/>
        </c:dLbls>
        <c:gapWidth val="219"/>
        <c:overlap val="-27"/>
        <c:axId val="362658416"/>
        <c:axId val="366134656"/>
      </c:barChart>
      <c:catAx>
        <c:axId val="36265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134656"/>
        <c:crosses val="autoZero"/>
        <c:auto val="1"/>
        <c:lblAlgn val="ctr"/>
        <c:lblOffset val="100"/>
        <c:noMultiLvlLbl val="0"/>
      </c:catAx>
      <c:valAx>
        <c:axId val="366134656"/>
        <c:scaling>
          <c:orientation val="minMax"/>
        </c:scaling>
        <c:delete val="0"/>
        <c:axPos val="l"/>
        <c:majorGridlines>
          <c:spPr>
            <a:ln w="9525" cap="flat" cmpd="sng" algn="ctr">
              <a:solidFill>
                <a:schemeClr val="tx1">
                  <a:lumMod val="15000"/>
                  <a:lumOff val="85000"/>
                </a:schemeClr>
              </a:solidFill>
              <a:round/>
            </a:ln>
            <a:effectLst/>
          </c:spPr>
        </c:majorGridlines>
        <c:numFmt formatCode="_(&quot;R$&quot;* #,##0.00_);_(&quot;R$&quot;* \(#,##0.0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65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CentralCliente!A1"/><Relationship Id="rId13"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hyperlink" Target="#'Performance da Empresa'!A1"/><Relationship Id="rId2" Type="http://schemas.openxmlformats.org/officeDocument/2006/relationships/hyperlink" Target="#Aux_CaixasdeNomes!A1"/><Relationship Id="rId1" Type="http://schemas.openxmlformats.org/officeDocument/2006/relationships/image" Target="../media/image1.png"/><Relationship Id="rId6" Type="http://schemas.openxmlformats.org/officeDocument/2006/relationships/hyperlink" Target="#CentralLoja!A1"/><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CentralProjetos!A1"/><Relationship Id="rId4" Type="http://schemas.openxmlformats.org/officeDocument/2006/relationships/hyperlink" Target="#PlanilhaFluxo!A1"/><Relationship Id="rId9" Type="http://schemas.openxmlformats.org/officeDocument/2006/relationships/image" Target="../media/image5.png"/><Relationship Id="rId14" Type="http://schemas.openxmlformats.org/officeDocument/2006/relationships/image" Target="../media/image8.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9.jpeg"/><Relationship Id="rId1" Type="http://schemas.openxmlformats.org/officeDocument/2006/relationships/hyperlink" Target="#Central!A1"/></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jpeg"/><Relationship Id="rId1" Type="http://schemas.openxmlformats.org/officeDocument/2006/relationships/hyperlink" Target="#Central!A1"/></Relationships>
</file>

<file path=xl/drawings/_rels/drawing4.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hyperlink" Target="#PerfProdAnoAux!A1"/><Relationship Id="rId3" Type="http://schemas.openxmlformats.org/officeDocument/2006/relationships/hyperlink" Target="#PivTabEstoqueAux!A1"/><Relationship Id="rId7" Type="http://schemas.openxmlformats.org/officeDocument/2006/relationships/hyperlink" Target="#ListaFornecedores!A1"/><Relationship Id="rId12" Type="http://schemas.openxmlformats.org/officeDocument/2006/relationships/image" Target="../media/image15.png"/><Relationship Id="rId2" Type="http://schemas.openxmlformats.org/officeDocument/2006/relationships/image" Target="../media/image2.png"/><Relationship Id="rId1" Type="http://schemas.openxmlformats.org/officeDocument/2006/relationships/hyperlink" Target="#Relat&#243;rioEstoqueAux!A1"/><Relationship Id="rId6" Type="http://schemas.openxmlformats.org/officeDocument/2006/relationships/image" Target="../media/image4.png"/><Relationship Id="rId11" Type="http://schemas.openxmlformats.org/officeDocument/2006/relationships/hyperlink" Target="#Relat&#243;rioEstoque!A1"/><Relationship Id="rId5" Type="http://schemas.openxmlformats.org/officeDocument/2006/relationships/image" Target="../media/image12.png"/><Relationship Id="rId10" Type="http://schemas.openxmlformats.org/officeDocument/2006/relationships/image" Target="../media/image14.png"/><Relationship Id="rId4" Type="http://schemas.openxmlformats.org/officeDocument/2006/relationships/hyperlink" Target="#Central!A1"/><Relationship Id="rId9" Type="http://schemas.openxmlformats.org/officeDocument/2006/relationships/hyperlink" Target="#ListaEstoque!A1"/><Relationship Id="rId14" Type="http://schemas.openxmlformats.org/officeDocument/2006/relationships/hyperlink" Target="#LojaPerfAnualAux!A1"/></Relationships>
</file>

<file path=xl/drawings/_rels/drawing5.xml.rels><?xml version="1.0" encoding="UTF-8" standalone="yes"?>
<Relationships xmlns="http://schemas.openxmlformats.org/package/2006/relationships"><Relationship Id="rId3" Type="http://schemas.openxmlformats.org/officeDocument/2006/relationships/hyperlink" Target="#CentralLoja!A1"/><Relationship Id="rId2" Type="http://schemas.openxmlformats.org/officeDocument/2006/relationships/image" Target="../media/image10.jpeg"/><Relationship Id="rId1" Type="http://schemas.openxmlformats.org/officeDocument/2006/relationships/hyperlink" Target="#Central!A1"/><Relationship Id="rId5" Type="http://schemas.openxmlformats.org/officeDocument/2006/relationships/image" Target="../media/image16.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9.jpeg"/><Relationship Id="rId1" Type="http://schemas.openxmlformats.org/officeDocument/2006/relationships/hyperlink" Target="#Central!A1"/><Relationship Id="rId5" Type="http://schemas.openxmlformats.org/officeDocument/2006/relationships/image" Target="../media/image4.png"/><Relationship Id="rId4" Type="http://schemas.openxmlformats.org/officeDocument/2006/relationships/hyperlink" Target="#CentralLoja!A1"/></Relationships>
</file>

<file path=xl/drawings/_rels/drawing7.xml.rels><?xml version="1.0" encoding="UTF-8" standalone="yes"?>
<Relationships xmlns="http://schemas.openxmlformats.org/package/2006/relationships"><Relationship Id="rId8" Type="http://schemas.openxmlformats.org/officeDocument/2006/relationships/hyperlink" Target="#CentralLoja!A1"/><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9.jpeg"/><Relationship Id="rId1" Type="http://schemas.openxmlformats.org/officeDocument/2006/relationships/hyperlink" Target="#Central!A1"/><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image" Target="../media/image18.png"/><Relationship Id="rId4" Type="http://schemas.openxmlformats.org/officeDocument/2006/relationships/chart" Target="../charts/chart2.xml"/><Relationship Id="rId9" Type="http://schemas.openxmlformats.org/officeDocument/2006/relationships/image" Target="../media/image4.png"/></Relationships>
</file>

<file path=xl/drawings/_rels/drawing8.xml.rels><?xml version="1.0" encoding="UTF-8" standalone="yes"?>
<Relationships xmlns="http://schemas.openxmlformats.org/package/2006/relationships"><Relationship Id="rId8" Type="http://schemas.openxmlformats.org/officeDocument/2006/relationships/image" Target="../media/image19.png"/><Relationship Id="rId3" Type="http://schemas.openxmlformats.org/officeDocument/2006/relationships/chart" Target="../charts/chart8.xml"/><Relationship Id="rId7" Type="http://schemas.openxmlformats.org/officeDocument/2006/relationships/image" Target="../media/image4.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hyperlink" Target="#CentralLoja!A1"/><Relationship Id="rId5" Type="http://schemas.openxmlformats.org/officeDocument/2006/relationships/image" Target="../media/image9.jpeg"/><Relationship Id="rId4" Type="http://schemas.openxmlformats.org/officeDocument/2006/relationships/hyperlink" Target="#Central!A1"/></Relationships>
</file>

<file path=xl/drawings/_rels/drawing9.xml.rels><?xml version="1.0" encoding="UTF-8" standalone="yes"?>
<Relationships xmlns="http://schemas.openxmlformats.org/package/2006/relationships"><Relationship Id="rId3" Type="http://schemas.openxmlformats.org/officeDocument/2006/relationships/hyperlink" Target="#CentralLoja!A1"/><Relationship Id="rId2" Type="http://schemas.openxmlformats.org/officeDocument/2006/relationships/image" Target="../media/image9.jpeg"/><Relationship Id="rId1" Type="http://schemas.openxmlformats.org/officeDocument/2006/relationships/hyperlink" Target="#Central!A1"/><Relationship Id="rId5" Type="http://schemas.openxmlformats.org/officeDocument/2006/relationships/image" Target="../media/image20.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hyperlink" Target="#Central!A1"/><Relationship Id="rId1" Type="http://schemas.openxmlformats.org/officeDocument/2006/relationships/chart" Target="../charts/chart9.xml"/><Relationship Id="rId6" Type="http://schemas.openxmlformats.org/officeDocument/2006/relationships/image" Target="../media/image20.png"/><Relationship Id="rId5" Type="http://schemas.openxmlformats.org/officeDocument/2006/relationships/image" Target="../media/image4.png"/><Relationship Id="rId4" Type="http://schemas.openxmlformats.org/officeDocument/2006/relationships/hyperlink" Target="#CentralLoja!A1"/></Relationships>
</file>

<file path=xl/drawings/_rels/drawing11.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hyperlink" Target="#Central!A1"/><Relationship Id="rId1" Type="http://schemas.openxmlformats.org/officeDocument/2006/relationships/chart" Target="../charts/chart10.xml"/><Relationship Id="rId6" Type="http://schemas.openxmlformats.org/officeDocument/2006/relationships/image" Target="../media/image11.png"/><Relationship Id="rId5" Type="http://schemas.openxmlformats.org/officeDocument/2006/relationships/image" Target="../media/image4.png"/><Relationship Id="rId4" Type="http://schemas.openxmlformats.org/officeDocument/2006/relationships/hyperlink" Target="#CentralLoja!A1"/></Relationships>
</file>

<file path=xl/drawings/_rels/drawing12.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hyperlink" Target="#'Ranking Score'!A1"/><Relationship Id="rId3" Type="http://schemas.openxmlformats.org/officeDocument/2006/relationships/hyperlink" Target="#ExtraClienteAux!A1"/><Relationship Id="rId7" Type="http://schemas.openxmlformats.org/officeDocument/2006/relationships/hyperlink" Target="#ListaClientes!A1"/><Relationship Id="rId12" Type="http://schemas.openxmlformats.org/officeDocument/2006/relationships/image" Target="../media/image24.png"/><Relationship Id="rId2" Type="http://schemas.openxmlformats.org/officeDocument/2006/relationships/image" Target="../media/image2.png"/><Relationship Id="rId16" Type="http://schemas.openxmlformats.org/officeDocument/2006/relationships/hyperlink" Target="#PerfilClienteAux!A1"/><Relationship Id="rId1" Type="http://schemas.openxmlformats.org/officeDocument/2006/relationships/hyperlink" Target="#PerformanceClienteAux2!A1"/><Relationship Id="rId6" Type="http://schemas.openxmlformats.org/officeDocument/2006/relationships/image" Target="../media/image21.png"/><Relationship Id="rId11" Type="http://schemas.openxmlformats.org/officeDocument/2006/relationships/hyperlink" Target="#Hist&#243;ricodeLucro!A1"/><Relationship Id="rId5" Type="http://schemas.openxmlformats.org/officeDocument/2006/relationships/image" Target="../media/image12.png"/><Relationship Id="rId15" Type="http://schemas.openxmlformats.org/officeDocument/2006/relationships/hyperlink" Target="#PerformanceClienteAux!A1"/><Relationship Id="rId10" Type="http://schemas.openxmlformats.org/officeDocument/2006/relationships/image" Target="../media/image23.png"/><Relationship Id="rId4" Type="http://schemas.openxmlformats.org/officeDocument/2006/relationships/hyperlink" Target="#Central!A1"/><Relationship Id="rId9" Type="http://schemas.openxmlformats.org/officeDocument/2006/relationships/hyperlink" Target="#PerfilCliente!A1"/><Relationship Id="rId14" Type="http://schemas.openxmlformats.org/officeDocument/2006/relationships/image" Target="../media/image25.png"/></Relationships>
</file>

<file path=xl/drawings/_rels/drawing13.xml.rels><?xml version="1.0" encoding="UTF-8" standalone="yes"?>
<Relationships xmlns="http://schemas.openxmlformats.org/package/2006/relationships"><Relationship Id="rId3" Type="http://schemas.openxmlformats.org/officeDocument/2006/relationships/hyperlink" Target="#CentralCliente!A1"/><Relationship Id="rId2" Type="http://schemas.openxmlformats.org/officeDocument/2006/relationships/hyperlink" Target="#Central!A1"/><Relationship Id="rId1" Type="http://schemas.openxmlformats.org/officeDocument/2006/relationships/image" Target="../media/image9.jpeg"/><Relationship Id="rId5" Type="http://schemas.openxmlformats.org/officeDocument/2006/relationships/image" Target="../media/image27.png"/><Relationship Id="rId4" Type="http://schemas.openxmlformats.org/officeDocument/2006/relationships/image" Target="../media/image26.png"/></Relationships>
</file>

<file path=xl/drawings/_rels/drawing14.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image" Target="../media/image28.png"/><Relationship Id="rId2" Type="http://schemas.openxmlformats.org/officeDocument/2006/relationships/image" Target="../media/image9.jpeg"/><Relationship Id="rId1" Type="http://schemas.openxmlformats.org/officeDocument/2006/relationships/hyperlink" Target="#Central!A1"/><Relationship Id="rId6" Type="http://schemas.openxmlformats.org/officeDocument/2006/relationships/hyperlink" Target="#CentralCliente!A1"/><Relationship Id="rId5" Type="http://schemas.openxmlformats.org/officeDocument/2006/relationships/image" Target="../media/image23.png"/><Relationship Id="rId4" Type="http://schemas.openxmlformats.org/officeDocument/2006/relationships/chart" Target="../charts/chart12.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image" Target="../media/image30.png"/><Relationship Id="rId2" Type="http://schemas.openxmlformats.org/officeDocument/2006/relationships/image" Target="../media/image9.jpeg"/><Relationship Id="rId1" Type="http://schemas.openxmlformats.org/officeDocument/2006/relationships/hyperlink" Target="#Central!A1"/><Relationship Id="rId6" Type="http://schemas.openxmlformats.org/officeDocument/2006/relationships/image" Target="../media/image29.png"/><Relationship Id="rId5" Type="http://schemas.openxmlformats.org/officeDocument/2006/relationships/hyperlink" Target="#CentralCliente!A1"/><Relationship Id="rId4"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9.jpeg"/><Relationship Id="rId1" Type="http://schemas.openxmlformats.org/officeDocument/2006/relationships/hyperlink" Target="#Central!A1"/><Relationship Id="rId5" Type="http://schemas.openxmlformats.org/officeDocument/2006/relationships/image" Target="../media/image26.png"/><Relationship Id="rId4" Type="http://schemas.openxmlformats.org/officeDocument/2006/relationships/hyperlink" Target="#CentralCliente!A1"/></Relationships>
</file>

<file path=xl/drawings/_rels/drawing17.xml.rels><?xml version="1.0" encoding="UTF-8" standalone="yes"?>
<Relationships xmlns="http://schemas.openxmlformats.org/package/2006/relationships"><Relationship Id="rId3" Type="http://schemas.openxmlformats.org/officeDocument/2006/relationships/hyperlink" Target="#CentralCliente!A1"/><Relationship Id="rId2" Type="http://schemas.openxmlformats.org/officeDocument/2006/relationships/hyperlink" Target="#Central!A1"/><Relationship Id="rId1" Type="http://schemas.openxmlformats.org/officeDocument/2006/relationships/image" Target="../media/image9.jpeg"/><Relationship Id="rId5" Type="http://schemas.openxmlformats.org/officeDocument/2006/relationships/image" Target="../media/image32.png"/><Relationship Id="rId4" Type="http://schemas.openxmlformats.org/officeDocument/2006/relationships/image" Target="../media/image31.png"/></Relationships>
</file>

<file path=xl/drawings/_rels/drawing18.xml.rels><?xml version="1.0" encoding="UTF-8" standalone="yes"?>
<Relationships xmlns="http://schemas.openxmlformats.org/package/2006/relationships"><Relationship Id="rId3" Type="http://schemas.openxmlformats.org/officeDocument/2006/relationships/hyperlink" Target="#Central!A1"/><Relationship Id="rId2" Type="http://schemas.openxmlformats.org/officeDocument/2006/relationships/image" Target="../media/image9.jpeg"/><Relationship Id="rId1" Type="http://schemas.openxmlformats.org/officeDocument/2006/relationships/chart" Target="../charts/chart15.xml"/><Relationship Id="rId6" Type="http://schemas.openxmlformats.org/officeDocument/2006/relationships/image" Target="../media/image34.png"/><Relationship Id="rId5" Type="http://schemas.openxmlformats.org/officeDocument/2006/relationships/image" Target="../media/image33.png"/><Relationship Id="rId4" Type="http://schemas.openxmlformats.org/officeDocument/2006/relationships/hyperlink" Target="#CentralCliente!A1"/></Relationships>
</file>

<file path=xl/drawings/_rels/drawing19.xml.rels><?xml version="1.0" encoding="UTF-8" standalone="yes"?>
<Relationships xmlns="http://schemas.openxmlformats.org/package/2006/relationships"><Relationship Id="rId3" Type="http://schemas.openxmlformats.org/officeDocument/2006/relationships/hyperlink" Target="#Central!A1"/><Relationship Id="rId2" Type="http://schemas.openxmlformats.org/officeDocument/2006/relationships/image" Target="../media/image9.jpeg"/><Relationship Id="rId1" Type="http://schemas.openxmlformats.org/officeDocument/2006/relationships/chart" Target="../charts/chart16.xml"/><Relationship Id="rId6" Type="http://schemas.openxmlformats.org/officeDocument/2006/relationships/image" Target="../media/image11.png"/><Relationship Id="rId5" Type="http://schemas.openxmlformats.org/officeDocument/2006/relationships/image" Target="../media/image35.png"/><Relationship Id="rId4" Type="http://schemas.openxmlformats.org/officeDocument/2006/relationships/hyperlink" Target="#CentralCliente!A1"/></Relationships>
</file>

<file path=xl/drawings/_rels/drawing20.xml.rels><?xml version="1.0" encoding="UTF-8" standalone="yes"?>
<Relationships xmlns="http://schemas.openxmlformats.org/package/2006/relationships"><Relationship Id="rId3" Type="http://schemas.openxmlformats.org/officeDocument/2006/relationships/hyperlink" Target="#Central!A1"/><Relationship Id="rId2" Type="http://schemas.openxmlformats.org/officeDocument/2006/relationships/image" Target="../media/image9.jpeg"/><Relationship Id="rId1" Type="http://schemas.openxmlformats.org/officeDocument/2006/relationships/chart" Target="../charts/chart17.xml"/><Relationship Id="rId6" Type="http://schemas.openxmlformats.org/officeDocument/2006/relationships/image" Target="../media/image19.png"/><Relationship Id="rId5" Type="http://schemas.openxmlformats.org/officeDocument/2006/relationships/image" Target="../media/image35.png"/><Relationship Id="rId4" Type="http://schemas.openxmlformats.org/officeDocument/2006/relationships/hyperlink" Target="#CentralCliente!A1"/></Relationships>
</file>

<file path=xl/drawings/_rels/drawing21.xml.rels><?xml version="1.0" encoding="UTF-8" standalone="yes"?>
<Relationships xmlns="http://schemas.openxmlformats.org/package/2006/relationships"><Relationship Id="rId3" Type="http://schemas.openxmlformats.org/officeDocument/2006/relationships/hyperlink" Target="#ListaProjetos!A1"/><Relationship Id="rId7" Type="http://schemas.openxmlformats.org/officeDocument/2006/relationships/image" Target="../media/image36.png"/><Relationship Id="rId2" Type="http://schemas.openxmlformats.org/officeDocument/2006/relationships/image" Target="../media/image12.png"/><Relationship Id="rId1" Type="http://schemas.openxmlformats.org/officeDocument/2006/relationships/hyperlink" Target="#Central!A1"/><Relationship Id="rId6" Type="http://schemas.openxmlformats.org/officeDocument/2006/relationships/image" Target="../media/image2.png"/><Relationship Id="rId5" Type="http://schemas.openxmlformats.org/officeDocument/2006/relationships/hyperlink" Target="#'Aux Projetos'!A1"/><Relationship Id="rId4" Type="http://schemas.openxmlformats.org/officeDocument/2006/relationships/image" Target="../media/image22.png"/></Relationships>
</file>

<file path=xl/drawings/_rels/drawing22.xml.rels><?xml version="1.0" encoding="UTF-8" standalone="yes"?>
<Relationships xmlns="http://schemas.openxmlformats.org/package/2006/relationships"><Relationship Id="rId3" Type="http://schemas.openxmlformats.org/officeDocument/2006/relationships/hyperlink" Target="#CentralProjetos!A1"/><Relationship Id="rId2" Type="http://schemas.openxmlformats.org/officeDocument/2006/relationships/hyperlink" Target="#Central!A1"/><Relationship Id="rId1" Type="http://schemas.openxmlformats.org/officeDocument/2006/relationships/image" Target="../media/image9.jpeg"/><Relationship Id="rId5" Type="http://schemas.openxmlformats.org/officeDocument/2006/relationships/image" Target="../media/image38.png"/><Relationship Id="rId4" Type="http://schemas.openxmlformats.org/officeDocument/2006/relationships/image" Target="../media/image37.png"/></Relationships>
</file>

<file path=xl/drawings/_rels/drawing23.xml.rels><?xml version="1.0" encoding="UTF-8" standalone="yes"?>
<Relationships xmlns="http://schemas.openxmlformats.org/package/2006/relationships"><Relationship Id="rId3" Type="http://schemas.openxmlformats.org/officeDocument/2006/relationships/hyperlink" Target="#CentralProjetos!A1"/><Relationship Id="rId2" Type="http://schemas.openxmlformats.org/officeDocument/2006/relationships/hyperlink" Target="#Central!A1"/><Relationship Id="rId1" Type="http://schemas.openxmlformats.org/officeDocument/2006/relationships/image" Target="../media/image9.jpeg"/><Relationship Id="rId5" Type="http://schemas.openxmlformats.org/officeDocument/2006/relationships/image" Target="../media/image39.png"/><Relationship Id="rId4" Type="http://schemas.openxmlformats.org/officeDocument/2006/relationships/image" Target="../media/image37.png"/></Relationships>
</file>

<file path=xl/drawings/_rels/drawing24.xml.rels><?xml version="1.0" encoding="UTF-8" standalone="yes"?>
<Relationships xmlns="http://schemas.openxmlformats.org/package/2006/relationships"><Relationship Id="rId8" Type="http://schemas.openxmlformats.org/officeDocument/2006/relationships/hyperlink" Target="#DashAtual!A1"/><Relationship Id="rId13" Type="http://schemas.openxmlformats.org/officeDocument/2006/relationships/hyperlink" Target="#PerformancePorMes!A1"/><Relationship Id="rId3" Type="http://schemas.openxmlformats.org/officeDocument/2006/relationships/hyperlink" Target="#Central!A1"/><Relationship Id="rId7" Type="http://schemas.openxmlformats.org/officeDocument/2006/relationships/image" Target="../media/image40.png"/><Relationship Id="rId12" Type="http://schemas.openxmlformats.org/officeDocument/2006/relationships/image" Target="../media/image42.png"/><Relationship Id="rId2" Type="http://schemas.openxmlformats.org/officeDocument/2006/relationships/image" Target="../media/image2.png"/><Relationship Id="rId1" Type="http://schemas.openxmlformats.org/officeDocument/2006/relationships/hyperlink" Target="#PerformancePorAnoAux!A1"/><Relationship Id="rId6" Type="http://schemas.openxmlformats.org/officeDocument/2006/relationships/hyperlink" Target="#'DashAtual Aux'!A1"/><Relationship Id="rId11" Type="http://schemas.openxmlformats.org/officeDocument/2006/relationships/hyperlink" Target="#LucroPorAno!A1"/><Relationship Id="rId5" Type="http://schemas.openxmlformats.org/officeDocument/2006/relationships/hyperlink" Target="#'DashAnual Aux'!A1"/><Relationship Id="rId10" Type="http://schemas.openxmlformats.org/officeDocument/2006/relationships/hyperlink" Target="#DashAnual!A1"/><Relationship Id="rId4" Type="http://schemas.openxmlformats.org/officeDocument/2006/relationships/image" Target="../media/image12.png"/><Relationship Id="rId9" Type="http://schemas.openxmlformats.org/officeDocument/2006/relationships/image" Target="../media/image41.png"/></Relationships>
</file>

<file path=xl/drawings/_rels/drawing25.xml.rels><?xml version="1.0" encoding="UTF-8" standalone="yes"?>
<Relationships xmlns="http://schemas.openxmlformats.org/package/2006/relationships"><Relationship Id="rId8" Type="http://schemas.openxmlformats.org/officeDocument/2006/relationships/image" Target="../media/image43.png"/><Relationship Id="rId3" Type="http://schemas.openxmlformats.org/officeDocument/2006/relationships/chart" Target="../charts/chart18.xml"/><Relationship Id="rId7" Type="http://schemas.openxmlformats.org/officeDocument/2006/relationships/hyperlink" Target="#'Performance da Empresa'!A1"/><Relationship Id="rId2" Type="http://schemas.openxmlformats.org/officeDocument/2006/relationships/image" Target="../media/image9.jpeg"/><Relationship Id="rId1" Type="http://schemas.openxmlformats.org/officeDocument/2006/relationships/hyperlink" Target="#Central!A1"/><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image" Target="../media/image44.png"/></Relationships>
</file>

<file path=xl/drawings/_rels/drawing26.xml.rels><?xml version="1.0" encoding="UTF-8" standalone="yes"?>
<Relationships xmlns="http://schemas.openxmlformats.org/package/2006/relationships"><Relationship Id="rId8" Type="http://schemas.openxmlformats.org/officeDocument/2006/relationships/image" Target="../media/image45.png"/><Relationship Id="rId3" Type="http://schemas.openxmlformats.org/officeDocument/2006/relationships/chart" Target="../charts/chart23.xml"/><Relationship Id="rId7" Type="http://schemas.openxmlformats.org/officeDocument/2006/relationships/hyperlink" Target="#'Performance da Empresa'!A1"/><Relationship Id="rId2" Type="http://schemas.openxmlformats.org/officeDocument/2006/relationships/chart" Target="../charts/chart22.xml"/><Relationship Id="rId1" Type="http://schemas.openxmlformats.org/officeDocument/2006/relationships/image" Target="../media/image9.jpeg"/><Relationship Id="rId6" Type="http://schemas.openxmlformats.org/officeDocument/2006/relationships/hyperlink" Target="#Central!A1"/><Relationship Id="rId5" Type="http://schemas.openxmlformats.org/officeDocument/2006/relationships/chart" Target="../charts/chart25.xml"/><Relationship Id="rId4" Type="http://schemas.openxmlformats.org/officeDocument/2006/relationships/chart" Target="../charts/chart24.xml"/><Relationship Id="rId9" Type="http://schemas.openxmlformats.org/officeDocument/2006/relationships/image" Target="../media/image44.png"/></Relationships>
</file>

<file path=xl/drawings/_rels/drawing27.xml.rels><?xml version="1.0" encoding="UTF-8" standalone="yes"?>
<Relationships xmlns="http://schemas.openxmlformats.org/package/2006/relationships"><Relationship Id="rId3" Type="http://schemas.openxmlformats.org/officeDocument/2006/relationships/hyperlink" Target="#Central!A1"/><Relationship Id="rId2" Type="http://schemas.openxmlformats.org/officeDocument/2006/relationships/chart" Target="../charts/chart26.xml"/><Relationship Id="rId1" Type="http://schemas.openxmlformats.org/officeDocument/2006/relationships/image" Target="../media/image9.jpeg"/><Relationship Id="rId6" Type="http://schemas.openxmlformats.org/officeDocument/2006/relationships/image" Target="../media/image42.png"/><Relationship Id="rId5" Type="http://schemas.openxmlformats.org/officeDocument/2006/relationships/image" Target="../media/image46.png"/><Relationship Id="rId4" Type="http://schemas.openxmlformats.org/officeDocument/2006/relationships/hyperlink" Target="#'Performance da Empresa'!A1"/></Relationships>
</file>

<file path=xl/drawings/_rels/drawing28.xml.rels><?xml version="1.0" encoding="UTF-8" standalone="yes"?>
<Relationships xmlns="http://schemas.openxmlformats.org/package/2006/relationships"><Relationship Id="rId3" Type="http://schemas.openxmlformats.org/officeDocument/2006/relationships/hyperlink" Target="#Central!A1"/><Relationship Id="rId2" Type="http://schemas.openxmlformats.org/officeDocument/2006/relationships/chart" Target="../charts/chart27.xml"/><Relationship Id="rId1" Type="http://schemas.openxmlformats.org/officeDocument/2006/relationships/image" Target="../media/image9.jpeg"/><Relationship Id="rId6" Type="http://schemas.openxmlformats.org/officeDocument/2006/relationships/image" Target="../media/image42.png"/><Relationship Id="rId5" Type="http://schemas.openxmlformats.org/officeDocument/2006/relationships/image" Target="../media/image47.png"/><Relationship Id="rId4" Type="http://schemas.openxmlformats.org/officeDocument/2006/relationships/hyperlink" Target="#'Performance da Empresa'!A1"/></Relationships>
</file>

<file path=xl/drawings/_rels/drawing29.xml.rels><?xml version="1.0" encoding="UTF-8" standalone="yes"?>
<Relationships xmlns="http://schemas.openxmlformats.org/package/2006/relationships"><Relationship Id="rId3" Type="http://schemas.openxmlformats.org/officeDocument/2006/relationships/hyperlink" Target="#'Performance da Empresa'!A1"/><Relationship Id="rId2" Type="http://schemas.openxmlformats.org/officeDocument/2006/relationships/hyperlink" Target="#Central!A1"/><Relationship Id="rId1" Type="http://schemas.openxmlformats.org/officeDocument/2006/relationships/image" Target="../media/image9.jpeg"/><Relationship Id="rId5" Type="http://schemas.openxmlformats.org/officeDocument/2006/relationships/image" Target="../media/image48.png"/><Relationship Id="rId4" Type="http://schemas.openxmlformats.org/officeDocument/2006/relationships/image" Target="../media/image46.png"/></Relationships>
</file>

<file path=xl/drawings/_rels/drawing30.xml.rels><?xml version="1.0" encoding="UTF-8" standalone="yes"?>
<Relationships xmlns="http://schemas.openxmlformats.org/package/2006/relationships"><Relationship Id="rId3" Type="http://schemas.openxmlformats.org/officeDocument/2006/relationships/hyperlink" Target="#'Performance da Empresa'!A1"/><Relationship Id="rId2" Type="http://schemas.openxmlformats.org/officeDocument/2006/relationships/hyperlink" Target="#Central!A1"/><Relationship Id="rId1" Type="http://schemas.openxmlformats.org/officeDocument/2006/relationships/image" Target="../media/image9.jpeg"/><Relationship Id="rId5" Type="http://schemas.openxmlformats.org/officeDocument/2006/relationships/image" Target="../media/image39.png"/><Relationship Id="rId4" Type="http://schemas.openxmlformats.org/officeDocument/2006/relationships/image" Target="../media/image46.png"/></Relationships>
</file>

<file path=xl/drawings/_rels/drawing31.xml.rels><?xml version="1.0" encoding="UTF-8" standalone="yes"?>
<Relationships xmlns="http://schemas.openxmlformats.org/package/2006/relationships"><Relationship Id="rId3" Type="http://schemas.openxmlformats.org/officeDocument/2006/relationships/hyperlink" Target="#Central!A1"/><Relationship Id="rId2" Type="http://schemas.openxmlformats.org/officeDocument/2006/relationships/image" Target="../media/image9.jpeg"/><Relationship Id="rId1" Type="http://schemas.openxmlformats.org/officeDocument/2006/relationships/chart" Target="../charts/chart28.xml"/><Relationship Id="rId6" Type="http://schemas.openxmlformats.org/officeDocument/2006/relationships/image" Target="../media/image20.png"/><Relationship Id="rId5" Type="http://schemas.openxmlformats.org/officeDocument/2006/relationships/image" Target="../media/image49.png"/><Relationship Id="rId4" Type="http://schemas.openxmlformats.org/officeDocument/2006/relationships/hyperlink" Target="#'Performance da Empresa'!A1"/></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104775</xdr:rowOff>
    </xdr:from>
    <xdr:to>
      <xdr:col>0</xdr:col>
      <xdr:colOff>542925</xdr:colOff>
      <xdr:row>3</xdr:row>
      <xdr:rowOff>1</xdr:rowOff>
    </xdr:to>
    <xdr:sp macro="" textlink="">
      <xdr:nvSpPr>
        <xdr:cNvPr id="21" name="Flowchart: Connector 20">
          <a:extLst>
            <a:ext uri="{FF2B5EF4-FFF2-40B4-BE49-F238E27FC236}">
              <a16:creationId xmlns:a16="http://schemas.microsoft.com/office/drawing/2014/main" id="{E823EECF-E60F-4CEC-8518-9A03FE6D82F0}"/>
            </a:ext>
          </a:extLst>
        </xdr:cNvPr>
        <xdr:cNvSpPr/>
      </xdr:nvSpPr>
      <xdr:spPr>
        <a:xfrm>
          <a:off x="66675" y="104775"/>
          <a:ext cx="476250" cy="466726"/>
        </a:xfrm>
        <a:prstGeom prst="flowChartConnector">
          <a:avLst/>
        </a:prstGeom>
        <a:solidFill>
          <a:srgbClr val="FFFBEF"/>
        </a:solid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171450</xdr:colOff>
      <xdr:row>1</xdr:row>
      <xdr:rowOff>180975</xdr:rowOff>
    </xdr:from>
    <xdr:to>
      <xdr:col>7</xdr:col>
      <xdr:colOff>466725</xdr:colOff>
      <xdr:row>10</xdr:row>
      <xdr:rowOff>38099</xdr:rowOff>
    </xdr:to>
    <xdr:sp macro="" textlink="">
      <xdr:nvSpPr>
        <xdr:cNvPr id="2" name="Flowchart: Connector 1">
          <a:extLst>
            <a:ext uri="{FF2B5EF4-FFF2-40B4-BE49-F238E27FC236}">
              <a16:creationId xmlns:a16="http://schemas.microsoft.com/office/drawing/2014/main" id="{D77B7C3A-FF4A-4C69-8355-3317F183166D}"/>
            </a:ext>
          </a:extLst>
        </xdr:cNvPr>
        <xdr:cNvSpPr/>
      </xdr:nvSpPr>
      <xdr:spPr>
        <a:xfrm>
          <a:off x="3219450" y="371475"/>
          <a:ext cx="1514475" cy="1581149"/>
        </a:xfrm>
        <a:prstGeom prst="flowChartConnector">
          <a:avLst/>
        </a:prstGeom>
        <a:solidFill>
          <a:schemeClr val="tx1">
            <a:lumMod val="50000"/>
            <a:lumOff val="50000"/>
          </a:schemeClr>
        </a:solid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95250</xdr:colOff>
      <xdr:row>1</xdr:row>
      <xdr:rowOff>19050</xdr:rowOff>
    </xdr:from>
    <xdr:to>
      <xdr:col>7</xdr:col>
      <xdr:colOff>581025</xdr:colOff>
      <xdr:row>11</xdr:row>
      <xdr:rowOff>19454</xdr:rowOff>
    </xdr:to>
    <xdr:pic>
      <xdr:nvPicPr>
        <xdr:cNvPr id="5" name="Picture 4">
          <a:extLst>
            <a:ext uri="{FF2B5EF4-FFF2-40B4-BE49-F238E27FC236}">
              <a16:creationId xmlns:a16="http://schemas.microsoft.com/office/drawing/2014/main" id="{3EC0E420-4ACF-4E6C-B9F5-CD06E52FEA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43250" y="209550"/>
          <a:ext cx="1704975" cy="1914929"/>
        </a:xfrm>
        <a:prstGeom prst="rect">
          <a:avLst/>
        </a:prstGeom>
      </xdr:spPr>
    </xdr:pic>
    <xdr:clientData/>
  </xdr:twoCellAnchor>
  <xdr:twoCellAnchor>
    <xdr:from>
      <xdr:col>6</xdr:col>
      <xdr:colOff>76200</xdr:colOff>
      <xdr:row>19</xdr:row>
      <xdr:rowOff>180975</xdr:rowOff>
    </xdr:from>
    <xdr:to>
      <xdr:col>7</xdr:col>
      <xdr:colOff>19049</xdr:colOff>
      <xdr:row>22</xdr:row>
      <xdr:rowOff>171449</xdr:rowOff>
    </xdr:to>
    <xdr:sp macro="" textlink="">
      <xdr:nvSpPr>
        <xdr:cNvPr id="7" name="Flowchart: Connector 6">
          <a:extLst>
            <a:ext uri="{FF2B5EF4-FFF2-40B4-BE49-F238E27FC236}">
              <a16:creationId xmlns:a16="http://schemas.microsoft.com/office/drawing/2014/main" id="{0DA07A8F-CB71-41D2-B045-6EDCFA361B74}"/>
            </a:ext>
          </a:extLst>
        </xdr:cNvPr>
        <xdr:cNvSpPr/>
      </xdr:nvSpPr>
      <xdr:spPr>
        <a:xfrm>
          <a:off x="3124200" y="363855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66675</xdr:colOff>
      <xdr:row>16</xdr:row>
      <xdr:rowOff>19050</xdr:rowOff>
    </xdr:from>
    <xdr:to>
      <xdr:col>7</xdr:col>
      <xdr:colOff>9524</xdr:colOff>
      <xdr:row>19</xdr:row>
      <xdr:rowOff>9524</xdr:rowOff>
    </xdr:to>
    <xdr:sp macro="" textlink="">
      <xdr:nvSpPr>
        <xdr:cNvPr id="8" name="Flowchart: Connector 7">
          <a:extLst>
            <a:ext uri="{FF2B5EF4-FFF2-40B4-BE49-F238E27FC236}">
              <a16:creationId xmlns:a16="http://schemas.microsoft.com/office/drawing/2014/main" id="{57F77A45-5E6E-4FE4-8578-DF1EE4D9D634}"/>
            </a:ext>
          </a:extLst>
        </xdr:cNvPr>
        <xdr:cNvSpPr/>
      </xdr:nvSpPr>
      <xdr:spPr>
        <a:xfrm>
          <a:off x="3114675" y="289560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76200</xdr:colOff>
      <xdr:row>12</xdr:row>
      <xdr:rowOff>0</xdr:rowOff>
    </xdr:from>
    <xdr:to>
      <xdr:col>7</xdr:col>
      <xdr:colOff>19049</xdr:colOff>
      <xdr:row>14</xdr:row>
      <xdr:rowOff>171449</xdr:rowOff>
    </xdr:to>
    <xdr:sp macro="" textlink="">
      <xdr:nvSpPr>
        <xdr:cNvPr id="9" name="Flowchart: Connector 8">
          <a:extLst>
            <a:ext uri="{FF2B5EF4-FFF2-40B4-BE49-F238E27FC236}">
              <a16:creationId xmlns:a16="http://schemas.microsoft.com/office/drawing/2014/main" id="{006A98CC-227F-456A-A970-BC6D29534DCE}"/>
            </a:ext>
          </a:extLst>
        </xdr:cNvPr>
        <xdr:cNvSpPr/>
      </xdr:nvSpPr>
      <xdr:spPr>
        <a:xfrm>
          <a:off x="3124200" y="2105025"/>
          <a:ext cx="552449" cy="561974"/>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57150</xdr:colOff>
      <xdr:row>12</xdr:row>
      <xdr:rowOff>9525</xdr:rowOff>
    </xdr:from>
    <xdr:to>
      <xdr:col>9</xdr:col>
      <xdr:colOff>609599</xdr:colOff>
      <xdr:row>14</xdr:row>
      <xdr:rowOff>190499</xdr:rowOff>
    </xdr:to>
    <xdr:sp macro="" textlink="">
      <xdr:nvSpPr>
        <xdr:cNvPr id="13" name="Flowchart: Connector 12">
          <a:extLst>
            <a:ext uri="{FF2B5EF4-FFF2-40B4-BE49-F238E27FC236}">
              <a16:creationId xmlns:a16="http://schemas.microsoft.com/office/drawing/2014/main" id="{8563D6D4-A9F4-4130-85B4-0CB63C0FE55E}"/>
            </a:ext>
          </a:extLst>
        </xdr:cNvPr>
        <xdr:cNvSpPr/>
      </xdr:nvSpPr>
      <xdr:spPr>
        <a:xfrm>
          <a:off x="5829300" y="211455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180975</xdr:colOff>
      <xdr:row>12</xdr:row>
      <xdr:rowOff>171450</xdr:rowOff>
    </xdr:from>
    <xdr:to>
      <xdr:col>9</xdr:col>
      <xdr:colOff>476250</xdr:colOff>
      <xdr:row>14</xdr:row>
      <xdr:rowOff>6162</xdr:rowOff>
    </xdr:to>
    <xdr:pic>
      <xdr:nvPicPr>
        <xdr:cNvPr id="15" name="Picture 14">
          <a:hlinkClick xmlns:r="http://schemas.openxmlformats.org/officeDocument/2006/relationships" r:id="rId2"/>
          <a:extLst>
            <a:ext uri="{FF2B5EF4-FFF2-40B4-BE49-F238E27FC236}">
              <a16:creationId xmlns:a16="http://schemas.microsoft.com/office/drawing/2014/main" id="{E72AA502-24D2-4488-8990-48D200C0523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53125" y="2276475"/>
          <a:ext cx="295275" cy="263337"/>
        </a:xfrm>
        <a:prstGeom prst="rect">
          <a:avLst/>
        </a:prstGeom>
      </xdr:spPr>
    </xdr:pic>
    <xdr:clientData/>
  </xdr:twoCellAnchor>
  <xdr:twoCellAnchor>
    <xdr:from>
      <xdr:col>7</xdr:col>
      <xdr:colOff>447674</xdr:colOff>
      <xdr:row>5</xdr:row>
      <xdr:rowOff>47625</xdr:rowOff>
    </xdr:from>
    <xdr:to>
      <xdr:col>10</xdr:col>
      <xdr:colOff>609599</xdr:colOff>
      <xdr:row>6</xdr:row>
      <xdr:rowOff>180975</xdr:rowOff>
    </xdr:to>
    <xdr:sp macro="" textlink="">
      <xdr:nvSpPr>
        <xdr:cNvPr id="16" name="TextBox 15">
          <a:extLst>
            <a:ext uri="{FF2B5EF4-FFF2-40B4-BE49-F238E27FC236}">
              <a16:creationId xmlns:a16="http://schemas.microsoft.com/office/drawing/2014/main" id="{B85110D7-F07C-41F2-A429-38868FCCB0EC}"/>
            </a:ext>
          </a:extLst>
        </xdr:cNvPr>
        <xdr:cNvSpPr txBox="1"/>
      </xdr:nvSpPr>
      <xdr:spPr>
        <a:xfrm>
          <a:off x="4714874" y="1000125"/>
          <a:ext cx="3590925" cy="333375"/>
        </a:xfrm>
        <a:prstGeom prst="rect">
          <a:avLst/>
        </a:prstGeom>
        <a:solidFill>
          <a:srgbClr val="FFFBEF"/>
        </a:solidFill>
        <a:ln w="2857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t>Planilha de Gerenciamento Autolife</a:t>
          </a:r>
        </a:p>
      </xdr:txBody>
    </xdr:sp>
    <xdr:clientData/>
  </xdr:twoCellAnchor>
  <xdr:twoCellAnchor>
    <xdr:from>
      <xdr:col>6</xdr:col>
      <xdr:colOff>76200</xdr:colOff>
      <xdr:row>23</xdr:row>
      <xdr:rowOff>171450</xdr:rowOff>
    </xdr:from>
    <xdr:to>
      <xdr:col>7</xdr:col>
      <xdr:colOff>19049</xdr:colOff>
      <xdr:row>26</xdr:row>
      <xdr:rowOff>171449</xdr:rowOff>
    </xdr:to>
    <xdr:sp macro="" textlink="">
      <xdr:nvSpPr>
        <xdr:cNvPr id="26" name="Flowchart: Connector 25">
          <a:extLst>
            <a:ext uri="{FF2B5EF4-FFF2-40B4-BE49-F238E27FC236}">
              <a16:creationId xmlns:a16="http://schemas.microsoft.com/office/drawing/2014/main" id="{805FD911-7C95-4FD1-8998-9969B9C45E60}"/>
            </a:ext>
          </a:extLst>
        </xdr:cNvPr>
        <xdr:cNvSpPr/>
      </xdr:nvSpPr>
      <xdr:spPr>
        <a:xfrm>
          <a:off x="3733800" y="4400550"/>
          <a:ext cx="552449" cy="581024"/>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xdr:colOff>
      <xdr:row>28</xdr:row>
      <xdr:rowOff>0</xdr:rowOff>
    </xdr:from>
    <xdr:to>
      <xdr:col>6</xdr:col>
      <xdr:colOff>609599</xdr:colOff>
      <xdr:row>30</xdr:row>
      <xdr:rowOff>190499</xdr:rowOff>
    </xdr:to>
    <xdr:sp macro="" textlink="">
      <xdr:nvSpPr>
        <xdr:cNvPr id="27" name="Flowchart: Connector 26">
          <a:extLst>
            <a:ext uri="{FF2B5EF4-FFF2-40B4-BE49-F238E27FC236}">
              <a16:creationId xmlns:a16="http://schemas.microsoft.com/office/drawing/2014/main" id="{2F391732-15CD-4DB8-97D6-961F84DDADC6}"/>
            </a:ext>
          </a:extLst>
        </xdr:cNvPr>
        <xdr:cNvSpPr/>
      </xdr:nvSpPr>
      <xdr:spPr>
        <a:xfrm>
          <a:off x="3714750" y="5191125"/>
          <a:ext cx="552449" cy="581024"/>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104775</xdr:colOff>
      <xdr:row>12</xdr:row>
      <xdr:rowOff>38100</xdr:rowOff>
    </xdr:from>
    <xdr:to>
      <xdr:col>6</xdr:col>
      <xdr:colOff>600075</xdr:colOff>
      <xdr:row>14</xdr:row>
      <xdr:rowOff>104775</xdr:rowOff>
    </xdr:to>
    <xdr:pic>
      <xdr:nvPicPr>
        <xdr:cNvPr id="29" name="Picture 28">
          <a:hlinkClick xmlns:r="http://schemas.openxmlformats.org/officeDocument/2006/relationships" r:id="rId4"/>
          <a:extLst>
            <a:ext uri="{FF2B5EF4-FFF2-40B4-BE49-F238E27FC236}">
              <a16:creationId xmlns:a16="http://schemas.microsoft.com/office/drawing/2014/main" id="{9108E926-DDE7-49A7-A8DC-9DFA33ACE42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62375" y="2143125"/>
          <a:ext cx="495300" cy="495300"/>
        </a:xfrm>
        <a:prstGeom prst="rect">
          <a:avLst/>
        </a:prstGeom>
      </xdr:spPr>
    </xdr:pic>
    <xdr:clientData/>
  </xdr:twoCellAnchor>
  <xdr:twoCellAnchor editAs="oneCell">
    <xdr:from>
      <xdr:col>6</xdr:col>
      <xdr:colOff>161925</xdr:colOff>
      <xdr:row>16</xdr:row>
      <xdr:rowOff>95250</xdr:rowOff>
    </xdr:from>
    <xdr:to>
      <xdr:col>6</xdr:col>
      <xdr:colOff>571500</xdr:colOff>
      <xdr:row>18</xdr:row>
      <xdr:rowOff>76200</xdr:rowOff>
    </xdr:to>
    <xdr:pic>
      <xdr:nvPicPr>
        <xdr:cNvPr id="30" name="Picture 29">
          <a:hlinkClick xmlns:r="http://schemas.openxmlformats.org/officeDocument/2006/relationships" r:id="rId6"/>
          <a:extLst>
            <a:ext uri="{FF2B5EF4-FFF2-40B4-BE49-F238E27FC236}">
              <a16:creationId xmlns:a16="http://schemas.microsoft.com/office/drawing/2014/main" id="{A4477A12-E8D7-4FE8-9557-0D671B725FB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819525" y="2971800"/>
          <a:ext cx="409575" cy="409575"/>
        </a:xfrm>
        <a:prstGeom prst="rect">
          <a:avLst/>
        </a:prstGeom>
      </xdr:spPr>
    </xdr:pic>
    <xdr:clientData/>
  </xdr:twoCellAnchor>
  <xdr:twoCellAnchor editAs="oneCell">
    <xdr:from>
      <xdr:col>6</xdr:col>
      <xdr:colOff>114301</xdr:colOff>
      <xdr:row>20</xdr:row>
      <xdr:rowOff>28576</xdr:rowOff>
    </xdr:from>
    <xdr:to>
      <xdr:col>6</xdr:col>
      <xdr:colOff>590551</xdr:colOff>
      <xdr:row>22</xdr:row>
      <xdr:rowOff>76201</xdr:rowOff>
    </xdr:to>
    <xdr:pic>
      <xdr:nvPicPr>
        <xdr:cNvPr id="31" name="Picture 30">
          <a:hlinkClick xmlns:r="http://schemas.openxmlformats.org/officeDocument/2006/relationships" r:id="rId8"/>
          <a:extLst>
            <a:ext uri="{FF2B5EF4-FFF2-40B4-BE49-F238E27FC236}">
              <a16:creationId xmlns:a16="http://schemas.microsoft.com/office/drawing/2014/main" id="{D22A8A1E-8EF6-425A-8D2B-EFC1B0DDF13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771901" y="3676651"/>
          <a:ext cx="476250" cy="476250"/>
        </a:xfrm>
        <a:prstGeom prst="rect">
          <a:avLst/>
        </a:prstGeom>
      </xdr:spPr>
    </xdr:pic>
    <xdr:clientData/>
  </xdr:twoCellAnchor>
  <xdr:twoCellAnchor editAs="oneCell">
    <xdr:from>
      <xdr:col>6</xdr:col>
      <xdr:colOff>161926</xdr:colOff>
      <xdr:row>24</xdr:row>
      <xdr:rowOff>66676</xdr:rowOff>
    </xdr:from>
    <xdr:to>
      <xdr:col>6</xdr:col>
      <xdr:colOff>600076</xdr:colOff>
      <xdr:row>26</xdr:row>
      <xdr:rowOff>76201</xdr:rowOff>
    </xdr:to>
    <xdr:pic>
      <xdr:nvPicPr>
        <xdr:cNvPr id="32" name="Picture 31">
          <a:hlinkClick xmlns:r="http://schemas.openxmlformats.org/officeDocument/2006/relationships" r:id="rId10"/>
          <a:extLst>
            <a:ext uri="{FF2B5EF4-FFF2-40B4-BE49-F238E27FC236}">
              <a16:creationId xmlns:a16="http://schemas.microsoft.com/office/drawing/2014/main" id="{096225A3-BCA0-4EE4-A19B-EDEDE161589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819526" y="4486276"/>
          <a:ext cx="438150" cy="438150"/>
        </a:xfrm>
        <a:prstGeom prst="rect">
          <a:avLst/>
        </a:prstGeom>
      </xdr:spPr>
    </xdr:pic>
    <xdr:clientData/>
  </xdr:twoCellAnchor>
  <xdr:twoCellAnchor editAs="oneCell">
    <xdr:from>
      <xdr:col>6</xdr:col>
      <xdr:colOff>123826</xdr:colOff>
      <xdr:row>28</xdr:row>
      <xdr:rowOff>104776</xdr:rowOff>
    </xdr:from>
    <xdr:to>
      <xdr:col>6</xdr:col>
      <xdr:colOff>514350</xdr:colOff>
      <xdr:row>30</xdr:row>
      <xdr:rowOff>66675</xdr:rowOff>
    </xdr:to>
    <xdr:pic>
      <xdr:nvPicPr>
        <xdr:cNvPr id="33" name="Picture 32">
          <a:hlinkClick xmlns:r="http://schemas.openxmlformats.org/officeDocument/2006/relationships" r:id="rId12"/>
          <a:extLst>
            <a:ext uri="{FF2B5EF4-FFF2-40B4-BE49-F238E27FC236}">
              <a16:creationId xmlns:a16="http://schemas.microsoft.com/office/drawing/2014/main" id="{3BA79303-80C4-4DEC-B316-451711EAF27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781426" y="5295901"/>
          <a:ext cx="390524" cy="390524"/>
        </a:xfrm>
        <a:prstGeom prst="rect">
          <a:avLst/>
        </a:prstGeom>
      </xdr:spPr>
    </xdr:pic>
    <xdr:clientData/>
  </xdr:twoCellAnchor>
  <xdr:twoCellAnchor editAs="oneCell">
    <xdr:from>
      <xdr:col>0</xdr:col>
      <xdr:colOff>152400</xdr:colOff>
      <xdr:row>0</xdr:row>
      <xdr:rowOff>190499</xdr:rowOff>
    </xdr:from>
    <xdr:to>
      <xdr:col>0</xdr:col>
      <xdr:colOff>466725</xdr:colOff>
      <xdr:row>2</xdr:row>
      <xdr:rowOff>123824</xdr:rowOff>
    </xdr:to>
    <xdr:pic macro="[0]!RefreshAll2">
      <xdr:nvPicPr>
        <xdr:cNvPr id="4" name="Picture 3">
          <a:extLst>
            <a:ext uri="{FF2B5EF4-FFF2-40B4-BE49-F238E27FC236}">
              <a16:creationId xmlns:a16="http://schemas.microsoft.com/office/drawing/2014/main" id="{974613B8-CC4E-4645-907F-B7355DA4434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52400" y="190499"/>
          <a:ext cx="314325" cy="314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3" name="Picture 2">
          <a:hlinkClick xmlns:r="http://schemas.openxmlformats.org/officeDocument/2006/relationships" r:id="rId1"/>
          <a:extLst>
            <a:ext uri="{FF2B5EF4-FFF2-40B4-BE49-F238E27FC236}">
              <a16:creationId xmlns:a16="http://schemas.microsoft.com/office/drawing/2014/main" id="{97CD0EFC-2FAF-4417-A8CE-52FB0AE552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1</xdr:col>
      <xdr:colOff>63501</xdr:colOff>
      <xdr:row>3</xdr:row>
      <xdr:rowOff>74084</xdr:rowOff>
    </xdr:from>
    <xdr:to>
      <xdr:col>1</xdr:col>
      <xdr:colOff>558801</xdr:colOff>
      <xdr:row>5</xdr:row>
      <xdr:rowOff>177801</xdr:rowOff>
    </xdr:to>
    <xdr:pic>
      <xdr:nvPicPr>
        <xdr:cNvPr id="5" name="Picture 4">
          <a:extLst>
            <a:ext uri="{FF2B5EF4-FFF2-40B4-BE49-F238E27FC236}">
              <a16:creationId xmlns:a16="http://schemas.microsoft.com/office/drawing/2014/main" id="{C1A8AAFA-89BA-4BFF-928C-183DFBCC0FC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7334" y="645584"/>
          <a:ext cx="4953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590549</xdr:colOff>
      <xdr:row>2</xdr:row>
      <xdr:rowOff>190951</xdr:rowOff>
    </xdr:to>
    <xdr:pic>
      <xdr:nvPicPr>
        <xdr:cNvPr id="2" name="Picture 1">
          <a:hlinkClick xmlns:r="http://schemas.openxmlformats.org/officeDocument/2006/relationships" r:id="rId1"/>
          <a:extLst>
            <a:ext uri="{FF2B5EF4-FFF2-40B4-BE49-F238E27FC236}">
              <a16:creationId xmlns:a16="http://schemas.microsoft.com/office/drawing/2014/main" id="{4103D14E-C3EC-48A3-8FBC-3D3072B513E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590549" cy="562426"/>
        </a:xfrm>
        <a:prstGeom prst="rect">
          <a:avLst/>
        </a:prstGeom>
      </xdr:spPr>
    </xdr:pic>
    <xdr:clientData/>
  </xdr:twoCellAnchor>
  <xdr:twoCellAnchor editAs="oneCell">
    <xdr:from>
      <xdr:col>0</xdr:col>
      <xdr:colOff>66675</xdr:colOff>
      <xdr:row>3</xdr:row>
      <xdr:rowOff>95249</xdr:rowOff>
    </xdr:from>
    <xdr:to>
      <xdr:col>0</xdr:col>
      <xdr:colOff>504563</xdr:colOff>
      <xdr:row>5</xdr:row>
      <xdr:rowOff>104774</xdr:rowOff>
    </xdr:to>
    <xdr:pic>
      <xdr:nvPicPr>
        <xdr:cNvPr id="5" name="Picture 4">
          <a:extLst>
            <a:ext uri="{FF2B5EF4-FFF2-40B4-BE49-F238E27FC236}">
              <a16:creationId xmlns:a16="http://schemas.microsoft.com/office/drawing/2014/main" id="{DBA0DFCF-A888-4D53-A4FB-BF9EB1013D6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675" y="676274"/>
          <a:ext cx="437888" cy="3905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190500</xdr:colOff>
      <xdr:row>1</xdr:row>
      <xdr:rowOff>1</xdr:rowOff>
    </xdr:from>
    <xdr:to>
      <xdr:col>2</xdr:col>
      <xdr:colOff>419099</xdr:colOff>
      <xdr:row>8</xdr:row>
      <xdr:rowOff>152400</xdr:rowOff>
    </xdr:to>
    <xdr:sp macro="" textlink="">
      <xdr:nvSpPr>
        <xdr:cNvPr id="2" name="Flowchart: Connector 1">
          <a:extLst>
            <a:ext uri="{FF2B5EF4-FFF2-40B4-BE49-F238E27FC236}">
              <a16:creationId xmlns:a16="http://schemas.microsoft.com/office/drawing/2014/main" id="{17B07D03-1F90-4323-B50D-3D0E518CF0D8}"/>
            </a:ext>
          </a:extLst>
        </xdr:cNvPr>
        <xdr:cNvSpPr/>
      </xdr:nvSpPr>
      <xdr:spPr>
        <a:xfrm>
          <a:off x="190500" y="190501"/>
          <a:ext cx="1447799" cy="1495424"/>
        </a:xfrm>
        <a:prstGeom prst="flowChartConnector">
          <a:avLst/>
        </a:prstGeom>
        <a:solidFill>
          <a:schemeClr val="tx1">
            <a:lumMod val="50000"/>
            <a:lumOff val="50000"/>
          </a:schemeClr>
        </a:solid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200025</xdr:colOff>
      <xdr:row>19</xdr:row>
      <xdr:rowOff>142875</xdr:rowOff>
    </xdr:from>
    <xdr:to>
      <xdr:col>8</xdr:col>
      <xdr:colOff>495300</xdr:colOff>
      <xdr:row>21</xdr:row>
      <xdr:rowOff>15687</xdr:rowOff>
    </xdr:to>
    <xdr:pic>
      <xdr:nvPicPr>
        <xdr:cNvPr id="3" name="Picture 2">
          <a:hlinkClick xmlns:r="http://schemas.openxmlformats.org/officeDocument/2006/relationships" r:id="rId1"/>
          <a:extLst>
            <a:ext uri="{FF2B5EF4-FFF2-40B4-BE49-F238E27FC236}">
              <a16:creationId xmlns:a16="http://schemas.microsoft.com/office/drawing/2014/main" id="{D25B2260-BAE4-4F4E-9416-7788013176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72175" y="3790950"/>
          <a:ext cx="295275" cy="263337"/>
        </a:xfrm>
        <a:prstGeom prst="rect">
          <a:avLst/>
        </a:prstGeom>
      </xdr:spPr>
    </xdr:pic>
    <xdr:clientData/>
  </xdr:twoCellAnchor>
  <xdr:twoCellAnchor editAs="oneCell">
    <xdr:from>
      <xdr:col>11</xdr:col>
      <xdr:colOff>209550</xdr:colOff>
      <xdr:row>19</xdr:row>
      <xdr:rowOff>133350</xdr:rowOff>
    </xdr:from>
    <xdr:to>
      <xdr:col>11</xdr:col>
      <xdr:colOff>504825</xdr:colOff>
      <xdr:row>21</xdr:row>
      <xdr:rowOff>6162</xdr:rowOff>
    </xdr:to>
    <xdr:pic>
      <xdr:nvPicPr>
        <xdr:cNvPr id="4" name="Picture 3">
          <a:hlinkClick xmlns:r="http://schemas.openxmlformats.org/officeDocument/2006/relationships" r:id="rId3"/>
          <a:extLst>
            <a:ext uri="{FF2B5EF4-FFF2-40B4-BE49-F238E27FC236}">
              <a16:creationId xmlns:a16="http://schemas.microsoft.com/office/drawing/2014/main" id="{99850624-9156-4F56-A095-FAE73E34A5E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81875" y="3781425"/>
          <a:ext cx="295275" cy="263337"/>
        </a:xfrm>
        <a:prstGeom prst="rect">
          <a:avLst/>
        </a:prstGeom>
      </xdr:spPr>
    </xdr:pic>
    <xdr:clientData/>
  </xdr:twoCellAnchor>
  <xdr:twoCellAnchor editAs="oneCell">
    <xdr:from>
      <xdr:col>0</xdr:col>
      <xdr:colOff>85725</xdr:colOff>
      <xdr:row>0</xdr:row>
      <xdr:rowOff>28575</xdr:rowOff>
    </xdr:from>
    <xdr:to>
      <xdr:col>2</xdr:col>
      <xdr:colOff>520256</xdr:colOff>
      <xdr:row>9</xdr:row>
      <xdr:rowOff>161925</xdr:rowOff>
    </xdr:to>
    <xdr:pic>
      <xdr:nvPicPr>
        <xdr:cNvPr id="5" name="Picture 4">
          <a:hlinkClick xmlns:r="http://schemas.openxmlformats.org/officeDocument/2006/relationships" r:id="rId4"/>
          <a:extLst>
            <a:ext uri="{FF2B5EF4-FFF2-40B4-BE49-F238E27FC236}">
              <a16:creationId xmlns:a16="http://schemas.microsoft.com/office/drawing/2014/main" id="{1E1293BD-A531-4542-B993-521D1387F7B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5725" y="28575"/>
          <a:ext cx="1653731" cy="1857375"/>
        </a:xfrm>
        <a:prstGeom prst="rect">
          <a:avLst/>
        </a:prstGeom>
      </xdr:spPr>
    </xdr:pic>
    <xdr:clientData/>
  </xdr:twoCellAnchor>
  <xdr:twoCellAnchor>
    <xdr:from>
      <xdr:col>4</xdr:col>
      <xdr:colOff>276225</xdr:colOff>
      <xdr:row>2</xdr:row>
      <xdr:rowOff>57151</xdr:rowOff>
    </xdr:from>
    <xdr:to>
      <xdr:col>6</xdr:col>
      <xdr:colOff>323850</xdr:colOff>
      <xdr:row>8</xdr:row>
      <xdr:rowOff>180975</xdr:rowOff>
    </xdr:to>
    <xdr:sp macro="" textlink="">
      <xdr:nvSpPr>
        <xdr:cNvPr id="6" name="Flowchart: Connector 5">
          <a:extLst>
            <a:ext uri="{FF2B5EF4-FFF2-40B4-BE49-F238E27FC236}">
              <a16:creationId xmlns:a16="http://schemas.microsoft.com/office/drawing/2014/main" id="{6ABECC30-B193-4049-AD35-FA87A26161D0}"/>
            </a:ext>
          </a:extLst>
        </xdr:cNvPr>
        <xdr:cNvSpPr/>
      </xdr:nvSpPr>
      <xdr:spPr>
        <a:xfrm>
          <a:off x="2714625" y="438151"/>
          <a:ext cx="1266825" cy="1276349"/>
        </a:xfrm>
        <a:prstGeom prst="flowChartConnector">
          <a:avLst/>
        </a:prstGeom>
        <a:solidFill>
          <a:srgbClr val="FFFBEF"/>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xdr:colOff>
      <xdr:row>18</xdr:row>
      <xdr:rowOff>180975</xdr:rowOff>
    </xdr:from>
    <xdr:to>
      <xdr:col>6</xdr:col>
      <xdr:colOff>19049</xdr:colOff>
      <xdr:row>21</xdr:row>
      <xdr:rowOff>171449</xdr:rowOff>
    </xdr:to>
    <xdr:sp macro="" textlink="">
      <xdr:nvSpPr>
        <xdr:cNvPr id="7" name="Flowchart: Connector 6">
          <a:extLst>
            <a:ext uri="{FF2B5EF4-FFF2-40B4-BE49-F238E27FC236}">
              <a16:creationId xmlns:a16="http://schemas.microsoft.com/office/drawing/2014/main" id="{70DEEC6C-5963-4E8E-9DE0-7EF911B9D524}"/>
            </a:ext>
          </a:extLst>
        </xdr:cNvPr>
        <xdr:cNvSpPr/>
      </xdr:nvSpPr>
      <xdr:spPr>
        <a:xfrm>
          <a:off x="3124200" y="363855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66675</xdr:colOff>
      <xdr:row>15</xdr:row>
      <xdr:rowOff>19050</xdr:rowOff>
    </xdr:from>
    <xdr:to>
      <xdr:col>6</xdr:col>
      <xdr:colOff>9524</xdr:colOff>
      <xdr:row>18</xdr:row>
      <xdr:rowOff>9524</xdr:rowOff>
    </xdr:to>
    <xdr:sp macro="" textlink="">
      <xdr:nvSpPr>
        <xdr:cNvPr id="8" name="Flowchart: Connector 7">
          <a:extLst>
            <a:ext uri="{FF2B5EF4-FFF2-40B4-BE49-F238E27FC236}">
              <a16:creationId xmlns:a16="http://schemas.microsoft.com/office/drawing/2014/main" id="{36C6D1F5-964B-46EC-914D-6AEECA440634}"/>
            </a:ext>
          </a:extLst>
        </xdr:cNvPr>
        <xdr:cNvSpPr/>
      </xdr:nvSpPr>
      <xdr:spPr>
        <a:xfrm>
          <a:off x="3114675" y="289560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xdr:colOff>
      <xdr:row>11</xdr:row>
      <xdr:rowOff>0</xdr:rowOff>
    </xdr:from>
    <xdr:to>
      <xdr:col>6</xdr:col>
      <xdr:colOff>19049</xdr:colOff>
      <xdr:row>13</xdr:row>
      <xdr:rowOff>171449</xdr:rowOff>
    </xdr:to>
    <xdr:sp macro="" textlink="">
      <xdr:nvSpPr>
        <xdr:cNvPr id="9" name="Flowchart: Connector 8">
          <a:extLst>
            <a:ext uri="{FF2B5EF4-FFF2-40B4-BE49-F238E27FC236}">
              <a16:creationId xmlns:a16="http://schemas.microsoft.com/office/drawing/2014/main" id="{01AB986E-5788-4421-9A97-87B1535877B1}"/>
            </a:ext>
          </a:extLst>
        </xdr:cNvPr>
        <xdr:cNvSpPr/>
      </xdr:nvSpPr>
      <xdr:spPr>
        <a:xfrm>
          <a:off x="3124200" y="2105025"/>
          <a:ext cx="552449" cy="561974"/>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76200</xdr:colOff>
      <xdr:row>18</xdr:row>
      <xdr:rowOff>171450</xdr:rowOff>
    </xdr:from>
    <xdr:to>
      <xdr:col>9</xdr:col>
      <xdr:colOff>19049</xdr:colOff>
      <xdr:row>21</xdr:row>
      <xdr:rowOff>161924</xdr:rowOff>
    </xdr:to>
    <xdr:sp macro="" textlink="">
      <xdr:nvSpPr>
        <xdr:cNvPr id="10" name="Flowchart: Connector 9">
          <a:extLst>
            <a:ext uri="{FF2B5EF4-FFF2-40B4-BE49-F238E27FC236}">
              <a16:creationId xmlns:a16="http://schemas.microsoft.com/office/drawing/2014/main" id="{199ACF73-B672-4E3F-B326-9A4F4BD3CAC6}"/>
            </a:ext>
          </a:extLst>
        </xdr:cNvPr>
        <xdr:cNvSpPr/>
      </xdr:nvSpPr>
      <xdr:spPr>
        <a:xfrm>
          <a:off x="5848350" y="3629025"/>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76200</xdr:colOff>
      <xdr:row>19</xdr:row>
      <xdr:rowOff>9525</xdr:rowOff>
    </xdr:from>
    <xdr:to>
      <xdr:col>15</xdr:col>
      <xdr:colOff>19049</xdr:colOff>
      <xdr:row>21</xdr:row>
      <xdr:rowOff>190499</xdr:rowOff>
    </xdr:to>
    <xdr:sp macro="" textlink="">
      <xdr:nvSpPr>
        <xdr:cNvPr id="11" name="Flowchart: Connector 10">
          <a:extLst>
            <a:ext uri="{FF2B5EF4-FFF2-40B4-BE49-F238E27FC236}">
              <a16:creationId xmlns:a16="http://schemas.microsoft.com/office/drawing/2014/main" id="{FB37B399-E1D6-4EF2-BFA8-A8162CAD2822}"/>
            </a:ext>
          </a:extLst>
        </xdr:cNvPr>
        <xdr:cNvSpPr/>
      </xdr:nvSpPr>
      <xdr:spPr>
        <a:xfrm>
          <a:off x="8648700" y="365760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314325</xdr:colOff>
      <xdr:row>4</xdr:row>
      <xdr:rowOff>133350</xdr:rowOff>
    </xdr:from>
    <xdr:to>
      <xdr:col>8</xdr:col>
      <xdr:colOff>438150</xdr:colOff>
      <xdr:row>6</xdr:row>
      <xdr:rowOff>76200</xdr:rowOff>
    </xdr:to>
    <xdr:sp macro="" textlink="">
      <xdr:nvSpPr>
        <xdr:cNvPr id="22" name="TextBox 21">
          <a:extLst>
            <a:ext uri="{FF2B5EF4-FFF2-40B4-BE49-F238E27FC236}">
              <a16:creationId xmlns:a16="http://schemas.microsoft.com/office/drawing/2014/main" id="{C27F6E36-E088-4409-990C-17746D57B2CC}"/>
            </a:ext>
          </a:extLst>
        </xdr:cNvPr>
        <xdr:cNvSpPr txBox="1"/>
      </xdr:nvSpPr>
      <xdr:spPr>
        <a:xfrm>
          <a:off x="3971925" y="895350"/>
          <a:ext cx="2238375" cy="333375"/>
        </a:xfrm>
        <a:prstGeom prst="rect">
          <a:avLst/>
        </a:prstGeom>
        <a:solidFill>
          <a:srgbClr val="FFFBEF"/>
        </a:solidFill>
        <a:ln w="2857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t>Central da Loja</a:t>
          </a:r>
        </a:p>
      </xdr:txBody>
    </xdr:sp>
    <xdr:clientData/>
  </xdr:twoCellAnchor>
  <xdr:twoCellAnchor editAs="oneCell">
    <xdr:from>
      <xdr:col>4</xdr:col>
      <xdr:colOff>523876</xdr:colOff>
      <xdr:row>3</xdr:row>
      <xdr:rowOff>57151</xdr:rowOff>
    </xdr:from>
    <xdr:to>
      <xdr:col>6</xdr:col>
      <xdr:colOff>180976</xdr:colOff>
      <xdr:row>7</xdr:row>
      <xdr:rowOff>161926</xdr:rowOff>
    </xdr:to>
    <xdr:pic>
      <xdr:nvPicPr>
        <xdr:cNvPr id="23" name="Picture 22">
          <a:extLst>
            <a:ext uri="{FF2B5EF4-FFF2-40B4-BE49-F238E27FC236}">
              <a16:creationId xmlns:a16="http://schemas.microsoft.com/office/drawing/2014/main" id="{B2D7FB7D-8F61-4892-B44E-52C7D723773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62276" y="628651"/>
          <a:ext cx="876300" cy="876300"/>
        </a:xfrm>
        <a:prstGeom prst="rect">
          <a:avLst/>
        </a:prstGeom>
      </xdr:spPr>
    </xdr:pic>
    <xdr:clientData/>
  </xdr:twoCellAnchor>
  <xdr:twoCellAnchor editAs="oneCell">
    <xdr:from>
      <xdr:col>5</xdr:col>
      <xdr:colOff>161925</xdr:colOff>
      <xdr:row>11</xdr:row>
      <xdr:rowOff>142875</xdr:rowOff>
    </xdr:from>
    <xdr:to>
      <xdr:col>5</xdr:col>
      <xdr:colOff>547861</xdr:colOff>
      <xdr:row>13</xdr:row>
      <xdr:rowOff>66673</xdr:rowOff>
    </xdr:to>
    <xdr:pic>
      <xdr:nvPicPr>
        <xdr:cNvPr id="24" name="Picture 23">
          <a:hlinkClick xmlns:r="http://schemas.openxmlformats.org/officeDocument/2006/relationships" r:id="rId7"/>
          <a:extLst>
            <a:ext uri="{FF2B5EF4-FFF2-40B4-BE49-F238E27FC236}">
              <a16:creationId xmlns:a16="http://schemas.microsoft.com/office/drawing/2014/main" id="{8D7F4FAC-FB40-42F6-990F-C72FCCA693A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209925" y="2247900"/>
          <a:ext cx="385936" cy="314323"/>
        </a:xfrm>
        <a:prstGeom prst="rect">
          <a:avLst/>
        </a:prstGeom>
      </xdr:spPr>
    </xdr:pic>
    <xdr:clientData/>
  </xdr:twoCellAnchor>
  <xdr:twoCellAnchor editAs="oneCell">
    <xdr:from>
      <xdr:col>5</xdr:col>
      <xdr:colOff>171451</xdr:colOff>
      <xdr:row>15</xdr:row>
      <xdr:rowOff>161926</xdr:rowOff>
    </xdr:from>
    <xdr:to>
      <xdr:col>5</xdr:col>
      <xdr:colOff>515673</xdr:colOff>
      <xdr:row>17</xdr:row>
      <xdr:rowOff>95251</xdr:rowOff>
    </xdr:to>
    <xdr:pic>
      <xdr:nvPicPr>
        <xdr:cNvPr id="25" name="Picture 24">
          <a:hlinkClick xmlns:r="http://schemas.openxmlformats.org/officeDocument/2006/relationships" r:id="rId9"/>
          <a:extLst>
            <a:ext uri="{FF2B5EF4-FFF2-40B4-BE49-F238E27FC236}">
              <a16:creationId xmlns:a16="http://schemas.microsoft.com/office/drawing/2014/main" id="{CD1EB760-2CD9-43B6-8A8B-B4EA88FB6FC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219451" y="3038476"/>
          <a:ext cx="344222" cy="323850"/>
        </a:xfrm>
        <a:prstGeom prst="rect">
          <a:avLst/>
        </a:prstGeom>
      </xdr:spPr>
    </xdr:pic>
    <xdr:clientData/>
  </xdr:twoCellAnchor>
  <xdr:twoCellAnchor editAs="oneCell">
    <xdr:from>
      <xdr:col>5</xdr:col>
      <xdr:colOff>171450</xdr:colOff>
      <xdr:row>19</xdr:row>
      <xdr:rowOff>104775</xdr:rowOff>
    </xdr:from>
    <xdr:to>
      <xdr:col>5</xdr:col>
      <xdr:colOff>508314</xdr:colOff>
      <xdr:row>21</xdr:row>
      <xdr:rowOff>60071</xdr:rowOff>
    </xdr:to>
    <xdr:pic>
      <xdr:nvPicPr>
        <xdr:cNvPr id="26" name="Picture 25">
          <a:hlinkClick xmlns:r="http://schemas.openxmlformats.org/officeDocument/2006/relationships" r:id="rId11"/>
          <a:extLst>
            <a:ext uri="{FF2B5EF4-FFF2-40B4-BE49-F238E27FC236}">
              <a16:creationId xmlns:a16="http://schemas.microsoft.com/office/drawing/2014/main" id="{9C510A45-0C9D-4FB2-B022-72628688FFE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219450" y="3752850"/>
          <a:ext cx="336864" cy="345821"/>
        </a:xfrm>
        <a:prstGeom prst="rect">
          <a:avLst/>
        </a:prstGeom>
      </xdr:spPr>
    </xdr:pic>
    <xdr:clientData/>
  </xdr:twoCellAnchor>
  <xdr:twoCellAnchor>
    <xdr:from>
      <xdr:col>17</xdr:col>
      <xdr:colOff>66675</xdr:colOff>
      <xdr:row>19</xdr:row>
      <xdr:rowOff>19050</xdr:rowOff>
    </xdr:from>
    <xdr:to>
      <xdr:col>18</xdr:col>
      <xdr:colOff>9524</xdr:colOff>
      <xdr:row>22</xdr:row>
      <xdr:rowOff>9524</xdr:rowOff>
    </xdr:to>
    <xdr:sp macro="" textlink="">
      <xdr:nvSpPr>
        <xdr:cNvPr id="27" name="Flowchart: Connector 26">
          <a:extLst>
            <a:ext uri="{FF2B5EF4-FFF2-40B4-BE49-F238E27FC236}">
              <a16:creationId xmlns:a16="http://schemas.microsoft.com/office/drawing/2014/main" id="{8477E0F4-7286-47D5-9FEE-2D707FACE8C6}"/>
            </a:ext>
          </a:extLst>
        </xdr:cNvPr>
        <xdr:cNvSpPr/>
      </xdr:nvSpPr>
      <xdr:spPr>
        <a:xfrm>
          <a:off x="10029825" y="3667125"/>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66675</xdr:colOff>
      <xdr:row>19</xdr:row>
      <xdr:rowOff>0</xdr:rowOff>
    </xdr:from>
    <xdr:to>
      <xdr:col>12</xdr:col>
      <xdr:colOff>9524</xdr:colOff>
      <xdr:row>21</xdr:row>
      <xdr:rowOff>180974</xdr:rowOff>
    </xdr:to>
    <xdr:sp macro="" textlink="">
      <xdr:nvSpPr>
        <xdr:cNvPr id="28" name="Flowchart: Connector 27">
          <a:extLst>
            <a:ext uri="{FF2B5EF4-FFF2-40B4-BE49-F238E27FC236}">
              <a16:creationId xmlns:a16="http://schemas.microsoft.com/office/drawing/2014/main" id="{081DC1A2-7211-4E2A-BDDE-6EA98CACEC4C}"/>
            </a:ext>
          </a:extLst>
        </xdr:cNvPr>
        <xdr:cNvSpPr/>
      </xdr:nvSpPr>
      <xdr:spPr>
        <a:xfrm>
          <a:off x="7239000" y="3648075"/>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14</xdr:col>
      <xdr:colOff>200025</xdr:colOff>
      <xdr:row>19</xdr:row>
      <xdr:rowOff>161925</xdr:rowOff>
    </xdr:from>
    <xdr:to>
      <xdr:col>14</xdr:col>
      <xdr:colOff>495300</xdr:colOff>
      <xdr:row>21</xdr:row>
      <xdr:rowOff>34737</xdr:rowOff>
    </xdr:to>
    <xdr:pic>
      <xdr:nvPicPr>
        <xdr:cNvPr id="29" name="Picture 28">
          <a:hlinkClick xmlns:r="http://schemas.openxmlformats.org/officeDocument/2006/relationships" r:id="rId13"/>
          <a:extLst>
            <a:ext uri="{FF2B5EF4-FFF2-40B4-BE49-F238E27FC236}">
              <a16:creationId xmlns:a16="http://schemas.microsoft.com/office/drawing/2014/main" id="{3BC93CD6-67F2-410C-8799-79DADF8B6F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72525" y="3810000"/>
          <a:ext cx="295275" cy="263337"/>
        </a:xfrm>
        <a:prstGeom prst="rect">
          <a:avLst/>
        </a:prstGeom>
      </xdr:spPr>
    </xdr:pic>
    <xdr:clientData/>
  </xdr:twoCellAnchor>
  <xdr:twoCellAnchor editAs="oneCell">
    <xdr:from>
      <xdr:col>17</xdr:col>
      <xdr:colOff>190500</xdr:colOff>
      <xdr:row>19</xdr:row>
      <xdr:rowOff>180975</xdr:rowOff>
    </xdr:from>
    <xdr:to>
      <xdr:col>17</xdr:col>
      <xdr:colOff>485775</xdr:colOff>
      <xdr:row>21</xdr:row>
      <xdr:rowOff>53787</xdr:rowOff>
    </xdr:to>
    <xdr:pic>
      <xdr:nvPicPr>
        <xdr:cNvPr id="30" name="Picture 29">
          <a:hlinkClick xmlns:r="http://schemas.openxmlformats.org/officeDocument/2006/relationships" r:id="rId14"/>
          <a:extLst>
            <a:ext uri="{FF2B5EF4-FFF2-40B4-BE49-F238E27FC236}">
              <a16:creationId xmlns:a16="http://schemas.microsoft.com/office/drawing/2014/main" id="{D14DF513-6DAC-40A6-B7F5-1C812A241D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3650" y="3829050"/>
          <a:ext cx="295275" cy="26333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9526</xdr:colOff>
      <xdr:row>0</xdr:row>
      <xdr:rowOff>0</xdr:rowOff>
    </xdr:from>
    <xdr:to>
      <xdr:col>0</xdr:col>
      <xdr:colOff>600075</xdr:colOff>
      <xdr:row>2</xdr:row>
      <xdr:rowOff>181426</xdr:rowOff>
    </xdr:to>
    <xdr:pic>
      <xdr:nvPicPr>
        <xdr:cNvPr id="3" name="Picture 2">
          <a:hlinkClick xmlns:r="http://schemas.openxmlformats.org/officeDocument/2006/relationships" r:id="rId1"/>
          <a:extLst>
            <a:ext uri="{FF2B5EF4-FFF2-40B4-BE49-F238E27FC236}">
              <a16:creationId xmlns:a16="http://schemas.microsoft.com/office/drawing/2014/main" id="{62CD65A6-1D51-4C8C-B492-08F3AF663D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26" y="0"/>
          <a:ext cx="590549" cy="562426"/>
        </a:xfrm>
        <a:prstGeom prst="rect">
          <a:avLst/>
        </a:prstGeom>
      </xdr:spPr>
    </xdr:pic>
    <xdr:clientData/>
  </xdr:twoCellAnchor>
  <xdr:twoCellAnchor editAs="oneCell">
    <xdr:from>
      <xdr:col>0</xdr:col>
      <xdr:colOff>95250</xdr:colOff>
      <xdr:row>3</xdr:row>
      <xdr:rowOff>95250</xdr:rowOff>
    </xdr:from>
    <xdr:to>
      <xdr:col>0</xdr:col>
      <xdr:colOff>495300</xdr:colOff>
      <xdr:row>5</xdr:row>
      <xdr:rowOff>114300</xdr:rowOff>
    </xdr:to>
    <xdr:pic>
      <xdr:nvPicPr>
        <xdr:cNvPr id="5" name="Picture 4">
          <a:hlinkClick xmlns:r="http://schemas.openxmlformats.org/officeDocument/2006/relationships" r:id="rId3"/>
          <a:extLst>
            <a:ext uri="{FF2B5EF4-FFF2-40B4-BE49-F238E27FC236}">
              <a16:creationId xmlns:a16="http://schemas.microsoft.com/office/drawing/2014/main" id="{807B199A-3EC3-4C25-A7C2-16B810F7BED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250" y="666750"/>
          <a:ext cx="400050" cy="400050"/>
        </a:xfrm>
        <a:prstGeom prst="rect">
          <a:avLst/>
        </a:prstGeom>
      </xdr:spPr>
    </xdr:pic>
    <xdr:clientData/>
  </xdr:twoCellAnchor>
  <xdr:twoCellAnchor editAs="oneCell">
    <xdr:from>
      <xdr:col>1</xdr:col>
      <xdr:colOff>66676</xdr:colOff>
      <xdr:row>3</xdr:row>
      <xdr:rowOff>95251</xdr:rowOff>
    </xdr:from>
    <xdr:to>
      <xdr:col>1</xdr:col>
      <xdr:colOff>557870</xdr:colOff>
      <xdr:row>5</xdr:row>
      <xdr:rowOff>114301</xdr:rowOff>
    </xdr:to>
    <xdr:pic>
      <xdr:nvPicPr>
        <xdr:cNvPr id="8" name="Picture 7">
          <a:extLst>
            <a:ext uri="{FF2B5EF4-FFF2-40B4-BE49-F238E27FC236}">
              <a16:creationId xmlns:a16="http://schemas.microsoft.com/office/drawing/2014/main" id="{90041227-2614-4B85-82D8-901FB5405AD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76276" y="666751"/>
          <a:ext cx="491194" cy="4000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9524</xdr:rowOff>
    </xdr:from>
    <xdr:to>
      <xdr:col>0</xdr:col>
      <xdr:colOff>600075</xdr:colOff>
      <xdr:row>2</xdr:row>
      <xdr:rowOff>169333</xdr:rowOff>
    </xdr:to>
    <xdr:pic>
      <xdr:nvPicPr>
        <xdr:cNvPr id="2" name="Picture 1">
          <a:hlinkClick xmlns:r="http://schemas.openxmlformats.org/officeDocument/2006/relationships" r:id="rId1"/>
          <a:extLst>
            <a:ext uri="{FF2B5EF4-FFF2-40B4-BE49-F238E27FC236}">
              <a16:creationId xmlns:a16="http://schemas.microsoft.com/office/drawing/2014/main" id="{E02C110D-F2D4-4474-90D3-DA93B565C7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4"/>
          <a:ext cx="600075" cy="540809"/>
        </a:xfrm>
        <a:prstGeom prst="rect">
          <a:avLst/>
        </a:prstGeom>
      </xdr:spPr>
    </xdr:pic>
    <xdr:clientData/>
  </xdr:twoCellAnchor>
  <xdr:twoCellAnchor editAs="oneCell">
    <xdr:from>
      <xdr:col>1</xdr:col>
      <xdr:colOff>105835</xdr:colOff>
      <xdr:row>3</xdr:row>
      <xdr:rowOff>127000</xdr:rowOff>
    </xdr:from>
    <xdr:to>
      <xdr:col>1</xdr:col>
      <xdr:colOff>533303</xdr:colOff>
      <xdr:row>5</xdr:row>
      <xdr:rowOff>148168</xdr:rowOff>
    </xdr:to>
    <xdr:pic>
      <xdr:nvPicPr>
        <xdr:cNvPr id="4" name="Picture 3">
          <a:extLst>
            <a:ext uri="{FF2B5EF4-FFF2-40B4-BE49-F238E27FC236}">
              <a16:creationId xmlns:a16="http://schemas.microsoft.com/office/drawing/2014/main" id="{214EF921-0398-4DD4-98E7-2A4CC904466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19668" y="698500"/>
          <a:ext cx="427468" cy="402168"/>
        </a:xfrm>
        <a:prstGeom prst="rect">
          <a:avLst/>
        </a:prstGeom>
      </xdr:spPr>
    </xdr:pic>
    <xdr:clientData/>
  </xdr:twoCellAnchor>
  <xdr:twoCellAnchor editAs="oneCell">
    <xdr:from>
      <xdr:col>0</xdr:col>
      <xdr:colOff>84667</xdr:colOff>
      <xdr:row>3</xdr:row>
      <xdr:rowOff>95250</xdr:rowOff>
    </xdr:from>
    <xdr:to>
      <xdr:col>0</xdr:col>
      <xdr:colOff>560917</xdr:colOff>
      <xdr:row>5</xdr:row>
      <xdr:rowOff>190500</xdr:rowOff>
    </xdr:to>
    <xdr:pic>
      <xdr:nvPicPr>
        <xdr:cNvPr id="5" name="Picture 4">
          <a:hlinkClick xmlns:r="http://schemas.openxmlformats.org/officeDocument/2006/relationships" r:id="rId4"/>
          <a:extLst>
            <a:ext uri="{FF2B5EF4-FFF2-40B4-BE49-F238E27FC236}">
              <a16:creationId xmlns:a16="http://schemas.microsoft.com/office/drawing/2014/main" id="{BF64B90C-320A-478C-9ABF-7E1758948B6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4667" y="666750"/>
          <a:ext cx="476250" cy="4762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2" name="Picture 1">
          <a:hlinkClick xmlns:r="http://schemas.openxmlformats.org/officeDocument/2006/relationships" r:id="rId1"/>
          <a:extLst>
            <a:ext uri="{FF2B5EF4-FFF2-40B4-BE49-F238E27FC236}">
              <a16:creationId xmlns:a16="http://schemas.microsoft.com/office/drawing/2014/main" id="{A4523957-B9DC-4201-BB9B-2FD84A77F0B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13</xdr:col>
      <xdr:colOff>100012</xdr:colOff>
      <xdr:row>22</xdr:row>
      <xdr:rowOff>57151</xdr:rowOff>
    </xdr:from>
    <xdr:to>
      <xdr:col>14</xdr:col>
      <xdr:colOff>1000125</xdr:colOff>
      <xdr:row>32</xdr:row>
      <xdr:rowOff>142875</xdr:rowOff>
    </xdr:to>
    <mc:AlternateContent xmlns:mc="http://schemas.openxmlformats.org/markup-compatibility/2006" xmlns:a14="http://schemas.microsoft.com/office/drawing/2010/main">
      <mc:Choice Requires="a14">
        <xdr:graphicFrame macro="">
          <xdr:nvGraphicFramePr>
            <xdr:cNvPr id="3" name="Produto 2">
              <a:extLst>
                <a:ext uri="{FF2B5EF4-FFF2-40B4-BE49-F238E27FC236}">
                  <a16:creationId xmlns:a16="http://schemas.microsoft.com/office/drawing/2014/main" id="{70E29A02-1BA2-47CE-9F32-D4099648104E}"/>
                </a:ext>
              </a:extLst>
            </xdr:cNvPr>
            <xdr:cNvGraphicFramePr/>
          </xdr:nvGraphicFramePr>
          <xdr:xfrm>
            <a:off x="0" y="0"/>
            <a:ext cx="0" cy="0"/>
          </xdr:xfrm>
          <a:graphic>
            <a:graphicData uri="http://schemas.microsoft.com/office/drawing/2010/slicer">
              <sle:slicer xmlns:sle="http://schemas.microsoft.com/office/drawing/2010/slicer" name="Produto 2"/>
            </a:graphicData>
          </a:graphic>
        </xdr:graphicFrame>
      </mc:Choice>
      <mc:Fallback xmlns="">
        <xdr:sp macro="" textlink="">
          <xdr:nvSpPr>
            <xdr:cNvPr id="0" name=""/>
            <xdr:cNvSpPr>
              <a:spLocks noTextEdit="1"/>
            </xdr:cNvSpPr>
          </xdr:nvSpPr>
          <xdr:spPr>
            <a:xfrm>
              <a:off x="14197012" y="4495801"/>
              <a:ext cx="1947863" cy="1990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38100</xdr:colOff>
      <xdr:row>22</xdr:row>
      <xdr:rowOff>71438</xdr:rowOff>
    </xdr:from>
    <xdr:to>
      <xdr:col>12</xdr:col>
      <xdr:colOff>2105024</xdr:colOff>
      <xdr:row>32</xdr:row>
      <xdr:rowOff>161926</xdr:rowOff>
    </xdr:to>
    <xdr:graphicFrame macro="">
      <xdr:nvGraphicFramePr>
        <xdr:cNvPr id="4" name="Chart 3">
          <a:extLst>
            <a:ext uri="{FF2B5EF4-FFF2-40B4-BE49-F238E27FC236}">
              <a16:creationId xmlns:a16="http://schemas.microsoft.com/office/drawing/2014/main" id="{F6340397-F3AA-4FF6-85E7-4F5D687CC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66677</xdr:colOff>
      <xdr:row>15</xdr:row>
      <xdr:rowOff>57150</xdr:rowOff>
    </xdr:from>
    <xdr:to>
      <xdr:col>4</xdr:col>
      <xdr:colOff>1447800</xdr:colOff>
      <xdr:row>32</xdr:row>
      <xdr:rowOff>133350</xdr:rowOff>
    </xdr:to>
    <xdr:graphicFrame macro="">
      <xdr:nvGraphicFramePr>
        <xdr:cNvPr id="5" name="Chart 4">
          <a:extLst>
            <a:ext uri="{FF2B5EF4-FFF2-40B4-BE49-F238E27FC236}">
              <a16:creationId xmlns:a16="http://schemas.microsoft.com/office/drawing/2014/main" id="{5DC6508C-C170-4C47-AA87-629D9D3830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38099</xdr:colOff>
      <xdr:row>8</xdr:row>
      <xdr:rowOff>38102</xdr:rowOff>
    </xdr:from>
    <xdr:to>
      <xdr:col>12</xdr:col>
      <xdr:colOff>2114549</xdr:colOff>
      <xdr:row>18</xdr:row>
      <xdr:rowOff>161926</xdr:rowOff>
    </xdr:to>
    <xdr:graphicFrame macro="">
      <xdr:nvGraphicFramePr>
        <xdr:cNvPr id="6" name="Chart 5">
          <a:extLst>
            <a:ext uri="{FF2B5EF4-FFF2-40B4-BE49-F238E27FC236}">
              <a16:creationId xmlns:a16="http://schemas.microsoft.com/office/drawing/2014/main" id="{10B22711-845E-4B4F-A074-FD649FCA4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57150</xdr:colOff>
      <xdr:row>8</xdr:row>
      <xdr:rowOff>57150</xdr:rowOff>
    </xdr:from>
    <xdr:to>
      <xdr:col>14</xdr:col>
      <xdr:colOff>1009650</xdr:colOff>
      <xdr:row>18</xdr:row>
      <xdr:rowOff>123824</xdr:rowOff>
    </xdr:to>
    <mc:AlternateContent xmlns:mc="http://schemas.openxmlformats.org/markup-compatibility/2006" xmlns:a14="http://schemas.microsoft.com/office/drawing/2010/main">
      <mc:Choice Requires="a14">
        <xdr:graphicFrame macro="">
          <xdr:nvGraphicFramePr>
            <xdr:cNvPr id="7" name="Ano 4">
              <a:extLst>
                <a:ext uri="{FF2B5EF4-FFF2-40B4-BE49-F238E27FC236}">
                  <a16:creationId xmlns:a16="http://schemas.microsoft.com/office/drawing/2014/main" id="{7086CEB4-226F-47FA-BA58-C0DAD99A6648}"/>
                </a:ext>
              </a:extLst>
            </xdr:cNvPr>
            <xdr:cNvGraphicFramePr/>
          </xdr:nvGraphicFramePr>
          <xdr:xfrm>
            <a:off x="0" y="0"/>
            <a:ext cx="0" cy="0"/>
          </xdr:xfrm>
          <a:graphic>
            <a:graphicData uri="http://schemas.microsoft.com/office/drawing/2010/slicer">
              <sle:slicer xmlns:sle="http://schemas.microsoft.com/office/drawing/2010/slicer" name="Ano 4"/>
            </a:graphicData>
          </a:graphic>
        </xdr:graphicFrame>
      </mc:Choice>
      <mc:Fallback xmlns="">
        <xdr:sp macro="" textlink="">
          <xdr:nvSpPr>
            <xdr:cNvPr id="0" name=""/>
            <xdr:cNvSpPr>
              <a:spLocks noTextEdit="1"/>
            </xdr:cNvSpPr>
          </xdr:nvSpPr>
          <xdr:spPr>
            <a:xfrm>
              <a:off x="14154150" y="1800225"/>
              <a:ext cx="2000250" cy="2133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66674</xdr:colOff>
      <xdr:row>8</xdr:row>
      <xdr:rowOff>47625</xdr:rowOff>
    </xdr:from>
    <xdr:to>
      <xdr:col>7</xdr:col>
      <xdr:colOff>1533524</xdr:colOff>
      <xdr:row>18</xdr:row>
      <xdr:rowOff>152399</xdr:rowOff>
    </xdr:to>
    <xdr:graphicFrame macro="">
      <xdr:nvGraphicFramePr>
        <xdr:cNvPr id="8" name="Chart 7">
          <a:extLst>
            <a:ext uri="{FF2B5EF4-FFF2-40B4-BE49-F238E27FC236}">
              <a16:creationId xmlns:a16="http://schemas.microsoft.com/office/drawing/2014/main" id="{0780C222-1EDE-4CFA-91FE-4715E8EAE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66676</xdr:colOff>
      <xdr:row>22</xdr:row>
      <xdr:rowOff>47625</xdr:rowOff>
    </xdr:from>
    <xdr:to>
      <xdr:col>7</xdr:col>
      <xdr:colOff>1514474</xdr:colOff>
      <xdr:row>32</xdr:row>
      <xdr:rowOff>161925</xdr:rowOff>
    </xdr:to>
    <xdr:graphicFrame macro="">
      <xdr:nvGraphicFramePr>
        <xdr:cNvPr id="9" name="Chart 8">
          <a:extLst>
            <a:ext uri="{FF2B5EF4-FFF2-40B4-BE49-F238E27FC236}">
              <a16:creationId xmlns:a16="http://schemas.microsoft.com/office/drawing/2014/main" id="{AF749342-A60B-463C-84B0-C0AD87196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7</xdr:row>
      <xdr:rowOff>0</xdr:rowOff>
    </xdr:from>
    <xdr:to>
      <xdr:col>15</xdr:col>
      <xdr:colOff>9525</xdr:colOff>
      <xdr:row>19</xdr:row>
      <xdr:rowOff>19050</xdr:rowOff>
    </xdr:to>
    <xdr:sp macro="" textlink="">
      <xdr:nvSpPr>
        <xdr:cNvPr id="10" name="Rectangle 9">
          <a:extLst>
            <a:ext uri="{FF2B5EF4-FFF2-40B4-BE49-F238E27FC236}">
              <a16:creationId xmlns:a16="http://schemas.microsoft.com/office/drawing/2014/main" id="{F1A45F92-96BE-438C-AEEA-54B14D3A5FA5}"/>
            </a:ext>
          </a:extLst>
        </xdr:cNvPr>
        <xdr:cNvSpPr/>
      </xdr:nvSpPr>
      <xdr:spPr>
        <a:xfrm>
          <a:off x="7143750" y="1533525"/>
          <a:ext cx="9058275" cy="2486025"/>
        </a:xfrm>
        <a:prstGeom prst="rect">
          <a:avLst/>
        </a:prstGeom>
        <a:noFill/>
        <a:ln w="285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xdr:colOff>
      <xdr:row>20</xdr:row>
      <xdr:rowOff>114300</xdr:rowOff>
    </xdr:from>
    <xdr:to>
      <xdr:col>15</xdr:col>
      <xdr:colOff>19050</xdr:colOff>
      <xdr:row>33</xdr:row>
      <xdr:rowOff>9525</xdr:rowOff>
    </xdr:to>
    <xdr:sp macro="" textlink="">
      <xdr:nvSpPr>
        <xdr:cNvPr id="11" name="Rectangle 10">
          <a:extLst>
            <a:ext uri="{FF2B5EF4-FFF2-40B4-BE49-F238E27FC236}">
              <a16:creationId xmlns:a16="http://schemas.microsoft.com/office/drawing/2014/main" id="{A07C582B-1C4A-405B-8A54-99013D45C7E0}"/>
            </a:ext>
          </a:extLst>
        </xdr:cNvPr>
        <xdr:cNvSpPr/>
      </xdr:nvSpPr>
      <xdr:spPr>
        <a:xfrm>
          <a:off x="7143751" y="4219575"/>
          <a:ext cx="9067799" cy="2324100"/>
        </a:xfrm>
        <a:prstGeom prst="rect">
          <a:avLst/>
        </a:prstGeom>
        <a:noFill/>
        <a:ln w="285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666750</xdr:colOff>
      <xdr:row>7</xdr:row>
      <xdr:rowOff>0</xdr:rowOff>
    </xdr:from>
    <xdr:to>
      <xdr:col>8</xdr:col>
      <xdr:colOff>57150</xdr:colOff>
      <xdr:row>19</xdr:row>
      <xdr:rowOff>76200</xdr:rowOff>
    </xdr:to>
    <xdr:sp macro="" textlink="">
      <xdr:nvSpPr>
        <xdr:cNvPr id="12" name="Rectangle 11">
          <a:extLst>
            <a:ext uri="{FF2B5EF4-FFF2-40B4-BE49-F238E27FC236}">
              <a16:creationId xmlns:a16="http://schemas.microsoft.com/office/drawing/2014/main" id="{6827AEF6-8F9B-4330-B64D-22F94BAD2CCD}"/>
            </a:ext>
          </a:extLst>
        </xdr:cNvPr>
        <xdr:cNvSpPr/>
      </xdr:nvSpPr>
      <xdr:spPr>
        <a:xfrm>
          <a:off x="4695825" y="1524000"/>
          <a:ext cx="2876550" cy="2543175"/>
        </a:xfrm>
        <a:prstGeom prst="rect">
          <a:avLst/>
        </a:prstGeom>
        <a:noFill/>
        <a:ln w="285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0</xdr:colOff>
      <xdr:row>21</xdr:row>
      <xdr:rowOff>2</xdr:rowOff>
    </xdr:from>
    <xdr:to>
      <xdr:col>8</xdr:col>
      <xdr:colOff>57150</xdr:colOff>
      <xdr:row>33</xdr:row>
      <xdr:rowOff>9526</xdr:rowOff>
    </xdr:to>
    <xdr:sp macro="" textlink="">
      <xdr:nvSpPr>
        <xdr:cNvPr id="13" name="Rectangle 12">
          <a:extLst>
            <a:ext uri="{FF2B5EF4-FFF2-40B4-BE49-F238E27FC236}">
              <a16:creationId xmlns:a16="http://schemas.microsoft.com/office/drawing/2014/main" id="{707F5546-EFFC-4F85-85B7-40DA74A4B199}"/>
            </a:ext>
          </a:extLst>
        </xdr:cNvPr>
        <xdr:cNvSpPr/>
      </xdr:nvSpPr>
      <xdr:spPr>
        <a:xfrm>
          <a:off x="4191000" y="4229102"/>
          <a:ext cx="2857500" cy="2314574"/>
        </a:xfrm>
        <a:prstGeom prst="rect">
          <a:avLst/>
        </a:prstGeom>
        <a:noFill/>
        <a:ln w="285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38099</xdr:colOff>
      <xdr:row>13</xdr:row>
      <xdr:rowOff>161926</xdr:rowOff>
    </xdr:from>
    <xdr:to>
      <xdr:col>5</xdr:col>
      <xdr:colOff>57149</xdr:colOff>
      <xdr:row>33</xdr:row>
      <xdr:rowOff>9525</xdr:rowOff>
    </xdr:to>
    <xdr:sp macro="" textlink="">
      <xdr:nvSpPr>
        <xdr:cNvPr id="14" name="Rectangle 13">
          <a:extLst>
            <a:ext uri="{FF2B5EF4-FFF2-40B4-BE49-F238E27FC236}">
              <a16:creationId xmlns:a16="http://schemas.microsoft.com/office/drawing/2014/main" id="{952B8207-EA5D-41C2-BE6C-2EA0834BD5C4}"/>
            </a:ext>
          </a:extLst>
        </xdr:cNvPr>
        <xdr:cNvSpPr/>
      </xdr:nvSpPr>
      <xdr:spPr>
        <a:xfrm>
          <a:off x="1257299" y="3000376"/>
          <a:ext cx="3438525" cy="3543299"/>
        </a:xfrm>
        <a:prstGeom prst="rect">
          <a:avLst/>
        </a:prstGeom>
        <a:noFill/>
        <a:ln w="285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85725</xdr:colOff>
      <xdr:row>3</xdr:row>
      <xdr:rowOff>66675</xdr:rowOff>
    </xdr:from>
    <xdr:to>
      <xdr:col>0</xdr:col>
      <xdr:colOff>523875</xdr:colOff>
      <xdr:row>5</xdr:row>
      <xdr:rowOff>123825</xdr:rowOff>
    </xdr:to>
    <xdr:pic>
      <xdr:nvPicPr>
        <xdr:cNvPr id="15" name="Picture 14">
          <a:hlinkClick xmlns:r="http://schemas.openxmlformats.org/officeDocument/2006/relationships" r:id="rId8"/>
          <a:extLst>
            <a:ext uri="{FF2B5EF4-FFF2-40B4-BE49-F238E27FC236}">
              <a16:creationId xmlns:a16="http://schemas.microsoft.com/office/drawing/2014/main" id="{C055269F-F870-47E7-B499-4792976C1E6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85725" y="638175"/>
          <a:ext cx="438150" cy="438150"/>
        </a:xfrm>
        <a:prstGeom prst="rect">
          <a:avLst/>
        </a:prstGeom>
      </xdr:spPr>
    </xdr:pic>
    <xdr:clientData/>
  </xdr:twoCellAnchor>
  <xdr:twoCellAnchor editAs="oneCell">
    <xdr:from>
      <xdr:col>1</xdr:col>
      <xdr:colOff>142875</xdr:colOff>
      <xdr:row>3</xdr:row>
      <xdr:rowOff>133350</xdr:rowOff>
    </xdr:from>
    <xdr:to>
      <xdr:col>1</xdr:col>
      <xdr:colOff>495450</xdr:colOff>
      <xdr:row>5</xdr:row>
      <xdr:rowOff>114300</xdr:rowOff>
    </xdr:to>
    <xdr:pic>
      <xdr:nvPicPr>
        <xdr:cNvPr id="16" name="Picture 15">
          <a:extLst>
            <a:ext uri="{FF2B5EF4-FFF2-40B4-BE49-F238E27FC236}">
              <a16:creationId xmlns:a16="http://schemas.microsoft.com/office/drawing/2014/main" id="{D71ADF9A-A1E5-4A27-BFBF-2D1636F0A39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52475" y="704850"/>
          <a:ext cx="352575" cy="3619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9</xdr:col>
      <xdr:colOff>423862</xdr:colOff>
      <xdr:row>18</xdr:row>
      <xdr:rowOff>76200</xdr:rowOff>
    </xdr:from>
    <xdr:to>
      <xdr:col>10</xdr:col>
      <xdr:colOff>1209674</xdr:colOff>
      <xdr:row>32</xdr:row>
      <xdr:rowOff>85725</xdr:rowOff>
    </xdr:to>
    <mc:AlternateContent xmlns:mc="http://schemas.openxmlformats.org/markup-compatibility/2006" xmlns:a14="http://schemas.microsoft.com/office/drawing/2010/main">
      <mc:Choice Requires="a14">
        <xdr:graphicFrame macro="">
          <xdr:nvGraphicFramePr>
            <xdr:cNvPr id="2" name="Produto 1">
              <a:extLst>
                <a:ext uri="{FF2B5EF4-FFF2-40B4-BE49-F238E27FC236}">
                  <a16:creationId xmlns:a16="http://schemas.microsoft.com/office/drawing/2014/main" id="{440BD3F6-13D2-4DEE-9CB1-2760839EE32E}"/>
                </a:ext>
              </a:extLst>
            </xdr:cNvPr>
            <xdr:cNvGraphicFramePr/>
          </xdr:nvGraphicFramePr>
          <xdr:xfrm>
            <a:off x="0" y="0"/>
            <a:ext cx="0" cy="0"/>
          </xdr:xfrm>
          <a:graphic>
            <a:graphicData uri="http://schemas.microsoft.com/office/drawing/2010/slicer">
              <sle:slicer xmlns:sle="http://schemas.microsoft.com/office/drawing/2010/slicer" name="Produto 1"/>
            </a:graphicData>
          </a:graphic>
        </xdr:graphicFrame>
      </mc:Choice>
      <mc:Fallback xmlns="">
        <xdr:sp macro="" textlink="">
          <xdr:nvSpPr>
            <xdr:cNvPr id="0" name=""/>
            <xdr:cNvSpPr>
              <a:spLocks noTextEdit="1"/>
            </xdr:cNvSpPr>
          </xdr:nvSpPr>
          <xdr:spPr>
            <a:xfrm>
              <a:off x="7310437" y="3514725"/>
              <a:ext cx="1862137" cy="2676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285750</xdr:colOff>
      <xdr:row>18</xdr:row>
      <xdr:rowOff>52387</xdr:rowOff>
    </xdr:from>
    <xdr:to>
      <xdr:col>9</xdr:col>
      <xdr:colOff>266700</xdr:colOff>
      <xdr:row>32</xdr:row>
      <xdr:rowOff>128587</xdr:rowOff>
    </xdr:to>
    <xdr:graphicFrame macro="">
      <xdr:nvGraphicFramePr>
        <xdr:cNvPr id="3" name="Chart 2">
          <a:extLst>
            <a:ext uri="{FF2B5EF4-FFF2-40B4-BE49-F238E27FC236}">
              <a16:creationId xmlns:a16="http://schemas.microsoft.com/office/drawing/2014/main" id="{72C558E2-A414-4F5D-916C-73FB6569A5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752476</xdr:colOff>
      <xdr:row>19</xdr:row>
      <xdr:rowOff>19050</xdr:rowOff>
    </xdr:from>
    <xdr:to>
      <xdr:col>17</xdr:col>
      <xdr:colOff>295276</xdr:colOff>
      <xdr:row>31</xdr:row>
      <xdr:rowOff>85725</xdr:rowOff>
    </xdr:to>
    <xdr:graphicFrame macro="">
      <xdr:nvGraphicFramePr>
        <xdr:cNvPr id="4" name="Chart 3">
          <a:extLst>
            <a:ext uri="{FF2B5EF4-FFF2-40B4-BE49-F238E27FC236}">
              <a16:creationId xmlns:a16="http://schemas.microsoft.com/office/drawing/2014/main" id="{11A6983B-F3B1-4247-8519-27DBDAEE6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371476</xdr:colOff>
      <xdr:row>5</xdr:row>
      <xdr:rowOff>47626</xdr:rowOff>
    </xdr:from>
    <xdr:to>
      <xdr:col>21</xdr:col>
      <xdr:colOff>209550</xdr:colOff>
      <xdr:row>16</xdr:row>
      <xdr:rowOff>104775</xdr:rowOff>
    </xdr:to>
    <xdr:graphicFrame macro="">
      <xdr:nvGraphicFramePr>
        <xdr:cNvPr id="5" name="Chart 4">
          <a:extLst>
            <a:ext uri="{FF2B5EF4-FFF2-40B4-BE49-F238E27FC236}">
              <a16:creationId xmlns:a16="http://schemas.microsoft.com/office/drawing/2014/main" id="{2AD67212-B36F-4EDF-A349-576CDE26D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21</xdr:col>
      <xdr:colOff>38100</xdr:colOff>
      <xdr:row>4</xdr:row>
      <xdr:rowOff>133350</xdr:rowOff>
    </xdr:from>
    <xdr:to>
      <xdr:col>24</xdr:col>
      <xdr:colOff>38100</xdr:colOff>
      <xdr:row>17</xdr:row>
      <xdr:rowOff>161925</xdr:rowOff>
    </xdr:to>
    <mc:AlternateContent xmlns:mc="http://schemas.openxmlformats.org/markup-compatibility/2006" xmlns:a14="http://schemas.microsoft.com/office/drawing/2010/main">
      <mc:Choice Requires="a14">
        <xdr:graphicFrame macro="">
          <xdr:nvGraphicFramePr>
            <xdr:cNvPr id="6" name="Ano">
              <a:extLst>
                <a:ext uri="{FF2B5EF4-FFF2-40B4-BE49-F238E27FC236}">
                  <a16:creationId xmlns:a16="http://schemas.microsoft.com/office/drawing/2014/main" id="{45F4CF54-7AA1-4A97-B4AC-1B6C641EF816}"/>
                </a:ext>
              </a:extLst>
            </xdr:cNvPr>
            <xdr:cNvGraphicFramePr/>
          </xdr:nvGraphicFramePr>
          <xdr:xfrm>
            <a:off x="0" y="0"/>
            <a:ext cx="0" cy="0"/>
          </xdr:xfrm>
          <a:graphic>
            <a:graphicData uri="http://schemas.microsoft.com/office/drawing/2010/slicer">
              <sle:slicer xmlns:sle="http://schemas.microsoft.com/office/drawing/2010/slicer" name="Ano"/>
            </a:graphicData>
          </a:graphic>
        </xdr:graphicFrame>
      </mc:Choice>
      <mc:Fallback xmlns="">
        <xdr:sp macro="" textlink="">
          <xdr:nvSpPr>
            <xdr:cNvPr id="0" name=""/>
            <xdr:cNvSpPr>
              <a:spLocks noTextEdit="1"/>
            </xdr:cNvSpPr>
          </xdr:nvSpPr>
          <xdr:spPr>
            <a:xfrm>
              <a:off x="16030575" y="895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9525</xdr:rowOff>
    </xdr:from>
    <xdr:to>
      <xdr:col>0</xdr:col>
      <xdr:colOff>600075</xdr:colOff>
      <xdr:row>3</xdr:row>
      <xdr:rowOff>9525</xdr:rowOff>
    </xdr:to>
    <xdr:pic>
      <xdr:nvPicPr>
        <xdr:cNvPr id="10" name="Picture 9">
          <a:hlinkClick xmlns:r="http://schemas.openxmlformats.org/officeDocument/2006/relationships" r:id="rId4"/>
          <a:extLst>
            <a:ext uri="{FF2B5EF4-FFF2-40B4-BE49-F238E27FC236}">
              <a16:creationId xmlns:a16="http://schemas.microsoft.com/office/drawing/2014/main" id="{2179180C-3FB3-40A7-BC23-E8F615F9296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104775</xdr:colOff>
      <xdr:row>3</xdr:row>
      <xdr:rowOff>66675</xdr:rowOff>
    </xdr:from>
    <xdr:to>
      <xdr:col>0</xdr:col>
      <xdr:colOff>542925</xdr:colOff>
      <xdr:row>5</xdr:row>
      <xdr:rowOff>114300</xdr:rowOff>
    </xdr:to>
    <xdr:pic>
      <xdr:nvPicPr>
        <xdr:cNvPr id="11" name="Picture 10">
          <a:hlinkClick xmlns:r="http://schemas.openxmlformats.org/officeDocument/2006/relationships" r:id="rId6"/>
          <a:extLst>
            <a:ext uri="{FF2B5EF4-FFF2-40B4-BE49-F238E27FC236}">
              <a16:creationId xmlns:a16="http://schemas.microsoft.com/office/drawing/2014/main" id="{103DA005-D690-4317-A2BB-1C7C7969408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4775" y="638175"/>
          <a:ext cx="438150" cy="438150"/>
        </a:xfrm>
        <a:prstGeom prst="rect">
          <a:avLst/>
        </a:prstGeom>
      </xdr:spPr>
    </xdr:pic>
    <xdr:clientData/>
  </xdr:twoCellAnchor>
  <xdr:twoCellAnchor editAs="oneCell">
    <xdr:from>
      <xdr:col>1</xdr:col>
      <xdr:colOff>95250</xdr:colOff>
      <xdr:row>3</xdr:row>
      <xdr:rowOff>123825</xdr:rowOff>
    </xdr:from>
    <xdr:to>
      <xdr:col>1</xdr:col>
      <xdr:colOff>504825</xdr:colOff>
      <xdr:row>5</xdr:row>
      <xdr:rowOff>98574</xdr:rowOff>
    </xdr:to>
    <xdr:pic>
      <xdr:nvPicPr>
        <xdr:cNvPr id="13" name="Picture 12">
          <a:extLst>
            <a:ext uri="{FF2B5EF4-FFF2-40B4-BE49-F238E27FC236}">
              <a16:creationId xmlns:a16="http://schemas.microsoft.com/office/drawing/2014/main" id="{D11AB4BC-33FB-4916-B8F3-8902045EA15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4850" y="695325"/>
          <a:ext cx="409575" cy="36527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E0568FFF-0A52-487B-9B25-5A532B829E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95250</xdr:colOff>
      <xdr:row>3</xdr:row>
      <xdr:rowOff>57150</xdr:rowOff>
    </xdr:from>
    <xdr:to>
      <xdr:col>0</xdr:col>
      <xdr:colOff>533400</xdr:colOff>
      <xdr:row>5</xdr:row>
      <xdr:rowOff>114300</xdr:rowOff>
    </xdr:to>
    <xdr:pic>
      <xdr:nvPicPr>
        <xdr:cNvPr id="3" name="Picture 2">
          <a:hlinkClick xmlns:r="http://schemas.openxmlformats.org/officeDocument/2006/relationships" r:id="rId3"/>
          <a:extLst>
            <a:ext uri="{FF2B5EF4-FFF2-40B4-BE49-F238E27FC236}">
              <a16:creationId xmlns:a16="http://schemas.microsoft.com/office/drawing/2014/main" id="{0A59DDF3-040F-4C20-95F9-50B872206C0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250" y="628650"/>
          <a:ext cx="438150" cy="438150"/>
        </a:xfrm>
        <a:prstGeom prst="rect">
          <a:avLst/>
        </a:prstGeom>
      </xdr:spPr>
    </xdr:pic>
    <xdr:clientData/>
  </xdr:twoCellAnchor>
  <xdr:twoCellAnchor editAs="oneCell">
    <xdr:from>
      <xdr:col>1</xdr:col>
      <xdr:colOff>142876</xdr:colOff>
      <xdr:row>3</xdr:row>
      <xdr:rowOff>123825</xdr:rowOff>
    </xdr:from>
    <xdr:to>
      <xdr:col>1</xdr:col>
      <xdr:colOff>523876</xdr:colOff>
      <xdr:row>5</xdr:row>
      <xdr:rowOff>82615</xdr:rowOff>
    </xdr:to>
    <xdr:pic>
      <xdr:nvPicPr>
        <xdr:cNvPr id="5" name="Picture 4">
          <a:extLst>
            <a:ext uri="{FF2B5EF4-FFF2-40B4-BE49-F238E27FC236}">
              <a16:creationId xmlns:a16="http://schemas.microsoft.com/office/drawing/2014/main" id="{E5932FDF-F6CC-4622-98C1-E12B876291D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2476" y="704850"/>
          <a:ext cx="381000" cy="33979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9</xdr:col>
      <xdr:colOff>581025</xdr:colOff>
      <xdr:row>8</xdr:row>
      <xdr:rowOff>0</xdr:rowOff>
    </xdr:from>
    <xdr:to>
      <xdr:col>12</xdr:col>
      <xdr:colOff>581025</xdr:colOff>
      <xdr:row>21</xdr:row>
      <xdr:rowOff>47625</xdr:rowOff>
    </xdr:to>
    <mc:AlternateContent xmlns:mc="http://schemas.openxmlformats.org/markup-compatibility/2006" xmlns:a14="http://schemas.microsoft.com/office/drawing/2010/main">
      <mc:Choice Requires="a14">
        <xdr:graphicFrame macro="">
          <xdr:nvGraphicFramePr>
            <xdr:cNvPr id="2" name="Produto">
              <a:extLst>
                <a:ext uri="{FF2B5EF4-FFF2-40B4-BE49-F238E27FC236}">
                  <a16:creationId xmlns:a16="http://schemas.microsoft.com/office/drawing/2014/main" id="{1FF0D25D-2A4E-493C-981D-C96470ACA776}"/>
                </a:ext>
              </a:extLst>
            </xdr:cNvPr>
            <xdr:cNvGraphicFramePr/>
          </xdr:nvGraphicFramePr>
          <xdr:xfrm>
            <a:off x="0" y="0"/>
            <a:ext cx="0" cy="0"/>
          </xdr:xfrm>
          <a:graphic>
            <a:graphicData uri="http://schemas.microsoft.com/office/drawing/2010/slicer">
              <sle:slicer xmlns:sle="http://schemas.microsoft.com/office/drawing/2010/slicer" name="Produto"/>
            </a:graphicData>
          </a:graphic>
        </xdr:graphicFrame>
      </mc:Choice>
      <mc:Fallback xmlns="">
        <xdr:sp macro="" textlink="">
          <xdr:nvSpPr>
            <xdr:cNvPr id="0" name=""/>
            <xdr:cNvSpPr>
              <a:spLocks noTextEdit="1"/>
            </xdr:cNvSpPr>
          </xdr:nvSpPr>
          <xdr:spPr>
            <a:xfrm>
              <a:off x="8039100" y="1543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623887</xdr:colOff>
      <xdr:row>7</xdr:row>
      <xdr:rowOff>109537</xdr:rowOff>
    </xdr:from>
    <xdr:to>
      <xdr:col>9</xdr:col>
      <xdr:colOff>261937</xdr:colOff>
      <xdr:row>22</xdr:row>
      <xdr:rowOff>4762</xdr:rowOff>
    </xdr:to>
    <xdr:graphicFrame macro="">
      <xdr:nvGraphicFramePr>
        <xdr:cNvPr id="3" name="Chart 2">
          <a:extLst>
            <a:ext uri="{FF2B5EF4-FFF2-40B4-BE49-F238E27FC236}">
              <a16:creationId xmlns:a16="http://schemas.microsoft.com/office/drawing/2014/main" id="{812888CC-26D3-453B-ACF6-EFAF0B354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9525</xdr:rowOff>
    </xdr:from>
    <xdr:to>
      <xdr:col>0</xdr:col>
      <xdr:colOff>600075</xdr:colOff>
      <xdr:row>3</xdr:row>
      <xdr:rowOff>0</xdr:rowOff>
    </xdr:to>
    <xdr:pic>
      <xdr:nvPicPr>
        <xdr:cNvPr id="4" name="Picture 3">
          <a:hlinkClick xmlns:r="http://schemas.openxmlformats.org/officeDocument/2006/relationships" r:id="rId2"/>
          <a:extLst>
            <a:ext uri="{FF2B5EF4-FFF2-40B4-BE49-F238E27FC236}">
              <a16:creationId xmlns:a16="http://schemas.microsoft.com/office/drawing/2014/main" id="{6A482509-FB38-4462-B8BB-92C76CE71BF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95250</xdr:colOff>
      <xdr:row>3</xdr:row>
      <xdr:rowOff>85725</xdr:rowOff>
    </xdr:from>
    <xdr:to>
      <xdr:col>0</xdr:col>
      <xdr:colOff>533400</xdr:colOff>
      <xdr:row>5</xdr:row>
      <xdr:rowOff>142875</xdr:rowOff>
    </xdr:to>
    <xdr:pic>
      <xdr:nvPicPr>
        <xdr:cNvPr id="5" name="Picture 4">
          <a:hlinkClick xmlns:r="http://schemas.openxmlformats.org/officeDocument/2006/relationships" r:id="rId4"/>
          <a:extLst>
            <a:ext uri="{FF2B5EF4-FFF2-40B4-BE49-F238E27FC236}">
              <a16:creationId xmlns:a16="http://schemas.microsoft.com/office/drawing/2014/main" id="{56EB7FC7-B798-4E28-B599-7E4006E203E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250" y="666750"/>
          <a:ext cx="438150" cy="438150"/>
        </a:xfrm>
        <a:prstGeom prst="rect">
          <a:avLst/>
        </a:prstGeom>
      </xdr:spPr>
    </xdr:pic>
    <xdr:clientData/>
  </xdr:twoCellAnchor>
  <xdr:twoCellAnchor editAs="oneCell">
    <xdr:from>
      <xdr:col>1</xdr:col>
      <xdr:colOff>104775</xdr:colOff>
      <xdr:row>3</xdr:row>
      <xdr:rowOff>123825</xdr:rowOff>
    </xdr:from>
    <xdr:to>
      <xdr:col>1</xdr:col>
      <xdr:colOff>514350</xdr:colOff>
      <xdr:row>5</xdr:row>
      <xdr:rowOff>108099</xdr:rowOff>
    </xdr:to>
    <xdr:pic>
      <xdr:nvPicPr>
        <xdr:cNvPr id="6" name="Picture 5">
          <a:extLst>
            <a:ext uri="{FF2B5EF4-FFF2-40B4-BE49-F238E27FC236}">
              <a16:creationId xmlns:a16="http://schemas.microsoft.com/office/drawing/2014/main" id="{086E0B46-3505-4652-AA73-303DCF65FD3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14375" y="704850"/>
          <a:ext cx="409575" cy="36527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6</xdr:col>
      <xdr:colOff>414336</xdr:colOff>
      <xdr:row>7</xdr:row>
      <xdr:rowOff>52386</xdr:rowOff>
    </xdr:from>
    <xdr:to>
      <xdr:col>13</xdr:col>
      <xdr:colOff>38100</xdr:colOff>
      <xdr:row>25</xdr:row>
      <xdr:rowOff>180975</xdr:rowOff>
    </xdr:to>
    <xdr:graphicFrame macro="">
      <xdr:nvGraphicFramePr>
        <xdr:cNvPr id="2" name="Chart 1">
          <a:extLst>
            <a:ext uri="{FF2B5EF4-FFF2-40B4-BE49-F238E27FC236}">
              <a16:creationId xmlns:a16="http://schemas.microsoft.com/office/drawing/2014/main" id="{B0104954-FEFA-470C-BDED-1BC41278D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9525</xdr:rowOff>
    </xdr:from>
    <xdr:to>
      <xdr:col>0</xdr:col>
      <xdr:colOff>600075</xdr:colOff>
      <xdr:row>3</xdr:row>
      <xdr:rowOff>0</xdr:rowOff>
    </xdr:to>
    <xdr:pic>
      <xdr:nvPicPr>
        <xdr:cNvPr id="4" name="Picture 3">
          <a:hlinkClick xmlns:r="http://schemas.openxmlformats.org/officeDocument/2006/relationships" r:id="rId2"/>
          <a:extLst>
            <a:ext uri="{FF2B5EF4-FFF2-40B4-BE49-F238E27FC236}">
              <a16:creationId xmlns:a16="http://schemas.microsoft.com/office/drawing/2014/main" id="{59A9D747-B8C9-48D4-A287-70697767FC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114300</xdr:colOff>
      <xdr:row>3</xdr:row>
      <xdr:rowOff>114300</xdr:rowOff>
    </xdr:from>
    <xdr:to>
      <xdr:col>0</xdr:col>
      <xdr:colOff>523875</xdr:colOff>
      <xdr:row>5</xdr:row>
      <xdr:rowOff>142875</xdr:rowOff>
    </xdr:to>
    <xdr:pic>
      <xdr:nvPicPr>
        <xdr:cNvPr id="5" name="Picture 4">
          <a:hlinkClick xmlns:r="http://schemas.openxmlformats.org/officeDocument/2006/relationships" r:id="rId4"/>
          <a:extLst>
            <a:ext uri="{FF2B5EF4-FFF2-40B4-BE49-F238E27FC236}">
              <a16:creationId xmlns:a16="http://schemas.microsoft.com/office/drawing/2014/main" id="{C71EF06F-EB0F-4E66-B486-86C9FE5D82C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4300" y="695325"/>
          <a:ext cx="409575" cy="409575"/>
        </a:xfrm>
        <a:prstGeom prst="rect">
          <a:avLst/>
        </a:prstGeom>
      </xdr:spPr>
    </xdr:pic>
    <xdr:clientData/>
  </xdr:twoCellAnchor>
  <xdr:twoCellAnchor editAs="oneCell">
    <xdr:from>
      <xdr:col>1</xdr:col>
      <xdr:colOff>114300</xdr:colOff>
      <xdr:row>3</xdr:row>
      <xdr:rowOff>114300</xdr:rowOff>
    </xdr:from>
    <xdr:to>
      <xdr:col>1</xdr:col>
      <xdr:colOff>541509</xdr:colOff>
      <xdr:row>5</xdr:row>
      <xdr:rowOff>114300</xdr:rowOff>
    </xdr:to>
    <xdr:pic>
      <xdr:nvPicPr>
        <xdr:cNvPr id="6" name="Picture 5">
          <a:extLst>
            <a:ext uri="{FF2B5EF4-FFF2-40B4-BE49-F238E27FC236}">
              <a16:creationId xmlns:a16="http://schemas.microsoft.com/office/drawing/2014/main" id="{295CC37D-3577-4D51-9A9E-5F80B01634C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23900" y="695325"/>
          <a:ext cx="427209"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190500</xdr:colOff>
      <xdr:row>1</xdr:row>
      <xdr:rowOff>1</xdr:rowOff>
    </xdr:from>
    <xdr:to>
      <xdr:col>2</xdr:col>
      <xdr:colOff>419099</xdr:colOff>
      <xdr:row>8</xdr:row>
      <xdr:rowOff>152400</xdr:rowOff>
    </xdr:to>
    <xdr:sp macro="" textlink="">
      <xdr:nvSpPr>
        <xdr:cNvPr id="2" name="Flowchart: Connector 1">
          <a:extLst>
            <a:ext uri="{FF2B5EF4-FFF2-40B4-BE49-F238E27FC236}">
              <a16:creationId xmlns:a16="http://schemas.microsoft.com/office/drawing/2014/main" id="{F28CB512-A83F-483D-91CD-5FBAB8B84137}"/>
            </a:ext>
          </a:extLst>
        </xdr:cNvPr>
        <xdr:cNvSpPr/>
      </xdr:nvSpPr>
      <xdr:spPr>
        <a:xfrm>
          <a:off x="190500" y="190501"/>
          <a:ext cx="1447799" cy="1495424"/>
        </a:xfrm>
        <a:prstGeom prst="flowChartConnector">
          <a:avLst/>
        </a:prstGeom>
        <a:solidFill>
          <a:schemeClr val="tx1">
            <a:lumMod val="50000"/>
            <a:lumOff val="50000"/>
          </a:schemeClr>
        </a:solid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200025</xdr:colOff>
      <xdr:row>19</xdr:row>
      <xdr:rowOff>142875</xdr:rowOff>
    </xdr:from>
    <xdr:to>
      <xdr:col>8</xdr:col>
      <xdr:colOff>495300</xdr:colOff>
      <xdr:row>21</xdr:row>
      <xdr:rowOff>15687</xdr:rowOff>
    </xdr:to>
    <xdr:pic>
      <xdr:nvPicPr>
        <xdr:cNvPr id="7" name="Picture 6">
          <a:hlinkClick xmlns:r="http://schemas.openxmlformats.org/officeDocument/2006/relationships" r:id="rId1"/>
          <a:extLst>
            <a:ext uri="{FF2B5EF4-FFF2-40B4-BE49-F238E27FC236}">
              <a16:creationId xmlns:a16="http://schemas.microsoft.com/office/drawing/2014/main" id="{8B4308C8-5AD1-4DD2-A813-99A55C0D8B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91375" y="3981450"/>
          <a:ext cx="295275" cy="263337"/>
        </a:xfrm>
        <a:prstGeom prst="rect">
          <a:avLst/>
        </a:prstGeom>
      </xdr:spPr>
    </xdr:pic>
    <xdr:clientData/>
  </xdr:twoCellAnchor>
  <xdr:twoCellAnchor editAs="oneCell">
    <xdr:from>
      <xdr:col>11</xdr:col>
      <xdr:colOff>209550</xdr:colOff>
      <xdr:row>19</xdr:row>
      <xdr:rowOff>133350</xdr:rowOff>
    </xdr:from>
    <xdr:to>
      <xdr:col>11</xdr:col>
      <xdr:colOff>504825</xdr:colOff>
      <xdr:row>21</xdr:row>
      <xdr:rowOff>6162</xdr:rowOff>
    </xdr:to>
    <xdr:pic>
      <xdr:nvPicPr>
        <xdr:cNvPr id="8" name="Picture 7">
          <a:hlinkClick xmlns:r="http://schemas.openxmlformats.org/officeDocument/2006/relationships" r:id="rId3"/>
          <a:extLst>
            <a:ext uri="{FF2B5EF4-FFF2-40B4-BE49-F238E27FC236}">
              <a16:creationId xmlns:a16="http://schemas.microsoft.com/office/drawing/2014/main" id="{C83546F4-D7DE-4934-9867-A947679304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01075" y="3971925"/>
          <a:ext cx="295275" cy="263337"/>
        </a:xfrm>
        <a:prstGeom prst="rect">
          <a:avLst/>
        </a:prstGeom>
      </xdr:spPr>
    </xdr:pic>
    <xdr:clientData/>
  </xdr:twoCellAnchor>
  <xdr:twoCellAnchor editAs="oneCell">
    <xdr:from>
      <xdr:col>0</xdr:col>
      <xdr:colOff>85725</xdr:colOff>
      <xdr:row>0</xdr:row>
      <xdr:rowOff>28575</xdr:rowOff>
    </xdr:from>
    <xdr:to>
      <xdr:col>2</xdr:col>
      <xdr:colOff>520256</xdr:colOff>
      <xdr:row>9</xdr:row>
      <xdr:rowOff>161925</xdr:rowOff>
    </xdr:to>
    <xdr:pic>
      <xdr:nvPicPr>
        <xdr:cNvPr id="11" name="Picture 10">
          <a:hlinkClick xmlns:r="http://schemas.openxmlformats.org/officeDocument/2006/relationships" r:id="rId4"/>
          <a:extLst>
            <a:ext uri="{FF2B5EF4-FFF2-40B4-BE49-F238E27FC236}">
              <a16:creationId xmlns:a16="http://schemas.microsoft.com/office/drawing/2014/main" id="{66865F84-FB87-418A-8E4A-4509405B37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5725" y="28575"/>
          <a:ext cx="1653731" cy="1857375"/>
        </a:xfrm>
        <a:prstGeom prst="rect">
          <a:avLst/>
        </a:prstGeom>
      </xdr:spPr>
    </xdr:pic>
    <xdr:clientData/>
  </xdr:twoCellAnchor>
  <xdr:twoCellAnchor>
    <xdr:from>
      <xdr:col>4</xdr:col>
      <xdr:colOff>276225</xdr:colOff>
      <xdr:row>2</xdr:row>
      <xdr:rowOff>57151</xdr:rowOff>
    </xdr:from>
    <xdr:to>
      <xdr:col>6</xdr:col>
      <xdr:colOff>323850</xdr:colOff>
      <xdr:row>8</xdr:row>
      <xdr:rowOff>180975</xdr:rowOff>
    </xdr:to>
    <xdr:sp macro="" textlink="">
      <xdr:nvSpPr>
        <xdr:cNvPr id="12" name="Flowchart: Connector 11">
          <a:extLst>
            <a:ext uri="{FF2B5EF4-FFF2-40B4-BE49-F238E27FC236}">
              <a16:creationId xmlns:a16="http://schemas.microsoft.com/office/drawing/2014/main" id="{C78BF074-B124-421A-BE81-863445633416}"/>
            </a:ext>
          </a:extLst>
        </xdr:cNvPr>
        <xdr:cNvSpPr/>
      </xdr:nvSpPr>
      <xdr:spPr>
        <a:xfrm>
          <a:off x="2714625" y="438151"/>
          <a:ext cx="1266825" cy="1276349"/>
        </a:xfrm>
        <a:prstGeom prst="flowChartConnector">
          <a:avLst/>
        </a:prstGeom>
        <a:solidFill>
          <a:srgbClr val="FFFBEF"/>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xdr:colOff>
      <xdr:row>18</xdr:row>
      <xdr:rowOff>180975</xdr:rowOff>
    </xdr:from>
    <xdr:to>
      <xdr:col>6</xdr:col>
      <xdr:colOff>19049</xdr:colOff>
      <xdr:row>21</xdr:row>
      <xdr:rowOff>171449</xdr:rowOff>
    </xdr:to>
    <xdr:sp macro="" textlink="">
      <xdr:nvSpPr>
        <xdr:cNvPr id="13" name="Flowchart: Connector 12">
          <a:extLst>
            <a:ext uri="{FF2B5EF4-FFF2-40B4-BE49-F238E27FC236}">
              <a16:creationId xmlns:a16="http://schemas.microsoft.com/office/drawing/2014/main" id="{97D39589-5C23-414D-A6AA-8A8DF2F3A5EB}"/>
            </a:ext>
          </a:extLst>
        </xdr:cNvPr>
        <xdr:cNvSpPr/>
      </xdr:nvSpPr>
      <xdr:spPr>
        <a:xfrm>
          <a:off x="4343400" y="382905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66675</xdr:colOff>
      <xdr:row>15</xdr:row>
      <xdr:rowOff>19050</xdr:rowOff>
    </xdr:from>
    <xdr:to>
      <xdr:col>6</xdr:col>
      <xdr:colOff>9524</xdr:colOff>
      <xdr:row>18</xdr:row>
      <xdr:rowOff>9524</xdr:rowOff>
    </xdr:to>
    <xdr:sp macro="" textlink="">
      <xdr:nvSpPr>
        <xdr:cNvPr id="14" name="Flowchart: Connector 13">
          <a:extLst>
            <a:ext uri="{FF2B5EF4-FFF2-40B4-BE49-F238E27FC236}">
              <a16:creationId xmlns:a16="http://schemas.microsoft.com/office/drawing/2014/main" id="{9396D4CD-70B5-4D99-B0A5-00D0B19F87A2}"/>
            </a:ext>
          </a:extLst>
        </xdr:cNvPr>
        <xdr:cNvSpPr/>
      </xdr:nvSpPr>
      <xdr:spPr>
        <a:xfrm>
          <a:off x="4333875" y="308610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xdr:colOff>
      <xdr:row>11</xdr:row>
      <xdr:rowOff>0</xdr:rowOff>
    </xdr:from>
    <xdr:to>
      <xdr:col>6</xdr:col>
      <xdr:colOff>19049</xdr:colOff>
      <xdr:row>13</xdr:row>
      <xdr:rowOff>171449</xdr:rowOff>
    </xdr:to>
    <xdr:sp macro="" textlink="">
      <xdr:nvSpPr>
        <xdr:cNvPr id="15" name="Flowchart: Connector 14">
          <a:extLst>
            <a:ext uri="{FF2B5EF4-FFF2-40B4-BE49-F238E27FC236}">
              <a16:creationId xmlns:a16="http://schemas.microsoft.com/office/drawing/2014/main" id="{CB59226E-E45D-433C-A6DA-9FAD611CB531}"/>
            </a:ext>
          </a:extLst>
        </xdr:cNvPr>
        <xdr:cNvSpPr/>
      </xdr:nvSpPr>
      <xdr:spPr>
        <a:xfrm>
          <a:off x="4343400" y="2295525"/>
          <a:ext cx="552449" cy="561974"/>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76200</xdr:colOff>
      <xdr:row>18</xdr:row>
      <xdr:rowOff>171450</xdr:rowOff>
    </xdr:from>
    <xdr:to>
      <xdr:col>9</xdr:col>
      <xdr:colOff>19049</xdr:colOff>
      <xdr:row>21</xdr:row>
      <xdr:rowOff>161924</xdr:rowOff>
    </xdr:to>
    <xdr:sp macro="" textlink="">
      <xdr:nvSpPr>
        <xdr:cNvPr id="16" name="Flowchart: Connector 15">
          <a:extLst>
            <a:ext uri="{FF2B5EF4-FFF2-40B4-BE49-F238E27FC236}">
              <a16:creationId xmlns:a16="http://schemas.microsoft.com/office/drawing/2014/main" id="{1D4C1F27-4FB5-4BF5-B432-7C79C74F33A0}"/>
            </a:ext>
          </a:extLst>
        </xdr:cNvPr>
        <xdr:cNvSpPr/>
      </xdr:nvSpPr>
      <xdr:spPr>
        <a:xfrm>
          <a:off x="7067550" y="3819525"/>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57150</xdr:colOff>
      <xdr:row>18</xdr:row>
      <xdr:rowOff>180975</xdr:rowOff>
    </xdr:from>
    <xdr:to>
      <xdr:col>11</xdr:col>
      <xdr:colOff>609599</xdr:colOff>
      <xdr:row>21</xdr:row>
      <xdr:rowOff>171449</xdr:rowOff>
    </xdr:to>
    <xdr:sp macro="" textlink="">
      <xdr:nvSpPr>
        <xdr:cNvPr id="17" name="Flowchart: Connector 16">
          <a:extLst>
            <a:ext uri="{FF2B5EF4-FFF2-40B4-BE49-F238E27FC236}">
              <a16:creationId xmlns:a16="http://schemas.microsoft.com/office/drawing/2014/main" id="{693DD876-17B3-43CD-82E4-9BD74904CF7B}"/>
            </a:ext>
          </a:extLst>
        </xdr:cNvPr>
        <xdr:cNvSpPr/>
      </xdr:nvSpPr>
      <xdr:spPr>
        <a:xfrm>
          <a:off x="8448675" y="382905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476251</xdr:colOff>
      <xdr:row>3</xdr:row>
      <xdr:rowOff>38101</xdr:rowOff>
    </xdr:from>
    <xdr:to>
      <xdr:col>6</xdr:col>
      <xdr:colOff>152401</xdr:colOff>
      <xdr:row>7</xdr:row>
      <xdr:rowOff>161926</xdr:rowOff>
    </xdr:to>
    <xdr:pic>
      <xdr:nvPicPr>
        <xdr:cNvPr id="20" name="Picture 19">
          <a:extLst>
            <a:ext uri="{FF2B5EF4-FFF2-40B4-BE49-F238E27FC236}">
              <a16:creationId xmlns:a16="http://schemas.microsoft.com/office/drawing/2014/main" id="{69102CEE-A3B7-43F8-913E-9649139CC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14651" y="609601"/>
          <a:ext cx="895350" cy="895350"/>
        </a:xfrm>
        <a:prstGeom prst="rect">
          <a:avLst/>
        </a:prstGeom>
      </xdr:spPr>
    </xdr:pic>
    <xdr:clientData/>
  </xdr:twoCellAnchor>
  <xdr:twoCellAnchor editAs="oneCell">
    <xdr:from>
      <xdr:col>5</xdr:col>
      <xdr:colOff>209551</xdr:colOff>
      <xdr:row>11</xdr:row>
      <xdr:rowOff>123826</xdr:rowOff>
    </xdr:from>
    <xdr:to>
      <xdr:col>5</xdr:col>
      <xdr:colOff>552451</xdr:colOff>
      <xdr:row>13</xdr:row>
      <xdr:rowOff>76201</xdr:rowOff>
    </xdr:to>
    <xdr:pic>
      <xdr:nvPicPr>
        <xdr:cNvPr id="21" name="Picture 20">
          <a:hlinkClick xmlns:r="http://schemas.openxmlformats.org/officeDocument/2006/relationships" r:id="rId7"/>
          <a:extLst>
            <a:ext uri="{FF2B5EF4-FFF2-40B4-BE49-F238E27FC236}">
              <a16:creationId xmlns:a16="http://schemas.microsoft.com/office/drawing/2014/main" id="{49AFECDD-0C54-4EB0-84BD-25313B27286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476751" y="2419351"/>
          <a:ext cx="342900" cy="342900"/>
        </a:xfrm>
        <a:prstGeom prst="rect">
          <a:avLst/>
        </a:prstGeom>
      </xdr:spPr>
    </xdr:pic>
    <xdr:clientData/>
  </xdr:twoCellAnchor>
  <xdr:twoCellAnchor editAs="oneCell">
    <xdr:from>
      <xdr:col>5</xdr:col>
      <xdr:colOff>209551</xdr:colOff>
      <xdr:row>15</xdr:row>
      <xdr:rowOff>171451</xdr:rowOff>
    </xdr:from>
    <xdr:to>
      <xdr:col>5</xdr:col>
      <xdr:colOff>533400</xdr:colOff>
      <xdr:row>17</xdr:row>
      <xdr:rowOff>104775</xdr:rowOff>
    </xdr:to>
    <xdr:pic>
      <xdr:nvPicPr>
        <xdr:cNvPr id="22" name="Picture 21">
          <a:hlinkClick xmlns:r="http://schemas.openxmlformats.org/officeDocument/2006/relationships" r:id="rId9"/>
          <a:extLst>
            <a:ext uri="{FF2B5EF4-FFF2-40B4-BE49-F238E27FC236}">
              <a16:creationId xmlns:a16="http://schemas.microsoft.com/office/drawing/2014/main" id="{E4879EC6-FA67-48C2-98B1-6EF7137BA99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476751" y="3238501"/>
          <a:ext cx="323849" cy="323849"/>
        </a:xfrm>
        <a:prstGeom prst="rect">
          <a:avLst/>
        </a:prstGeom>
      </xdr:spPr>
    </xdr:pic>
    <xdr:clientData/>
  </xdr:twoCellAnchor>
  <xdr:twoCellAnchor editAs="oneCell">
    <xdr:from>
      <xdr:col>5</xdr:col>
      <xdr:colOff>190500</xdr:colOff>
      <xdr:row>19</xdr:row>
      <xdr:rowOff>123825</xdr:rowOff>
    </xdr:from>
    <xdr:to>
      <xdr:col>5</xdr:col>
      <xdr:colOff>523154</xdr:colOff>
      <xdr:row>21</xdr:row>
      <xdr:rowOff>47625</xdr:rowOff>
    </xdr:to>
    <xdr:pic>
      <xdr:nvPicPr>
        <xdr:cNvPr id="23" name="Picture 22">
          <a:hlinkClick xmlns:r="http://schemas.openxmlformats.org/officeDocument/2006/relationships" r:id="rId11"/>
          <a:extLst>
            <a:ext uri="{FF2B5EF4-FFF2-40B4-BE49-F238E27FC236}">
              <a16:creationId xmlns:a16="http://schemas.microsoft.com/office/drawing/2014/main" id="{85A84780-8B00-4C1A-AE64-A6DD983A426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457700" y="3962400"/>
          <a:ext cx="332654" cy="314325"/>
        </a:xfrm>
        <a:prstGeom prst="rect">
          <a:avLst/>
        </a:prstGeom>
      </xdr:spPr>
    </xdr:pic>
    <xdr:clientData/>
  </xdr:twoCellAnchor>
  <xdr:twoCellAnchor>
    <xdr:from>
      <xdr:col>5</xdr:col>
      <xdr:colOff>57150</xdr:colOff>
      <xdr:row>23</xdr:row>
      <xdr:rowOff>0</xdr:rowOff>
    </xdr:from>
    <xdr:to>
      <xdr:col>5</xdr:col>
      <xdr:colOff>609599</xdr:colOff>
      <xdr:row>25</xdr:row>
      <xdr:rowOff>180974</xdr:rowOff>
    </xdr:to>
    <xdr:sp macro="" textlink="">
      <xdr:nvSpPr>
        <xdr:cNvPr id="25" name="Flowchart: Connector 24">
          <a:extLst>
            <a:ext uri="{FF2B5EF4-FFF2-40B4-BE49-F238E27FC236}">
              <a16:creationId xmlns:a16="http://schemas.microsoft.com/office/drawing/2014/main" id="{D418C4EB-7F3C-4283-BFF6-299C71D2F7BD}"/>
            </a:ext>
          </a:extLst>
        </xdr:cNvPr>
        <xdr:cNvSpPr/>
      </xdr:nvSpPr>
      <xdr:spPr>
        <a:xfrm>
          <a:off x="4324350" y="461010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171451</xdr:colOff>
      <xdr:row>23</xdr:row>
      <xdr:rowOff>95251</xdr:rowOff>
    </xdr:from>
    <xdr:to>
      <xdr:col>5</xdr:col>
      <xdr:colOff>533401</xdr:colOff>
      <xdr:row>25</xdr:row>
      <xdr:rowOff>66676</xdr:rowOff>
    </xdr:to>
    <xdr:pic>
      <xdr:nvPicPr>
        <xdr:cNvPr id="26" name="Picture 25">
          <a:hlinkClick xmlns:r="http://schemas.openxmlformats.org/officeDocument/2006/relationships" r:id="rId13"/>
          <a:extLst>
            <a:ext uri="{FF2B5EF4-FFF2-40B4-BE49-F238E27FC236}">
              <a16:creationId xmlns:a16="http://schemas.microsoft.com/office/drawing/2014/main" id="{A1C97BB1-8279-4EA0-B4F5-DE7D5AA7925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438651" y="4705351"/>
          <a:ext cx="361950" cy="361950"/>
        </a:xfrm>
        <a:prstGeom prst="rect">
          <a:avLst/>
        </a:prstGeom>
      </xdr:spPr>
    </xdr:pic>
    <xdr:clientData/>
  </xdr:twoCellAnchor>
  <xdr:twoCellAnchor>
    <xdr:from>
      <xdr:col>8</xdr:col>
      <xdr:colOff>66675</xdr:colOff>
      <xdr:row>15</xdr:row>
      <xdr:rowOff>19050</xdr:rowOff>
    </xdr:from>
    <xdr:to>
      <xdr:col>9</xdr:col>
      <xdr:colOff>9524</xdr:colOff>
      <xdr:row>18</xdr:row>
      <xdr:rowOff>9524</xdr:rowOff>
    </xdr:to>
    <xdr:sp macro="" textlink="">
      <xdr:nvSpPr>
        <xdr:cNvPr id="27" name="Flowchart: Connector 26">
          <a:extLst>
            <a:ext uri="{FF2B5EF4-FFF2-40B4-BE49-F238E27FC236}">
              <a16:creationId xmlns:a16="http://schemas.microsoft.com/office/drawing/2014/main" id="{FDD8F4D8-1FC4-44CB-9C3E-5128B4D66354}"/>
            </a:ext>
          </a:extLst>
        </xdr:cNvPr>
        <xdr:cNvSpPr/>
      </xdr:nvSpPr>
      <xdr:spPr>
        <a:xfrm>
          <a:off x="7058025" y="308610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57150</xdr:colOff>
      <xdr:row>11</xdr:row>
      <xdr:rowOff>9525</xdr:rowOff>
    </xdr:from>
    <xdr:to>
      <xdr:col>8</xdr:col>
      <xdr:colOff>609599</xdr:colOff>
      <xdr:row>13</xdr:row>
      <xdr:rowOff>190499</xdr:rowOff>
    </xdr:to>
    <xdr:sp macro="" textlink="">
      <xdr:nvSpPr>
        <xdr:cNvPr id="28" name="Flowchart: Connector 27">
          <a:extLst>
            <a:ext uri="{FF2B5EF4-FFF2-40B4-BE49-F238E27FC236}">
              <a16:creationId xmlns:a16="http://schemas.microsoft.com/office/drawing/2014/main" id="{5B65FD32-C323-4ECC-8806-1B84DBB6DF1E}"/>
            </a:ext>
          </a:extLst>
        </xdr:cNvPr>
        <xdr:cNvSpPr/>
      </xdr:nvSpPr>
      <xdr:spPr>
        <a:xfrm>
          <a:off x="7048500" y="230505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200025</xdr:colOff>
      <xdr:row>15</xdr:row>
      <xdr:rowOff>180975</xdr:rowOff>
    </xdr:from>
    <xdr:to>
      <xdr:col>8</xdr:col>
      <xdr:colOff>495300</xdr:colOff>
      <xdr:row>17</xdr:row>
      <xdr:rowOff>53787</xdr:rowOff>
    </xdr:to>
    <xdr:pic>
      <xdr:nvPicPr>
        <xdr:cNvPr id="29" name="Picture 28">
          <a:hlinkClick xmlns:r="http://schemas.openxmlformats.org/officeDocument/2006/relationships" r:id="rId15"/>
          <a:extLst>
            <a:ext uri="{FF2B5EF4-FFF2-40B4-BE49-F238E27FC236}">
              <a16:creationId xmlns:a16="http://schemas.microsoft.com/office/drawing/2014/main" id="{47B5B80A-D98C-4829-A6FB-93290E60B4C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91375" y="3248025"/>
          <a:ext cx="295275" cy="263337"/>
        </a:xfrm>
        <a:prstGeom prst="rect">
          <a:avLst/>
        </a:prstGeom>
      </xdr:spPr>
    </xdr:pic>
    <xdr:clientData/>
  </xdr:twoCellAnchor>
  <xdr:twoCellAnchor editAs="oneCell">
    <xdr:from>
      <xdr:col>8</xdr:col>
      <xdr:colOff>180975</xdr:colOff>
      <xdr:row>11</xdr:row>
      <xdr:rowOff>171450</xdr:rowOff>
    </xdr:from>
    <xdr:to>
      <xdr:col>8</xdr:col>
      <xdr:colOff>476250</xdr:colOff>
      <xdr:row>13</xdr:row>
      <xdr:rowOff>44262</xdr:rowOff>
    </xdr:to>
    <xdr:pic>
      <xdr:nvPicPr>
        <xdr:cNvPr id="30" name="Picture 29">
          <a:hlinkClick xmlns:r="http://schemas.openxmlformats.org/officeDocument/2006/relationships" r:id="rId16"/>
          <a:extLst>
            <a:ext uri="{FF2B5EF4-FFF2-40B4-BE49-F238E27FC236}">
              <a16:creationId xmlns:a16="http://schemas.microsoft.com/office/drawing/2014/main" id="{D61CA748-5B8B-415C-B5F7-124020901D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72325" y="2466975"/>
          <a:ext cx="295275" cy="263337"/>
        </a:xfrm>
        <a:prstGeom prst="rect">
          <a:avLst/>
        </a:prstGeom>
      </xdr:spPr>
    </xdr:pic>
    <xdr:clientData/>
  </xdr:twoCellAnchor>
  <xdr:twoCellAnchor>
    <xdr:from>
      <xdr:col>6</xdr:col>
      <xdr:colOff>314325</xdr:colOff>
      <xdr:row>4</xdr:row>
      <xdr:rowOff>133350</xdr:rowOff>
    </xdr:from>
    <xdr:to>
      <xdr:col>8</xdr:col>
      <xdr:colOff>438150</xdr:colOff>
      <xdr:row>6</xdr:row>
      <xdr:rowOff>76200</xdr:rowOff>
    </xdr:to>
    <xdr:sp macro="" textlink="">
      <xdr:nvSpPr>
        <xdr:cNvPr id="31" name="TextBox 30">
          <a:extLst>
            <a:ext uri="{FF2B5EF4-FFF2-40B4-BE49-F238E27FC236}">
              <a16:creationId xmlns:a16="http://schemas.microsoft.com/office/drawing/2014/main" id="{15AE51D0-6105-48BC-9AE2-D85F207A40DE}"/>
            </a:ext>
          </a:extLst>
        </xdr:cNvPr>
        <xdr:cNvSpPr txBox="1"/>
      </xdr:nvSpPr>
      <xdr:spPr>
        <a:xfrm>
          <a:off x="3971925" y="895350"/>
          <a:ext cx="2238375" cy="333375"/>
        </a:xfrm>
        <a:prstGeom prst="rect">
          <a:avLst/>
        </a:prstGeom>
        <a:solidFill>
          <a:srgbClr val="FFFBEF"/>
        </a:solidFill>
        <a:ln w="2857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t>Central do</a:t>
          </a:r>
          <a:r>
            <a:rPr lang="en-US" sz="1600" b="1" baseline="0"/>
            <a:t> Cliente</a:t>
          </a:r>
          <a:endParaRPr lang="en-US" sz="1600" b="1"/>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2" name="Picture 1">
          <a:extLst>
            <a:ext uri="{FF2B5EF4-FFF2-40B4-BE49-F238E27FC236}">
              <a16:creationId xmlns:a16="http://schemas.microsoft.com/office/drawing/2014/main" id="{4ECE1AEA-3BA5-4366-92C6-AA6DA7A90F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3" name="Picture 2">
          <a:hlinkClick xmlns:r="http://schemas.openxmlformats.org/officeDocument/2006/relationships" r:id="rId2"/>
          <a:extLst>
            <a:ext uri="{FF2B5EF4-FFF2-40B4-BE49-F238E27FC236}">
              <a16:creationId xmlns:a16="http://schemas.microsoft.com/office/drawing/2014/main" id="{271FBF77-61EE-4C5B-B324-B9BC65F802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57150</xdr:colOff>
      <xdr:row>3</xdr:row>
      <xdr:rowOff>38100</xdr:rowOff>
    </xdr:from>
    <xdr:to>
      <xdr:col>0</xdr:col>
      <xdr:colOff>561975</xdr:colOff>
      <xdr:row>5</xdr:row>
      <xdr:rowOff>142875</xdr:rowOff>
    </xdr:to>
    <xdr:pic>
      <xdr:nvPicPr>
        <xdr:cNvPr id="4" name="Picture 3">
          <a:hlinkClick xmlns:r="http://schemas.openxmlformats.org/officeDocument/2006/relationships" r:id="rId3"/>
          <a:extLst>
            <a:ext uri="{FF2B5EF4-FFF2-40B4-BE49-F238E27FC236}">
              <a16:creationId xmlns:a16="http://schemas.microsoft.com/office/drawing/2014/main" id="{16F32641-02FB-41A0-91F8-88C5A31EDCD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7150" y="571500"/>
          <a:ext cx="504825" cy="504825"/>
        </a:xfrm>
        <a:prstGeom prst="rect">
          <a:avLst/>
        </a:prstGeom>
      </xdr:spPr>
    </xdr:pic>
    <xdr:clientData/>
  </xdr:twoCellAnchor>
  <xdr:twoCellAnchor editAs="oneCell">
    <xdr:from>
      <xdr:col>1</xdr:col>
      <xdr:colOff>142875</xdr:colOff>
      <xdr:row>3</xdr:row>
      <xdr:rowOff>133350</xdr:rowOff>
    </xdr:from>
    <xdr:to>
      <xdr:col>1</xdr:col>
      <xdr:colOff>523875</xdr:colOff>
      <xdr:row>5</xdr:row>
      <xdr:rowOff>114300</xdr:rowOff>
    </xdr:to>
    <xdr:pic>
      <xdr:nvPicPr>
        <xdr:cNvPr id="5" name="Picture 4">
          <a:extLst>
            <a:ext uri="{FF2B5EF4-FFF2-40B4-BE49-F238E27FC236}">
              <a16:creationId xmlns:a16="http://schemas.microsoft.com/office/drawing/2014/main" id="{D9916D0D-A683-4DE3-899B-F5ABE5039C8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2475" y="704850"/>
          <a:ext cx="381000" cy="381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2" name="Picture 1">
          <a:hlinkClick xmlns:r="http://schemas.openxmlformats.org/officeDocument/2006/relationships" r:id="rId1"/>
          <a:extLst>
            <a:ext uri="{FF2B5EF4-FFF2-40B4-BE49-F238E27FC236}">
              <a16:creationId xmlns:a16="http://schemas.microsoft.com/office/drawing/2014/main" id="{56D15D0F-07F9-4C44-BAED-8845EFCBC1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xdr:from>
      <xdr:col>6</xdr:col>
      <xdr:colOff>42333</xdr:colOff>
      <xdr:row>11</xdr:row>
      <xdr:rowOff>31748</xdr:rowOff>
    </xdr:from>
    <xdr:to>
      <xdr:col>11</xdr:col>
      <xdr:colOff>994835</xdr:colOff>
      <xdr:row>23</xdr:row>
      <xdr:rowOff>158749</xdr:rowOff>
    </xdr:to>
    <xdr:graphicFrame macro="">
      <xdr:nvGraphicFramePr>
        <xdr:cNvPr id="4" name="Chart 3">
          <a:extLst>
            <a:ext uri="{FF2B5EF4-FFF2-40B4-BE49-F238E27FC236}">
              <a16:creationId xmlns:a16="http://schemas.microsoft.com/office/drawing/2014/main" id="{086531B2-F3D1-4AC9-8276-15F3C9FA58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52917</xdr:colOff>
      <xdr:row>16</xdr:row>
      <xdr:rowOff>21167</xdr:rowOff>
    </xdr:from>
    <xdr:to>
      <xdr:col>4</xdr:col>
      <xdr:colOff>1322917</xdr:colOff>
      <xdr:row>23</xdr:row>
      <xdr:rowOff>137583</xdr:rowOff>
    </xdr:to>
    <xdr:graphicFrame macro="">
      <xdr:nvGraphicFramePr>
        <xdr:cNvPr id="9" name="Chart 8">
          <a:extLst>
            <a:ext uri="{FF2B5EF4-FFF2-40B4-BE49-F238E27FC236}">
              <a16:creationId xmlns:a16="http://schemas.microsoft.com/office/drawing/2014/main" id="{BFB6AA86-3BBD-43B8-AD86-06D46490C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9</xdr:row>
      <xdr:rowOff>158750</xdr:rowOff>
    </xdr:from>
    <xdr:to>
      <xdr:col>12</xdr:col>
      <xdr:colOff>148167</xdr:colOff>
      <xdr:row>24</xdr:row>
      <xdr:rowOff>52917</xdr:rowOff>
    </xdr:to>
    <xdr:sp macro="" textlink="">
      <xdr:nvSpPr>
        <xdr:cNvPr id="10" name="Rectangle: Rounded Corners 9">
          <a:extLst>
            <a:ext uri="{FF2B5EF4-FFF2-40B4-BE49-F238E27FC236}">
              <a16:creationId xmlns:a16="http://schemas.microsoft.com/office/drawing/2014/main" id="{9A0F92C2-10B9-4FB7-9148-2B7F049C2375}"/>
            </a:ext>
          </a:extLst>
        </xdr:cNvPr>
        <xdr:cNvSpPr/>
      </xdr:nvSpPr>
      <xdr:spPr>
        <a:xfrm>
          <a:off x="4423833" y="1979083"/>
          <a:ext cx="6434667" cy="2899834"/>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423335</xdr:colOff>
      <xdr:row>9</xdr:row>
      <xdr:rowOff>158751</xdr:rowOff>
    </xdr:from>
    <xdr:to>
      <xdr:col>16</xdr:col>
      <xdr:colOff>349251</xdr:colOff>
      <xdr:row>19</xdr:row>
      <xdr:rowOff>148167</xdr:rowOff>
    </xdr:to>
    <xdr:sp macro="" textlink="">
      <xdr:nvSpPr>
        <xdr:cNvPr id="11" name="Rectangle: Rounded Corners 10">
          <a:extLst>
            <a:ext uri="{FF2B5EF4-FFF2-40B4-BE49-F238E27FC236}">
              <a16:creationId xmlns:a16="http://schemas.microsoft.com/office/drawing/2014/main" id="{2ADB2623-6AC8-4E42-A912-D3A52E6B6AE8}"/>
            </a:ext>
          </a:extLst>
        </xdr:cNvPr>
        <xdr:cNvSpPr/>
      </xdr:nvSpPr>
      <xdr:spPr>
        <a:xfrm>
          <a:off x="11133668" y="1979084"/>
          <a:ext cx="3513666" cy="2042583"/>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529166</xdr:colOff>
      <xdr:row>14</xdr:row>
      <xdr:rowOff>137583</xdr:rowOff>
    </xdr:from>
    <xdr:to>
      <xdr:col>5</xdr:col>
      <xdr:colOff>127000</xdr:colOff>
      <xdr:row>24</xdr:row>
      <xdr:rowOff>42333</xdr:rowOff>
    </xdr:to>
    <xdr:sp macro="" textlink="">
      <xdr:nvSpPr>
        <xdr:cNvPr id="12" name="Rectangle: Rounded Corners 11">
          <a:extLst>
            <a:ext uri="{FF2B5EF4-FFF2-40B4-BE49-F238E27FC236}">
              <a16:creationId xmlns:a16="http://schemas.microsoft.com/office/drawing/2014/main" id="{B843F9B2-93B0-4413-89CD-EC693766D90B}"/>
            </a:ext>
          </a:extLst>
        </xdr:cNvPr>
        <xdr:cNvSpPr/>
      </xdr:nvSpPr>
      <xdr:spPr>
        <a:xfrm>
          <a:off x="1756833" y="3058583"/>
          <a:ext cx="3450167" cy="1830917"/>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169333</xdr:colOff>
      <xdr:row>4</xdr:row>
      <xdr:rowOff>179916</xdr:rowOff>
    </xdr:from>
    <xdr:to>
      <xdr:col>1</xdr:col>
      <xdr:colOff>569383</xdr:colOff>
      <xdr:row>6</xdr:row>
      <xdr:rowOff>167216</xdr:rowOff>
    </xdr:to>
    <xdr:pic>
      <xdr:nvPicPr>
        <xdr:cNvPr id="13" name="Picture 12">
          <a:extLst>
            <a:ext uri="{FF2B5EF4-FFF2-40B4-BE49-F238E27FC236}">
              <a16:creationId xmlns:a16="http://schemas.microsoft.com/office/drawing/2014/main" id="{A7477866-DB0E-42DF-A992-2BCA5646CF3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83166" y="941916"/>
          <a:ext cx="400050" cy="400050"/>
        </a:xfrm>
        <a:prstGeom prst="rect">
          <a:avLst/>
        </a:prstGeom>
      </xdr:spPr>
    </xdr:pic>
    <xdr:clientData/>
  </xdr:twoCellAnchor>
  <xdr:twoCellAnchor editAs="oneCell">
    <xdr:from>
      <xdr:col>0</xdr:col>
      <xdr:colOff>10585</xdr:colOff>
      <xdr:row>4</xdr:row>
      <xdr:rowOff>105835</xdr:rowOff>
    </xdr:from>
    <xdr:to>
      <xdr:col>0</xdr:col>
      <xdr:colOff>560916</xdr:colOff>
      <xdr:row>6</xdr:row>
      <xdr:rowOff>243416</xdr:rowOff>
    </xdr:to>
    <xdr:pic>
      <xdr:nvPicPr>
        <xdr:cNvPr id="14" name="Picture 13">
          <a:hlinkClick xmlns:r="http://schemas.openxmlformats.org/officeDocument/2006/relationships" r:id="rId6"/>
          <a:extLst>
            <a:ext uri="{FF2B5EF4-FFF2-40B4-BE49-F238E27FC236}">
              <a16:creationId xmlns:a16="http://schemas.microsoft.com/office/drawing/2014/main" id="{2CFEDA0F-DFE0-41BC-B164-3559E9CD287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585" y="867835"/>
          <a:ext cx="550331" cy="550331"/>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2" name="Picture 1">
          <a:hlinkClick xmlns:r="http://schemas.openxmlformats.org/officeDocument/2006/relationships" r:id="rId1"/>
          <a:extLst>
            <a:ext uri="{FF2B5EF4-FFF2-40B4-BE49-F238E27FC236}">
              <a16:creationId xmlns:a16="http://schemas.microsoft.com/office/drawing/2014/main" id="{F078BBAF-A704-4248-84AF-0AA50CA591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xdr:from>
      <xdr:col>2</xdr:col>
      <xdr:colOff>9522</xdr:colOff>
      <xdr:row>7</xdr:row>
      <xdr:rowOff>1</xdr:rowOff>
    </xdr:from>
    <xdr:to>
      <xdr:col>9</xdr:col>
      <xdr:colOff>21165</xdr:colOff>
      <xdr:row>19</xdr:row>
      <xdr:rowOff>179916</xdr:rowOff>
    </xdr:to>
    <xdr:graphicFrame macro="">
      <xdr:nvGraphicFramePr>
        <xdr:cNvPr id="4" name="Chart 3">
          <a:extLst>
            <a:ext uri="{FF2B5EF4-FFF2-40B4-BE49-F238E27FC236}">
              <a16:creationId xmlns:a16="http://schemas.microsoft.com/office/drawing/2014/main" id="{E138E182-C41B-4408-B309-259834E499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6349</xdr:colOff>
      <xdr:row>21</xdr:row>
      <xdr:rowOff>10583</xdr:rowOff>
    </xdr:from>
    <xdr:to>
      <xdr:col>9</xdr:col>
      <xdr:colOff>21167</xdr:colOff>
      <xdr:row>34</xdr:row>
      <xdr:rowOff>0</xdr:rowOff>
    </xdr:to>
    <xdr:graphicFrame macro="">
      <xdr:nvGraphicFramePr>
        <xdr:cNvPr id="7" name="Chart 6">
          <a:extLst>
            <a:ext uri="{FF2B5EF4-FFF2-40B4-BE49-F238E27FC236}">
              <a16:creationId xmlns:a16="http://schemas.microsoft.com/office/drawing/2014/main" id="{EC0CCEF6-41BF-4B95-B281-9D3A5584E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86782</xdr:colOff>
      <xdr:row>7</xdr:row>
      <xdr:rowOff>50802</xdr:rowOff>
    </xdr:from>
    <xdr:to>
      <xdr:col>10</xdr:col>
      <xdr:colOff>994833</xdr:colOff>
      <xdr:row>19</xdr:row>
      <xdr:rowOff>127001</xdr:rowOff>
    </xdr:to>
    <mc:AlternateContent xmlns:mc="http://schemas.openxmlformats.org/markup-compatibility/2006" xmlns:a14="http://schemas.microsoft.com/office/drawing/2010/main">
      <mc:Choice Requires="a14">
        <xdr:graphicFrame macro="">
          <xdr:nvGraphicFramePr>
            <xdr:cNvPr id="12" name="Cliente 1">
              <a:extLst>
                <a:ext uri="{FF2B5EF4-FFF2-40B4-BE49-F238E27FC236}">
                  <a16:creationId xmlns:a16="http://schemas.microsoft.com/office/drawing/2014/main" id="{6E7C5BD6-C58B-482D-AD75-6E9D538C55C7}"/>
                </a:ext>
              </a:extLst>
            </xdr:cNvPr>
            <xdr:cNvGraphicFramePr/>
          </xdr:nvGraphicFramePr>
          <xdr:xfrm>
            <a:off x="0" y="0"/>
            <a:ext cx="0" cy="0"/>
          </xdr:xfrm>
          <a:graphic>
            <a:graphicData uri="http://schemas.microsoft.com/office/drawing/2010/slicer">
              <sle:slicer xmlns:sle="http://schemas.microsoft.com/office/drawing/2010/slicer" name="Cliente 1"/>
            </a:graphicData>
          </a:graphic>
        </xdr:graphicFrame>
      </mc:Choice>
      <mc:Fallback xmlns="">
        <xdr:sp macro="" textlink="">
          <xdr:nvSpPr>
            <xdr:cNvPr id="0" name=""/>
            <xdr:cNvSpPr>
              <a:spLocks noTextEdit="1"/>
            </xdr:cNvSpPr>
          </xdr:nvSpPr>
          <xdr:spPr>
            <a:xfrm>
              <a:off x="8267699" y="1447802"/>
              <a:ext cx="1955801" cy="2489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55035</xdr:colOff>
      <xdr:row>7</xdr:row>
      <xdr:rowOff>40217</xdr:rowOff>
    </xdr:from>
    <xdr:to>
      <xdr:col>12</xdr:col>
      <xdr:colOff>973667</xdr:colOff>
      <xdr:row>19</xdr:row>
      <xdr:rowOff>105834</xdr:rowOff>
    </xdr:to>
    <mc:AlternateContent xmlns:mc="http://schemas.openxmlformats.org/markup-compatibility/2006" xmlns:a14="http://schemas.microsoft.com/office/drawing/2010/main">
      <mc:Choice Requires="a14">
        <xdr:graphicFrame macro="">
          <xdr:nvGraphicFramePr>
            <xdr:cNvPr id="13" name="Ano 2">
              <a:extLst>
                <a:ext uri="{FF2B5EF4-FFF2-40B4-BE49-F238E27FC236}">
                  <a16:creationId xmlns:a16="http://schemas.microsoft.com/office/drawing/2014/main" id="{750AC9F7-8A6D-4037-B27B-F569BCB28AAB}"/>
                </a:ext>
              </a:extLst>
            </xdr:cNvPr>
            <xdr:cNvGraphicFramePr/>
          </xdr:nvGraphicFramePr>
          <xdr:xfrm>
            <a:off x="0" y="0"/>
            <a:ext cx="0" cy="0"/>
          </xdr:xfrm>
          <a:graphic>
            <a:graphicData uri="http://schemas.microsoft.com/office/drawing/2010/slicer">
              <sle:slicer xmlns:sle="http://schemas.microsoft.com/office/drawing/2010/slicer" name="Ano 2"/>
            </a:graphicData>
          </a:graphic>
        </xdr:graphicFrame>
      </mc:Choice>
      <mc:Fallback xmlns="">
        <xdr:sp macro="" textlink="">
          <xdr:nvSpPr>
            <xdr:cNvPr id="0" name=""/>
            <xdr:cNvSpPr>
              <a:spLocks noTextEdit="1"/>
            </xdr:cNvSpPr>
          </xdr:nvSpPr>
          <xdr:spPr>
            <a:xfrm>
              <a:off x="10331452" y="1437217"/>
              <a:ext cx="1966382" cy="24786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76199</xdr:colOff>
      <xdr:row>21</xdr:row>
      <xdr:rowOff>61383</xdr:rowOff>
    </xdr:from>
    <xdr:to>
      <xdr:col>10</xdr:col>
      <xdr:colOff>994833</xdr:colOff>
      <xdr:row>33</xdr:row>
      <xdr:rowOff>95251</xdr:rowOff>
    </xdr:to>
    <mc:AlternateContent xmlns:mc="http://schemas.openxmlformats.org/markup-compatibility/2006" xmlns:a14="http://schemas.microsoft.com/office/drawing/2010/main">
      <mc:Choice Requires="a14">
        <xdr:graphicFrame macro="">
          <xdr:nvGraphicFramePr>
            <xdr:cNvPr id="14" name="Cliente 2">
              <a:extLst>
                <a:ext uri="{FF2B5EF4-FFF2-40B4-BE49-F238E27FC236}">
                  <a16:creationId xmlns:a16="http://schemas.microsoft.com/office/drawing/2014/main" id="{1FC54710-9D24-4350-9915-AFA99E3FD7D6}"/>
                </a:ext>
              </a:extLst>
            </xdr:cNvPr>
            <xdr:cNvGraphicFramePr/>
          </xdr:nvGraphicFramePr>
          <xdr:xfrm>
            <a:off x="0" y="0"/>
            <a:ext cx="0" cy="0"/>
          </xdr:xfrm>
          <a:graphic>
            <a:graphicData uri="http://schemas.microsoft.com/office/drawing/2010/slicer">
              <sle:slicer xmlns:sle="http://schemas.microsoft.com/office/drawing/2010/slicer" name="Cliente 2"/>
            </a:graphicData>
          </a:graphic>
        </xdr:graphicFrame>
      </mc:Choice>
      <mc:Fallback xmlns="">
        <xdr:sp macro="" textlink="">
          <xdr:nvSpPr>
            <xdr:cNvPr id="0" name=""/>
            <xdr:cNvSpPr>
              <a:spLocks noTextEdit="1"/>
            </xdr:cNvSpPr>
          </xdr:nvSpPr>
          <xdr:spPr>
            <a:xfrm>
              <a:off x="8257116" y="4495800"/>
              <a:ext cx="1966384" cy="2330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55033</xdr:colOff>
      <xdr:row>21</xdr:row>
      <xdr:rowOff>50800</xdr:rowOff>
    </xdr:from>
    <xdr:to>
      <xdr:col>12</xdr:col>
      <xdr:colOff>984250</xdr:colOff>
      <xdr:row>33</xdr:row>
      <xdr:rowOff>105835</xdr:rowOff>
    </xdr:to>
    <mc:AlternateContent xmlns:mc="http://schemas.openxmlformats.org/markup-compatibility/2006" xmlns:a14="http://schemas.microsoft.com/office/drawing/2010/main">
      <mc:Choice Requires="a14">
        <xdr:graphicFrame macro="">
          <xdr:nvGraphicFramePr>
            <xdr:cNvPr id="15" name="Ano 5">
              <a:extLst>
                <a:ext uri="{FF2B5EF4-FFF2-40B4-BE49-F238E27FC236}">
                  <a16:creationId xmlns:a16="http://schemas.microsoft.com/office/drawing/2014/main" id="{30C0BF1E-C07A-4C0A-A0C9-51598751E484}"/>
                </a:ext>
              </a:extLst>
            </xdr:cNvPr>
            <xdr:cNvGraphicFramePr/>
          </xdr:nvGraphicFramePr>
          <xdr:xfrm>
            <a:off x="0" y="0"/>
            <a:ext cx="0" cy="0"/>
          </xdr:xfrm>
          <a:graphic>
            <a:graphicData uri="http://schemas.microsoft.com/office/drawing/2010/slicer">
              <sle:slicer xmlns:sle="http://schemas.microsoft.com/office/drawing/2010/slicer" name="Ano 5"/>
            </a:graphicData>
          </a:graphic>
        </xdr:graphicFrame>
      </mc:Choice>
      <mc:Fallback xmlns="">
        <xdr:sp macro="" textlink="">
          <xdr:nvSpPr>
            <xdr:cNvPr id="0" name=""/>
            <xdr:cNvSpPr>
              <a:spLocks noTextEdit="1"/>
            </xdr:cNvSpPr>
          </xdr:nvSpPr>
          <xdr:spPr>
            <a:xfrm>
              <a:off x="10331450" y="4485217"/>
              <a:ext cx="1976967" cy="23516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6</xdr:row>
      <xdr:rowOff>0</xdr:rowOff>
    </xdr:from>
    <xdr:to>
      <xdr:col>13</xdr:col>
      <xdr:colOff>21166</xdr:colOff>
      <xdr:row>19</xdr:row>
      <xdr:rowOff>179917</xdr:rowOff>
    </xdr:to>
    <xdr:sp macro="" textlink="">
      <xdr:nvSpPr>
        <xdr:cNvPr id="16" name="Rectangle 15">
          <a:extLst>
            <a:ext uri="{FF2B5EF4-FFF2-40B4-BE49-F238E27FC236}">
              <a16:creationId xmlns:a16="http://schemas.microsoft.com/office/drawing/2014/main" id="{20CB8AA1-E46B-4785-A8BE-BE0ABECAFDBB}"/>
            </a:ext>
          </a:extLst>
        </xdr:cNvPr>
        <xdr:cNvSpPr/>
      </xdr:nvSpPr>
      <xdr:spPr>
        <a:xfrm>
          <a:off x="613833" y="1121833"/>
          <a:ext cx="11779250" cy="2868084"/>
        </a:xfrm>
        <a:prstGeom prst="rect">
          <a:avLst/>
        </a:prstGeom>
        <a:noFill/>
        <a:ln w="285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603250</xdr:colOff>
      <xdr:row>20</xdr:row>
      <xdr:rowOff>0</xdr:rowOff>
    </xdr:from>
    <xdr:to>
      <xdr:col>13</xdr:col>
      <xdr:colOff>21167</xdr:colOff>
      <xdr:row>34</xdr:row>
      <xdr:rowOff>1</xdr:rowOff>
    </xdr:to>
    <xdr:sp macro="" textlink="">
      <xdr:nvSpPr>
        <xdr:cNvPr id="17" name="Rectangle 16">
          <a:extLst>
            <a:ext uri="{FF2B5EF4-FFF2-40B4-BE49-F238E27FC236}">
              <a16:creationId xmlns:a16="http://schemas.microsoft.com/office/drawing/2014/main" id="{14459C68-77D0-405C-9D61-E5FE4E509844}"/>
            </a:ext>
          </a:extLst>
        </xdr:cNvPr>
        <xdr:cNvSpPr/>
      </xdr:nvSpPr>
      <xdr:spPr>
        <a:xfrm>
          <a:off x="1217083" y="4360335"/>
          <a:ext cx="11789834" cy="2751666"/>
        </a:xfrm>
        <a:prstGeom prst="rect">
          <a:avLst/>
        </a:prstGeom>
        <a:noFill/>
        <a:ln w="285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42333</xdr:colOff>
      <xdr:row>3</xdr:row>
      <xdr:rowOff>42333</xdr:rowOff>
    </xdr:from>
    <xdr:to>
      <xdr:col>0</xdr:col>
      <xdr:colOff>560916</xdr:colOff>
      <xdr:row>5</xdr:row>
      <xdr:rowOff>179916</xdr:rowOff>
    </xdr:to>
    <xdr:pic>
      <xdr:nvPicPr>
        <xdr:cNvPr id="18" name="Picture 17">
          <a:hlinkClick xmlns:r="http://schemas.openxmlformats.org/officeDocument/2006/relationships" r:id="rId5"/>
          <a:extLst>
            <a:ext uri="{FF2B5EF4-FFF2-40B4-BE49-F238E27FC236}">
              <a16:creationId xmlns:a16="http://schemas.microsoft.com/office/drawing/2014/main" id="{4C8E5326-21CD-4BDA-A085-C718E2F618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333" y="571500"/>
          <a:ext cx="518583" cy="518583"/>
        </a:xfrm>
        <a:prstGeom prst="rect">
          <a:avLst/>
        </a:prstGeom>
      </xdr:spPr>
    </xdr:pic>
    <xdr:clientData/>
  </xdr:twoCellAnchor>
  <xdr:twoCellAnchor editAs="oneCell">
    <xdr:from>
      <xdr:col>1</xdr:col>
      <xdr:colOff>116416</xdr:colOff>
      <xdr:row>3</xdr:row>
      <xdr:rowOff>127000</xdr:rowOff>
    </xdr:from>
    <xdr:to>
      <xdr:col>1</xdr:col>
      <xdr:colOff>530496</xdr:colOff>
      <xdr:row>5</xdr:row>
      <xdr:rowOff>137264</xdr:rowOff>
    </xdr:to>
    <xdr:pic>
      <xdr:nvPicPr>
        <xdr:cNvPr id="19" name="Picture 18">
          <a:extLst>
            <a:ext uri="{FF2B5EF4-FFF2-40B4-BE49-F238E27FC236}">
              <a16:creationId xmlns:a16="http://schemas.microsoft.com/office/drawing/2014/main" id="{9C635A3C-6D98-42A1-A15B-1F3FEC86362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30249" y="698500"/>
          <a:ext cx="414080" cy="391264"/>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0</xdr:colOff>
      <xdr:row>3</xdr:row>
      <xdr:rowOff>9525</xdr:rowOff>
    </xdr:to>
    <xdr:pic>
      <xdr:nvPicPr>
        <xdr:cNvPr id="2" name="Picture 1">
          <a:hlinkClick xmlns:r="http://schemas.openxmlformats.org/officeDocument/2006/relationships" r:id="rId1"/>
          <a:extLst>
            <a:ext uri="{FF2B5EF4-FFF2-40B4-BE49-F238E27FC236}">
              <a16:creationId xmlns:a16="http://schemas.microsoft.com/office/drawing/2014/main" id="{6906EB59-1787-407E-8C50-A3F4231AE6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1</xdr:col>
      <xdr:colOff>123825</xdr:colOff>
      <xdr:row>3</xdr:row>
      <xdr:rowOff>95250</xdr:rowOff>
    </xdr:from>
    <xdr:to>
      <xdr:col>1</xdr:col>
      <xdr:colOff>533401</xdr:colOff>
      <xdr:row>5</xdr:row>
      <xdr:rowOff>123826</xdr:rowOff>
    </xdr:to>
    <xdr:pic>
      <xdr:nvPicPr>
        <xdr:cNvPr id="4" name="Picture 3">
          <a:extLst>
            <a:ext uri="{FF2B5EF4-FFF2-40B4-BE49-F238E27FC236}">
              <a16:creationId xmlns:a16="http://schemas.microsoft.com/office/drawing/2014/main" id="{12D5C638-D9ED-40A2-A187-D30DE7FC068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23900" y="676275"/>
          <a:ext cx="409576" cy="409576"/>
        </a:xfrm>
        <a:prstGeom prst="rect">
          <a:avLst/>
        </a:prstGeom>
      </xdr:spPr>
    </xdr:pic>
    <xdr:clientData/>
  </xdr:twoCellAnchor>
  <xdr:twoCellAnchor editAs="oneCell">
    <xdr:from>
      <xdr:col>0</xdr:col>
      <xdr:colOff>85725</xdr:colOff>
      <xdr:row>3</xdr:row>
      <xdr:rowOff>28575</xdr:rowOff>
    </xdr:from>
    <xdr:to>
      <xdr:col>0</xdr:col>
      <xdr:colOff>590550</xdr:colOff>
      <xdr:row>5</xdr:row>
      <xdr:rowOff>152400</xdr:rowOff>
    </xdr:to>
    <xdr:pic>
      <xdr:nvPicPr>
        <xdr:cNvPr id="5" name="Picture 4">
          <a:hlinkClick xmlns:r="http://schemas.openxmlformats.org/officeDocument/2006/relationships" r:id="rId4"/>
          <a:extLst>
            <a:ext uri="{FF2B5EF4-FFF2-40B4-BE49-F238E27FC236}">
              <a16:creationId xmlns:a16="http://schemas.microsoft.com/office/drawing/2014/main" id="{6AE7865F-A27C-4B3F-BB9F-994CD949E5A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5725" y="609600"/>
          <a:ext cx="504825" cy="5048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0</xdr:colOff>
      <xdr:row>3</xdr:row>
      <xdr:rowOff>9525</xdr:rowOff>
    </xdr:to>
    <xdr:pic>
      <xdr:nvPicPr>
        <xdr:cNvPr id="2" name="Picture 1">
          <a:extLst>
            <a:ext uri="{FF2B5EF4-FFF2-40B4-BE49-F238E27FC236}">
              <a16:creationId xmlns:a16="http://schemas.microsoft.com/office/drawing/2014/main" id="{34DC4B05-B266-484F-99E6-74B05E72C1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1</xdr:col>
      <xdr:colOff>0</xdr:colOff>
      <xdr:row>3</xdr:row>
      <xdr:rowOff>19050</xdr:rowOff>
    </xdr:to>
    <xdr:pic>
      <xdr:nvPicPr>
        <xdr:cNvPr id="3" name="Picture 2">
          <a:hlinkClick xmlns:r="http://schemas.openxmlformats.org/officeDocument/2006/relationships" r:id="rId2"/>
          <a:extLst>
            <a:ext uri="{FF2B5EF4-FFF2-40B4-BE49-F238E27FC236}">
              <a16:creationId xmlns:a16="http://schemas.microsoft.com/office/drawing/2014/main" id="{BC97EEC6-2D9B-4E94-96B9-4433B713BA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81025"/>
        </a:xfrm>
        <a:prstGeom prst="rect">
          <a:avLst/>
        </a:prstGeom>
      </xdr:spPr>
    </xdr:pic>
    <xdr:clientData/>
  </xdr:twoCellAnchor>
  <xdr:twoCellAnchor editAs="oneCell">
    <xdr:from>
      <xdr:col>0</xdr:col>
      <xdr:colOff>57150</xdr:colOff>
      <xdr:row>4</xdr:row>
      <xdr:rowOff>19050</xdr:rowOff>
    </xdr:from>
    <xdr:to>
      <xdr:col>0</xdr:col>
      <xdr:colOff>590550</xdr:colOff>
      <xdr:row>6</xdr:row>
      <xdr:rowOff>66675</xdr:rowOff>
    </xdr:to>
    <xdr:pic>
      <xdr:nvPicPr>
        <xdr:cNvPr id="5" name="Picture 4">
          <a:hlinkClick xmlns:r="http://schemas.openxmlformats.org/officeDocument/2006/relationships" r:id="rId3"/>
          <a:extLst>
            <a:ext uri="{FF2B5EF4-FFF2-40B4-BE49-F238E27FC236}">
              <a16:creationId xmlns:a16="http://schemas.microsoft.com/office/drawing/2014/main" id="{58066020-138D-41B4-B85E-D023BA97127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7150" y="790575"/>
          <a:ext cx="533400" cy="533400"/>
        </a:xfrm>
        <a:prstGeom prst="rect">
          <a:avLst/>
        </a:prstGeom>
      </xdr:spPr>
    </xdr:pic>
    <xdr:clientData/>
  </xdr:twoCellAnchor>
  <xdr:twoCellAnchor editAs="oneCell">
    <xdr:from>
      <xdr:col>1</xdr:col>
      <xdr:colOff>57149</xdr:colOff>
      <xdr:row>4</xdr:row>
      <xdr:rowOff>28574</xdr:rowOff>
    </xdr:from>
    <xdr:to>
      <xdr:col>1</xdr:col>
      <xdr:colOff>516398</xdr:colOff>
      <xdr:row>5</xdr:row>
      <xdr:rowOff>200024</xdr:rowOff>
    </xdr:to>
    <xdr:pic>
      <xdr:nvPicPr>
        <xdr:cNvPr id="6" name="Picture 5">
          <a:extLst>
            <a:ext uri="{FF2B5EF4-FFF2-40B4-BE49-F238E27FC236}">
              <a16:creationId xmlns:a16="http://schemas.microsoft.com/office/drawing/2014/main" id="{09882DC6-2805-4AA9-A8CE-1F6D4562A37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57224" y="800099"/>
          <a:ext cx="459249" cy="40957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9</xdr:col>
      <xdr:colOff>328611</xdr:colOff>
      <xdr:row>7</xdr:row>
      <xdr:rowOff>61912</xdr:rowOff>
    </xdr:from>
    <xdr:to>
      <xdr:col>19</xdr:col>
      <xdr:colOff>371475</xdr:colOff>
      <xdr:row>26</xdr:row>
      <xdr:rowOff>133350</xdr:rowOff>
    </xdr:to>
    <xdr:graphicFrame macro="">
      <xdr:nvGraphicFramePr>
        <xdr:cNvPr id="2" name="Chart 1">
          <a:extLst>
            <a:ext uri="{FF2B5EF4-FFF2-40B4-BE49-F238E27FC236}">
              <a16:creationId xmlns:a16="http://schemas.microsoft.com/office/drawing/2014/main" id="{E34DF47E-9DC2-4CF4-A233-19D25BA74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9525</xdr:rowOff>
    </xdr:from>
    <xdr:to>
      <xdr:col>1</xdr:col>
      <xdr:colOff>0</xdr:colOff>
      <xdr:row>3</xdr:row>
      <xdr:rowOff>0</xdr:rowOff>
    </xdr:to>
    <xdr:pic>
      <xdr:nvPicPr>
        <xdr:cNvPr id="3" name="Picture 2">
          <a:extLst>
            <a:ext uri="{FF2B5EF4-FFF2-40B4-BE49-F238E27FC236}">
              <a16:creationId xmlns:a16="http://schemas.microsoft.com/office/drawing/2014/main" id="{91805176-1DA2-4BAA-9AFC-E716D57C57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1</xdr:col>
      <xdr:colOff>0</xdr:colOff>
      <xdr:row>3</xdr:row>
      <xdr:rowOff>9525</xdr:rowOff>
    </xdr:to>
    <xdr:pic>
      <xdr:nvPicPr>
        <xdr:cNvPr id="4" name="Picture 3">
          <a:hlinkClick xmlns:r="http://schemas.openxmlformats.org/officeDocument/2006/relationships" r:id="rId3"/>
          <a:extLst>
            <a:ext uri="{FF2B5EF4-FFF2-40B4-BE49-F238E27FC236}">
              <a16:creationId xmlns:a16="http://schemas.microsoft.com/office/drawing/2014/main" id="{F01D890E-9661-4528-BF53-EEF4DB425E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81025"/>
        </a:xfrm>
        <a:prstGeom prst="rect">
          <a:avLst/>
        </a:prstGeom>
      </xdr:spPr>
    </xdr:pic>
    <xdr:clientData/>
  </xdr:twoCellAnchor>
  <xdr:twoCellAnchor editAs="oneCell">
    <xdr:from>
      <xdr:col>0</xdr:col>
      <xdr:colOff>57150</xdr:colOff>
      <xdr:row>3</xdr:row>
      <xdr:rowOff>19050</xdr:rowOff>
    </xdr:from>
    <xdr:to>
      <xdr:col>0</xdr:col>
      <xdr:colOff>571500</xdr:colOff>
      <xdr:row>5</xdr:row>
      <xdr:rowOff>152400</xdr:rowOff>
    </xdr:to>
    <xdr:pic>
      <xdr:nvPicPr>
        <xdr:cNvPr id="5" name="Picture 4">
          <a:hlinkClick xmlns:r="http://schemas.openxmlformats.org/officeDocument/2006/relationships" r:id="rId4"/>
          <a:extLst>
            <a:ext uri="{FF2B5EF4-FFF2-40B4-BE49-F238E27FC236}">
              <a16:creationId xmlns:a16="http://schemas.microsoft.com/office/drawing/2014/main" id="{8AF16292-D1E1-48AE-A385-4E69FE2ABF0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7150" y="600075"/>
          <a:ext cx="514350" cy="514350"/>
        </a:xfrm>
        <a:prstGeom prst="rect">
          <a:avLst/>
        </a:prstGeom>
      </xdr:spPr>
    </xdr:pic>
    <xdr:clientData/>
  </xdr:twoCellAnchor>
  <xdr:twoCellAnchor editAs="oneCell">
    <xdr:from>
      <xdr:col>1</xdr:col>
      <xdr:colOff>104774</xdr:colOff>
      <xdr:row>3</xdr:row>
      <xdr:rowOff>142875</xdr:rowOff>
    </xdr:from>
    <xdr:to>
      <xdr:col>1</xdr:col>
      <xdr:colOff>495299</xdr:colOff>
      <xdr:row>5</xdr:row>
      <xdr:rowOff>110159</xdr:rowOff>
    </xdr:to>
    <xdr:pic>
      <xdr:nvPicPr>
        <xdr:cNvPr id="6" name="Picture 5">
          <a:extLst>
            <a:ext uri="{FF2B5EF4-FFF2-40B4-BE49-F238E27FC236}">
              <a16:creationId xmlns:a16="http://schemas.microsoft.com/office/drawing/2014/main" id="{A9473628-4B92-4B5A-9ED7-55E74D8E44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4849" y="723900"/>
          <a:ext cx="390525" cy="34828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5</xdr:col>
      <xdr:colOff>595311</xdr:colOff>
      <xdr:row>7</xdr:row>
      <xdr:rowOff>80961</xdr:rowOff>
    </xdr:from>
    <xdr:to>
      <xdr:col>16</xdr:col>
      <xdr:colOff>276225</xdr:colOff>
      <xdr:row>28</xdr:row>
      <xdr:rowOff>38100</xdr:rowOff>
    </xdr:to>
    <xdr:graphicFrame macro="">
      <xdr:nvGraphicFramePr>
        <xdr:cNvPr id="3" name="Chart 2">
          <a:extLst>
            <a:ext uri="{FF2B5EF4-FFF2-40B4-BE49-F238E27FC236}">
              <a16:creationId xmlns:a16="http://schemas.microsoft.com/office/drawing/2014/main" id="{AD8E5809-71DD-4529-B51F-FCC2C2075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238125</xdr:colOff>
      <xdr:row>9</xdr:row>
      <xdr:rowOff>47625</xdr:rowOff>
    </xdr:from>
    <xdr:to>
      <xdr:col>19</xdr:col>
      <xdr:colOff>457200</xdr:colOff>
      <xdr:row>22</xdr:row>
      <xdr:rowOff>95250</xdr:rowOff>
    </xdr:to>
    <mc:AlternateContent xmlns:mc="http://schemas.openxmlformats.org/markup-compatibility/2006" xmlns:a14="http://schemas.microsoft.com/office/drawing/2010/main">
      <mc:Choice Requires="a14">
        <xdr:graphicFrame macro="">
          <xdr:nvGraphicFramePr>
            <xdr:cNvPr id="4" name="Cliente">
              <a:extLst>
                <a:ext uri="{FF2B5EF4-FFF2-40B4-BE49-F238E27FC236}">
                  <a16:creationId xmlns:a16="http://schemas.microsoft.com/office/drawing/2014/main" id="{672E487D-7E0E-4A53-A937-A396AD9233EA}"/>
                </a:ext>
              </a:extLst>
            </xdr:cNvPr>
            <xdr:cNvGraphicFramePr/>
          </xdr:nvGraphicFramePr>
          <xdr:xfrm>
            <a:off x="0" y="0"/>
            <a:ext cx="0" cy="0"/>
          </xdr:xfrm>
          <a:graphic>
            <a:graphicData uri="http://schemas.microsoft.com/office/drawing/2010/slicer">
              <sle:slicer xmlns:sle="http://schemas.microsoft.com/office/drawing/2010/slicer" name="Cliente"/>
            </a:graphicData>
          </a:graphic>
        </xdr:graphicFrame>
      </mc:Choice>
      <mc:Fallback xmlns="">
        <xdr:sp macro="" textlink="">
          <xdr:nvSpPr>
            <xdr:cNvPr id="0" name=""/>
            <xdr:cNvSpPr>
              <a:spLocks noTextEdit="1"/>
            </xdr:cNvSpPr>
          </xdr:nvSpPr>
          <xdr:spPr>
            <a:xfrm>
              <a:off x="12649200" y="1781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9525</xdr:rowOff>
    </xdr:from>
    <xdr:to>
      <xdr:col>1</xdr:col>
      <xdr:colOff>0</xdr:colOff>
      <xdr:row>3</xdr:row>
      <xdr:rowOff>0</xdr:rowOff>
    </xdr:to>
    <xdr:pic>
      <xdr:nvPicPr>
        <xdr:cNvPr id="5" name="Picture 4">
          <a:extLst>
            <a:ext uri="{FF2B5EF4-FFF2-40B4-BE49-F238E27FC236}">
              <a16:creationId xmlns:a16="http://schemas.microsoft.com/office/drawing/2014/main" id="{38AEFE30-7963-46CB-969D-818E9636B7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1</xdr:col>
      <xdr:colOff>0</xdr:colOff>
      <xdr:row>3</xdr:row>
      <xdr:rowOff>9525</xdr:rowOff>
    </xdr:to>
    <xdr:pic>
      <xdr:nvPicPr>
        <xdr:cNvPr id="6" name="Picture 5">
          <a:hlinkClick xmlns:r="http://schemas.openxmlformats.org/officeDocument/2006/relationships" r:id="rId3"/>
          <a:extLst>
            <a:ext uri="{FF2B5EF4-FFF2-40B4-BE49-F238E27FC236}">
              <a16:creationId xmlns:a16="http://schemas.microsoft.com/office/drawing/2014/main" id="{820CD530-B9D3-4F12-80FA-AF3C3F783E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81025"/>
        </a:xfrm>
        <a:prstGeom prst="rect">
          <a:avLst/>
        </a:prstGeom>
      </xdr:spPr>
    </xdr:pic>
    <xdr:clientData/>
  </xdr:twoCellAnchor>
  <xdr:twoCellAnchor editAs="oneCell">
    <xdr:from>
      <xdr:col>0</xdr:col>
      <xdr:colOff>47625</xdr:colOff>
      <xdr:row>3</xdr:row>
      <xdr:rowOff>57150</xdr:rowOff>
    </xdr:from>
    <xdr:to>
      <xdr:col>0</xdr:col>
      <xdr:colOff>552790</xdr:colOff>
      <xdr:row>5</xdr:row>
      <xdr:rowOff>190500</xdr:rowOff>
    </xdr:to>
    <xdr:pic>
      <xdr:nvPicPr>
        <xdr:cNvPr id="7" name="Picture 6">
          <a:hlinkClick xmlns:r="http://schemas.openxmlformats.org/officeDocument/2006/relationships" r:id="rId4"/>
          <a:extLst>
            <a:ext uri="{FF2B5EF4-FFF2-40B4-BE49-F238E27FC236}">
              <a16:creationId xmlns:a16="http://schemas.microsoft.com/office/drawing/2014/main" id="{F3A055B4-24B5-4691-A7ED-06366CA7161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7625" y="638175"/>
          <a:ext cx="505165" cy="514350"/>
        </a:xfrm>
        <a:prstGeom prst="rect">
          <a:avLst/>
        </a:prstGeom>
      </xdr:spPr>
    </xdr:pic>
    <xdr:clientData/>
  </xdr:twoCellAnchor>
  <xdr:twoCellAnchor editAs="oneCell">
    <xdr:from>
      <xdr:col>1</xdr:col>
      <xdr:colOff>85725</xdr:colOff>
      <xdr:row>3</xdr:row>
      <xdr:rowOff>95250</xdr:rowOff>
    </xdr:from>
    <xdr:to>
      <xdr:col>1</xdr:col>
      <xdr:colOff>523875</xdr:colOff>
      <xdr:row>5</xdr:row>
      <xdr:rowOff>105008</xdr:rowOff>
    </xdr:to>
    <xdr:pic>
      <xdr:nvPicPr>
        <xdr:cNvPr id="8" name="Picture 7">
          <a:extLst>
            <a:ext uri="{FF2B5EF4-FFF2-40B4-BE49-F238E27FC236}">
              <a16:creationId xmlns:a16="http://schemas.microsoft.com/office/drawing/2014/main" id="{B2759D02-0BD2-4FD7-AB54-BD8331A8FC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85800" y="676275"/>
          <a:ext cx="438150" cy="390758"/>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7</xdr:col>
      <xdr:colOff>80962</xdr:colOff>
      <xdr:row>6</xdr:row>
      <xdr:rowOff>57150</xdr:rowOff>
    </xdr:from>
    <xdr:to>
      <xdr:col>15</xdr:col>
      <xdr:colOff>438150</xdr:colOff>
      <xdr:row>27</xdr:row>
      <xdr:rowOff>142874</xdr:rowOff>
    </xdr:to>
    <xdr:graphicFrame macro="">
      <xdr:nvGraphicFramePr>
        <xdr:cNvPr id="2" name="Chart 1">
          <a:extLst>
            <a:ext uri="{FF2B5EF4-FFF2-40B4-BE49-F238E27FC236}">
              <a16:creationId xmlns:a16="http://schemas.microsoft.com/office/drawing/2014/main" id="{D6F4F334-0D97-4B52-A136-C4D8E6C7D6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9525</xdr:rowOff>
    </xdr:from>
    <xdr:to>
      <xdr:col>1</xdr:col>
      <xdr:colOff>0</xdr:colOff>
      <xdr:row>3</xdr:row>
      <xdr:rowOff>0</xdr:rowOff>
    </xdr:to>
    <xdr:pic>
      <xdr:nvPicPr>
        <xdr:cNvPr id="3" name="Picture 2">
          <a:extLst>
            <a:ext uri="{FF2B5EF4-FFF2-40B4-BE49-F238E27FC236}">
              <a16:creationId xmlns:a16="http://schemas.microsoft.com/office/drawing/2014/main" id="{ACE771F6-A723-43B7-B07E-FCBA1FE973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1</xdr:col>
      <xdr:colOff>0</xdr:colOff>
      <xdr:row>3</xdr:row>
      <xdr:rowOff>9525</xdr:rowOff>
    </xdr:to>
    <xdr:pic>
      <xdr:nvPicPr>
        <xdr:cNvPr id="4" name="Picture 3">
          <a:hlinkClick xmlns:r="http://schemas.openxmlformats.org/officeDocument/2006/relationships" r:id="rId3"/>
          <a:extLst>
            <a:ext uri="{FF2B5EF4-FFF2-40B4-BE49-F238E27FC236}">
              <a16:creationId xmlns:a16="http://schemas.microsoft.com/office/drawing/2014/main" id="{9812B395-BDEE-43D8-B04A-B11CE31629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81025"/>
        </a:xfrm>
        <a:prstGeom prst="rect">
          <a:avLst/>
        </a:prstGeom>
      </xdr:spPr>
    </xdr:pic>
    <xdr:clientData/>
  </xdr:twoCellAnchor>
  <xdr:twoCellAnchor editAs="oneCell">
    <xdr:from>
      <xdr:col>0</xdr:col>
      <xdr:colOff>47625</xdr:colOff>
      <xdr:row>3</xdr:row>
      <xdr:rowOff>47625</xdr:rowOff>
    </xdr:from>
    <xdr:to>
      <xdr:col>0</xdr:col>
      <xdr:colOff>552790</xdr:colOff>
      <xdr:row>5</xdr:row>
      <xdr:rowOff>180975</xdr:rowOff>
    </xdr:to>
    <xdr:pic>
      <xdr:nvPicPr>
        <xdr:cNvPr id="5" name="Picture 4">
          <a:hlinkClick xmlns:r="http://schemas.openxmlformats.org/officeDocument/2006/relationships" r:id="rId4"/>
          <a:extLst>
            <a:ext uri="{FF2B5EF4-FFF2-40B4-BE49-F238E27FC236}">
              <a16:creationId xmlns:a16="http://schemas.microsoft.com/office/drawing/2014/main" id="{2E7048F6-9941-40A5-B6DF-3E8B50557D1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7625" y="628650"/>
          <a:ext cx="505165" cy="514350"/>
        </a:xfrm>
        <a:prstGeom prst="rect">
          <a:avLst/>
        </a:prstGeom>
      </xdr:spPr>
    </xdr:pic>
    <xdr:clientData/>
  </xdr:twoCellAnchor>
  <xdr:twoCellAnchor editAs="oneCell">
    <xdr:from>
      <xdr:col>1</xdr:col>
      <xdr:colOff>85724</xdr:colOff>
      <xdr:row>3</xdr:row>
      <xdr:rowOff>95249</xdr:rowOff>
    </xdr:from>
    <xdr:to>
      <xdr:col>1</xdr:col>
      <xdr:colOff>533399</xdr:colOff>
      <xdr:row>5</xdr:row>
      <xdr:rowOff>113502</xdr:rowOff>
    </xdr:to>
    <xdr:pic>
      <xdr:nvPicPr>
        <xdr:cNvPr id="6" name="Picture 5">
          <a:extLst>
            <a:ext uri="{FF2B5EF4-FFF2-40B4-BE49-F238E27FC236}">
              <a16:creationId xmlns:a16="http://schemas.microsoft.com/office/drawing/2014/main" id="{B0B0E5BD-DA7F-493F-B0E2-694B63691C2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85799" y="676274"/>
          <a:ext cx="447675" cy="399253"/>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190500</xdr:colOff>
      <xdr:row>1</xdr:row>
      <xdr:rowOff>1</xdr:rowOff>
    </xdr:from>
    <xdr:to>
      <xdr:col>2</xdr:col>
      <xdr:colOff>419099</xdr:colOff>
      <xdr:row>8</xdr:row>
      <xdr:rowOff>152400</xdr:rowOff>
    </xdr:to>
    <xdr:sp macro="" textlink="">
      <xdr:nvSpPr>
        <xdr:cNvPr id="2" name="Flowchart: Connector 1">
          <a:extLst>
            <a:ext uri="{FF2B5EF4-FFF2-40B4-BE49-F238E27FC236}">
              <a16:creationId xmlns:a16="http://schemas.microsoft.com/office/drawing/2014/main" id="{10464FAE-E6F4-42DB-B302-7F5CAEB332DB}"/>
            </a:ext>
          </a:extLst>
        </xdr:cNvPr>
        <xdr:cNvSpPr/>
      </xdr:nvSpPr>
      <xdr:spPr>
        <a:xfrm>
          <a:off x="190500" y="190501"/>
          <a:ext cx="1447799" cy="1495424"/>
        </a:xfrm>
        <a:prstGeom prst="flowChartConnector">
          <a:avLst/>
        </a:prstGeom>
        <a:solidFill>
          <a:schemeClr val="tx1">
            <a:lumMod val="50000"/>
            <a:lumOff val="50000"/>
          </a:schemeClr>
        </a:solid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85725</xdr:colOff>
      <xdr:row>0</xdr:row>
      <xdr:rowOff>28575</xdr:rowOff>
    </xdr:from>
    <xdr:to>
      <xdr:col>2</xdr:col>
      <xdr:colOff>520256</xdr:colOff>
      <xdr:row>9</xdr:row>
      <xdr:rowOff>161925</xdr:rowOff>
    </xdr:to>
    <xdr:pic>
      <xdr:nvPicPr>
        <xdr:cNvPr id="5" name="Picture 4">
          <a:hlinkClick xmlns:r="http://schemas.openxmlformats.org/officeDocument/2006/relationships" r:id="rId1"/>
          <a:extLst>
            <a:ext uri="{FF2B5EF4-FFF2-40B4-BE49-F238E27FC236}">
              <a16:creationId xmlns:a16="http://schemas.microsoft.com/office/drawing/2014/main" id="{9EBB78EB-EBA0-4131-AAB8-9364BC06B1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5725" y="28575"/>
          <a:ext cx="1653731" cy="1857375"/>
        </a:xfrm>
        <a:prstGeom prst="rect">
          <a:avLst/>
        </a:prstGeom>
      </xdr:spPr>
    </xdr:pic>
    <xdr:clientData/>
  </xdr:twoCellAnchor>
  <xdr:twoCellAnchor>
    <xdr:from>
      <xdr:col>4</xdr:col>
      <xdr:colOff>276225</xdr:colOff>
      <xdr:row>2</xdr:row>
      <xdr:rowOff>57151</xdr:rowOff>
    </xdr:from>
    <xdr:to>
      <xdr:col>6</xdr:col>
      <xdr:colOff>323850</xdr:colOff>
      <xdr:row>8</xdr:row>
      <xdr:rowOff>180975</xdr:rowOff>
    </xdr:to>
    <xdr:sp macro="" textlink="">
      <xdr:nvSpPr>
        <xdr:cNvPr id="6" name="Flowchart: Connector 5">
          <a:extLst>
            <a:ext uri="{FF2B5EF4-FFF2-40B4-BE49-F238E27FC236}">
              <a16:creationId xmlns:a16="http://schemas.microsoft.com/office/drawing/2014/main" id="{545AA4FB-0C90-46E2-81E4-14B49A9454C0}"/>
            </a:ext>
          </a:extLst>
        </xdr:cNvPr>
        <xdr:cNvSpPr/>
      </xdr:nvSpPr>
      <xdr:spPr>
        <a:xfrm>
          <a:off x="2714625" y="438151"/>
          <a:ext cx="1266825" cy="1276349"/>
        </a:xfrm>
        <a:prstGeom prst="flowChartConnector">
          <a:avLst/>
        </a:prstGeom>
        <a:solidFill>
          <a:srgbClr val="FFFBEF"/>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xdr:colOff>
      <xdr:row>11</xdr:row>
      <xdr:rowOff>0</xdr:rowOff>
    </xdr:from>
    <xdr:to>
      <xdr:col>6</xdr:col>
      <xdr:colOff>19049</xdr:colOff>
      <xdr:row>13</xdr:row>
      <xdr:rowOff>171449</xdr:rowOff>
    </xdr:to>
    <xdr:sp macro="" textlink="">
      <xdr:nvSpPr>
        <xdr:cNvPr id="9" name="Flowchart: Connector 8">
          <a:extLst>
            <a:ext uri="{FF2B5EF4-FFF2-40B4-BE49-F238E27FC236}">
              <a16:creationId xmlns:a16="http://schemas.microsoft.com/office/drawing/2014/main" id="{699D836E-E3DE-4F61-B44B-B8AFF3DCE52E}"/>
            </a:ext>
          </a:extLst>
        </xdr:cNvPr>
        <xdr:cNvSpPr/>
      </xdr:nvSpPr>
      <xdr:spPr>
        <a:xfrm>
          <a:off x="3124200" y="2105025"/>
          <a:ext cx="552449" cy="561974"/>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209551</xdr:colOff>
      <xdr:row>11</xdr:row>
      <xdr:rowOff>123826</xdr:rowOff>
    </xdr:from>
    <xdr:to>
      <xdr:col>5</xdr:col>
      <xdr:colOff>552451</xdr:colOff>
      <xdr:row>13</xdr:row>
      <xdr:rowOff>76201</xdr:rowOff>
    </xdr:to>
    <xdr:pic>
      <xdr:nvPicPr>
        <xdr:cNvPr id="13" name="Picture 12">
          <a:hlinkClick xmlns:r="http://schemas.openxmlformats.org/officeDocument/2006/relationships" r:id="rId3"/>
          <a:extLst>
            <a:ext uri="{FF2B5EF4-FFF2-40B4-BE49-F238E27FC236}">
              <a16:creationId xmlns:a16="http://schemas.microsoft.com/office/drawing/2014/main" id="{99FA739D-241A-4A55-AF32-0FDA0D81184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257551" y="2228851"/>
          <a:ext cx="342900" cy="342900"/>
        </a:xfrm>
        <a:prstGeom prst="rect">
          <a:avLst/>
        </a:prstGeom>
      </xdr:spPr>
    </xdr:pic>
    <xdr:clientData/>
  </xdr:twoCellAnchor>
  <xdr:twoCellAnchor>
    <xdr:from>
      <xdr:col>8</xdr:col>
      <xdr:colOff>57150</xdr:colOff>
      <xdr:row>11</xdr:row>
      <xdr:rowOff>9525</xdr:rowOff>
    </xdr:from>
    <xdr:to>
      <xdr:col>8</xdr:col>
      <xdr:colOff>609599</xdr:colOff>
      <xdr:row>13</xdr:row>
      <xdr:rowOff>190499</xdr:rowOff>
    </xdr:to>
    <xdr:sp macro="" textlink="">
      <xdr:nvSpPr>
        <xdr:cNvPr id="19" name="Flowchart: Connector 18">
          <a:extLst>
            <a:ext uri="{FF2B5EF4-FFF2-40B4-BE49-F238E27FC236}">
              <a16:creationId xmlns:a16="http://schemas.microsoft.com/office/drawing/2014/main" id="{3F226355-6CB7-4BDF-B475-D5B0F4631D9F}"/>
            </a:ext>
          </a:extLst>
        </xdr:cNvPr>
        <xdr:cNvSpPr/>
      </xdr:nvSpPr>
      <xdr:spPr>
        <a:xfrm>
          <a:off x="5829300" y="211455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180975</xdr:colOff>
      <xdr:row>11</xdr:row>
      <xdr:rowOff>171450</xdr:rowOff>
    </xdr:from>
    <xdr:to>
      <xdr:col>8</xdr:col>
      <xdr:colOff>476250</xdr:colOff>
      <xdr:row>13</xdr:row>
      <xdr:rowOff>44262</xdr:rowOff>
    </xdr:to>
    <xdr:pic>
      <xdr:nvPicPr>
        <xdr:cNvPr id="21" name="Picture 20">
          <a:hlinkClick xmlns:r="http://schemas.openxmlformats.org/officeDocument/2006/relationships" r:id="rId5"/>
          <a:extLst>
            <a:ext uri="{FF2B5EF4-FFF2-40B4-BE49-F238E27FC236}">
              <a16:creationId xmlns:a16="http://schemas.microsoft.com/office/drawing/2014/main" id="{89F20BDB-42C2-4998-A8B4-A09C01BB9E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53125" y="2276475"/>
          <a:ext cx="295275" cy="263337"/>
        </a:xfrm>
        <a:prstGeom prst="rect">
          <a:avLst/>
        </a:prstGeom>
      </xdr:spPr>
    </xdr:pic>
    <xdr:clientData/>
  </xdr:twoCellAnchor>
  <xdr:twoCellAnchor>
    <xdr:from>
      <xdr:col>6</xdr:col>
      <xdr:colOff>314325</xdr:colOff>
      <xdr:row>4</xdr:row>
      <xdr:rowOff>133350</xdr:rowOff>
    </xdr:from>
    <xdr:to>
      <xdr:col>8</xdr:col>
      <xdr:colOff>438150</xdr:colOff>
      <xdr:row>6</xdr:row>
      <xdr:rowOff>76200</xdr:rowOff>
    </xdr:to>
    <xdr:sp macro="" textlink="">
      <xdr:nvSpPr>
        <xdr:cNvPr id="22" name="TextBox 21">
          <a:extLst>
            <a:ext uri="{FF2B5EF4-FFF2-40B4-BE49-F238E27FC236}">
              <a16:creationId xmlns:a16="http://schemas.microsoft.com/office/drawing/2014/main" id="{1E2AE203-3099-453D-AF92-97A95EF55BC7}"/>
            </a:ext>
          </a:extLst>
        </xdr:cNvPr>
        <xdr:cNvSpPr txBox="1"/>
      </xdr:nvSpPr>
      <xdr:spPr>
        <a:xfrm>
          <a:off x="3971925" y="895350"/>
          <a:ext cx="2238375" cy="333375"/>
        </a:xfrm>
        <a:prstGeom prst="rect">
          <a:avLst/>
        </a:prstGeom>
        <a:solidFill>
          <a:srgbClr val="FFFBEF"/>
        </a:solidFill>
        <a:ln w="2857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t>Central de Projetos</a:t>
          </a:r>
        </a:p>
      </xdr:txBody>
    </xdr:sp>
    <xdr:clientData/>
  </xdr:twoCellAnchor>
  <xdr:twoCellAnchor editAs="oneCell">
    <xdr:from>
      <xdr:col>4</xdr:col>
      <xdr:colOff>600076</xdr:colOff>
      <xdr:row>3</xdr:row>
      <xdr:rowOff>123826</xdr:rowOff>
    </xdr:from>
    <xdr:to>
      <xdr:col>6</xdr:col>
      <xdr:colOff>200025</xdr:colOff>
      <xdr:row>7</xdr:row>
      <xdr:rowOff>171450</xdr:rowOff>
    </xdr:to>
    <xdr:pic>
      <xdr:nvPicPr>
        <xdr:cNvPr id="23" name="Picture 22">
          <a:extLst>
            <a:ext uri="{FF2B5EF4-FFF2-40B4-BE49-F238E27FC236}">
              <a16:creationId xmlns:a16="http://schemas.microsoft.com/office/drawing/2014/main" id="{A9924910-1F7E-478C-B769-612FF679076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038476" y="695326"/>
          <a:ext cx="819149" cy="819149"/>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0</xdr:colOff>
      <xdr:row>3</xdr:row>
      <xdr:rowOff>19050</xdr:rowOff>
    </xdr:to>
    <xdr:pic>
      <xdr:nvPicPr>
        <xdr:cNvPr id="2" name="Picture 1">
          <a:extLst>
            <a:ext uri="{FF2B5EF4-FFF2-40B4-BE49-F238E27FC236}">
              <a16:creationId xmlns:a16="http://schemas.microsoft.com/office/drawing/2014/main" id="{DFF3508A-20F9-4F76-B3DC-C9833AA96F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81025"/>
        </a:xfrm>
        <a:prstGeom prst="rect">
          <a:avLst/>
        </a:prstGeom>
      </xdr:spPr>
    </xdr:pic>
    <xdr:clientData/>
  </xdr:twoCellAnchor>
  <xdr:twoCellAnchor editAs="oneCell">
    <xdr:from>
      <xdr:col>0</xdr:col>
      <xdr:colOff>0</xdr:colOff>
      <xdr:row>0</xdr:row>
      <xdr:rowOff>9525</xdr:rowOff>
    </xdr:from>
    <xdr:to>
      <xdr:col>1</xdr:col>
      <xdr:colOff>0</xdr:colOff>
      <xdr:row>3</xdr:row>
      <xdr:rowOff>9525</xdr:rowOff>
    </xdr:to>
    <xdr:pic>
      <xdr:nvPicPr>
        <xdr:cNvPr id="3" name="Picture 2">
          <a:hlinkClick xmlns:r="http://schemas.openxmlformats.org/officeDocument/2006/relationships" r:id="rId2"/>
          <a:extLst>
            <a:ext uri="{FF2B5EF4-FFF2-40B4-BE49-F238E27FC236}">
              <a16:creationId xmlns:a16="http://schemas.microsoft.com/office/drawing/2014/main" id="{7F4C6D97-629E-4A3F-9543-33AC71BF35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81025"/>
        </a:xfrm>
        <a:prstGeom prst="rect">
          <a:avLst/>
        </a:prstGeom>
      </xdr:spPr>
    </xdr:pic>
    <xdr:clientData/>
  </xdr:twoCellAnchor>
  <xdr:twoCellAnchor editAs="oneCell">
    <xdr:from>
      <xdr:col>0</xdr:col>
      <xdr:colOff>95251</xdr:colOff>
      <xdr:row>3</xdr:row>
      <xdr:rowOff>66676</xdr:rowOff>
    </xdr:from>
    <xdr:to>
      <xdr:col>0</xdr:col>
      <xdr:colOff>552451</xdr:colOff>
      <xdr:row>5</xdr:row>
      <xdr:rowOff>142876</xdr:rowOff>
    </xdr:to>
    <xdr:pic>
      <xdr:nvPicPr>
        <xdr:cNvPr id="4" name="Picture 3">
          <a:hlinkClick xmlns:r="http://schemas.openxmlformats.org/officeDocument/2006/relationships" r:id="rId3"/>
          <a:extLst>
            <a:ext uri="{FF2B5EF4-FFF2-40B4-BE49-F238E27FC236}">
              <a16:creationId xmlns:a16="http://schemas.microsoft.com/office/drawing/2014/main" id="{3569B354-DF60-4776-9F18-564D0B22E20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251" y="647701"/>
          <a:ext cx="457200" cy="457200"/>
        </a:xfrm>
        <a:prstGeom prst="rect">
          <a:avLst/>
        </a:prstGeom>
      </xdr:spPr>
    </xdr:pic>
    <xdr:clientData/>
  </xdr:twoCellAnchor>
  <xdr:twoCellAnchor editAs="oneCell">
    <xdr:from>
      <xdr:col>1</xdr:col>
      <xdr:colOff>152401</xdr:colOff>
      <xdr:row>3</xdr:row>
      <xdr:rowOff>123826</xdr:rowOff>
    </xdr:from>
    <xdr:to>
      <xdr:col>1</xdr:col>
      <xdr:colOff>533401</xdr:colOff>
      <xdr:row>5</xdr:row>
      <xdr:rowOff>123826</xdr:rowOff>
    </xdr:to>
    <xdr:pic>
      <xdr:nvPicPr>
        <xdr:cNvPr id="5" name="Picture 4">
          <a:extLst>
            <a:ext uri="{FF2B5EF4-FFF2-40B4-BE49-F238E27FC236}">
              <a16:creationId xmlns:a16="http://schemas.microsoft.com/office/drawing/2014/main" id="{9EDD2DD8-C196-4147-A016-7B683444A07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52476" y="704851"/>
          <a:ext cx="381000" cy="3810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0</xdr:colOff>
      <xdr:row>3</xdr:row>
      <xdr:rowOff>19050</xdr:rowOff>
    </xdr:to>
    <xdr:pic>
      <xdr:nvPicPr>
        <xdr:cNvPr id="2" name="Picture 1">
          <a:extLst>
            <a:ext uri="{FF2B5EF4-FFF2-40B4-BE49-F238E27FC236}">
              <a16:creationId xmlns:a16="http://schemas.microsoft.com/office/drawing/2014/main" id="{CF839902-7B9E-400E-9FB6-9E1518E0A7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90550"/>
        </a:xfrm>
        <a:prstGeom prst="rect">
          <a:avLst/>
        </a:prstGeom>
      </xdr:spPr>
    </xdr:pic>
    <xdr:clientData/>
  </xdr:twoCellAnchor>
  <xdr:twoCellAnchor editAs="oneCell">
    <xdr:from>
      <xdr:col>0</xdr:col>
      <xdr:colOff>0</xdr:colOff>
      <xdr:row>0</xdr:row>
      <xdr:rowOff>9525</xdr:rowOff>
    </xdr:from>
    <xdr:to>
      <xdr:col>1</xdr:col>
      <xdr:colOff>0</xdr:colOff>
      <xdr:row>3</xdr:row>
      <xdr:rowOff>9525</xdr:rowOff>
    </xdr:to>
    <xdr:pic>
      <xdr:nvPicPr>
        <xdr:cNvPr id="3" name="Picture 2">
          <a:hlinkClick xmlns:r="http://schemas.openxmlformats.org/officeDocument/2006/relationships" r:id="rId2"/>
          <a:extLst>
            <a:ext uri="{FF2B5EF4-FFF2-40B4-BE49-F238E27FC236}">
              <a16:creationId xmlns:a16="http://schemas.microsoft.com/office/drawing/2014/main" id="{AA25D1FE-9126-4C46-80D3-45E7046CC7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81025"/>
        </a:xfrm>
        <a:prstGeom prst="rect">
          <a:avLst/>
        </a:prstGeom>
      </xdr:spPr>
    </xdr:pic>
    <xdr:clientData/>
  </xdr:twoCellAnchor>
  <xdr:twoCellAnchor editAs="oneCell">
    <xdr:from>
      <xdr:col>0</xdr:col>
      <xdr:colOff>76201</xdr:colOff>
      <xdr:row>3</xdr:row>
      <xdr:rowOff>95251</xdr:rowOff>
    </xdr:from>
    <xdr:to>
      <xdr:col>0</xdr:col>
      <xdr:colOff>533401</xdr:colOff>
      <xdr:row>5</xdr:row>
      <xdr:rowOff>171451</xdr:rowOff>
    </xdr:to>
    <xdr:pic>
      <xdr:nvPicPr>
        <xdr:cNvPr id="4" name="Picture 3">
          <a:hlinkClick xmlns:r="http://schemas.openxmlformats.org/officeDocument/2006/relationships" r:id="rId3"/>
          <a:extLst>
            <a:ext uri="{FF2B5EF4-FFF2-40B4-BE49-F238E27FC236}">
              <a16:creationId xmlns:a16="http://schemas.microsoft.com/office/drawing/2014/main" id="{E8840EB9-ABB2-4397-8C7F-4338A9397A3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6201" y="676276"/>
          <a:ext cx="457200" cy="457200"/>
        </a:xfrm>
        <a:prstGeom prst="rect">
          <a:avLst/>
        </a:prstGeom>
      </xdr:spPr>
    </xdr:pic>
    <xdr:clientData/>
  </xdr:twoCellAnchor>
  <xdr:twoCellAnchor editAs="oneCell">
    <xdr:from>
      <xdr:col>1</xdr:col>
      <xdr:colOff>123825</xdr:colOff>
      <xdr:row>3</xdr:row>
      <xdr:rowOff>152400</xdr:rowOff>
    </xdr:from>
    <xdr:to>
      <xdr:col>1</xdr:col>
      <xdr:colOff>485775</xdr:colOff>
      <xdr:row>5</xdr:row>
      <xdr:rowOff>94200</xdr:rowOff>
    </xdr:to>
    <xdr:pic>
      <xdr:nvPicPr>
        <xdr:cNvPr id="6" name="Picture 5">
          <a:extLst>
            <a:ext uri="{FF2B5EF4-FFF2-40B4-BE49-F238E27FC236}">
              <a16:creationId xmlns:a16="http://schemas.microsoft.com/office/drawing/2014/main" id="{28DFE398-902C-4D79-A665-28B53B92C8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23900" y="733425"/>
          <a:ext cx="361950" cy="3228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190500</xdr:colOff>
      <xdr:row>1</xdr:row>
      <xdr:rowOff>1</xdr:rowOff>
    </xdr:from>
    <xdr:to>
      <xdr:col>2</xdr:col>
      <xdr:colOff>419099</xdr:colOff>
      <xdr:row>8</xdr:row>
      <xdr:rowOff>152400</xdr:rowOff>
    </xdr:to>
    <xdr:sp macro="" textlink="">
      <xdr:nvSpPr>
        <xdr:cNvPr id="2" name="Flowchart: Connector 1">
          <a:extLst>
            <a:ext uri="{FF2B5EF4-FFF2-40B4-BE49-F238E27FC236}">
              <a16:creationId xmlns:a16="http://schemas.microsoft.com/office/drawing/2014/main" id="{3C882B6A-762F-4585-812C-D00F27A0E532}"/>
            </a:ext>
          </a:extLst>
        </xdr:cNvPr>
        <xdr:cNvSpPr/>
      </xdr:nvSpPr>
      <xdr:spPr>
        <a:xfrm>
          <a:off x="190500" y="190501"/>
          <a:ext cx="1447799" cy="1495424"/>
        </a:xfrm>
        <a:prstGeom prst="flowChartConnector">
          <a:avLst/>
        </a:prstGeom>
        <a:solidFill>
          <a:schemeClr val="tx1">
            <a:lumMod val="50000"/>
            <a:lumOff val="50000"/>
          </a:schemeClr>
        </a:solid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200025</xdr:colOff>
      <xdr:row>19</xdr:row>
      <xdr:rowOff>142875</xdr:rowOff>
    </xdr:from>
    <xdr:to>
      <xdr:col>8</xdr:col>
      <xdr:colOff>495300</xdr:colOff>
      <xdr:row>21</xdr:row>
      <xdr:rowOff>15687</xdr:rowOff>
    </xdr:to>
    <xdr:pic>
      <xdr:nvPicPr>
        <xdr:cNvPr id="3" name="Picture 2">
          <a:hlinkClick xmlns:r="http://schemas.openxmlformats.org/officeDocument/2006/relationships" r:id="rId1"/>
          <a:extLst>
            <a:ext uri="{FF2B5EF4-FFF2-40B4-BE49-F238E27FC236}">
              <a16:creationId xmlns:a16="http://schemas.microsoft.com/office/drawing/2014/main" id="{22153AE3-FE18-4305-B6CD-EB75ECE783A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72175" y="3790950"/>
          <a:ext cx="295275" cy="263337"/>
        </a:xfrm>
        <a:prstGeom prst="rect">
          <a:avLst/>
        </a:prstGeom>
      </xdr:spPr>
    </xdr:pic>
    <xdr:clientData/>
  </xdr:twoCellAnchor>
  <xdr:twoCellAnchor editAs="oneCell">
    <xdr:from>
      <xdr:col>0</xdr:col>
      <xdr:colOff>85725</xdr:colOff>
      <xdr:row>0</xdr:row>
      <xdr:rowOff>28575</xdr:rowOff>
    </xdr:from>
    <xdr:to>
      <xdr:col>2</xdr:col>
      <xdr:colOff>520256</xdr:colOff>
      <xdr:row>9</xdr:row>
      <xdr:rowOff>161925</xdr:rowOff>
    </xdr:to>
    <xdr:pic>
      <xdr:nvPicPr>
        <xdr:cNvPr id="5" name="Picture 4">
          <a:hlinkClick xmlns:r="http://schemas.openxmlformats.org/officeDocument/2006/relationships" r:id="rId3"/>
          <a:extLst>
            <a:ext uri="{FF2B5EF4-FFF2-40B4-BE49-F238E27FC236}">
              <a16:creationId xmlns:a16="http://schemas.microsoft.com/office/drawing/2014/main" id="{FAF73F23-1C08-4CC4-A9D6-E0B90841A57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5725" y="28575"/>
          <a:ext cx="1653731" cy="1857375"/>
        </a:xfrm>
        <a:prstGeom prst="rect">
          <a:avLst/>
        </a:prstGeom>
      </xdr:spPr>
    </xdr:pic>
    <xdr:clientData/>
  </xdr:twoCellAnchor>
  <xdr:twoCellAnchor>
    <xdr:from>
      <xdr:col>4</xdr:col>
      <xdr:colOff>276225</xdr:colOff>
      <xdr:row>2</xdr:row>
      <xdr:rowOff>57151</xdr:rowOff>
    </xdr:from>
    <xdr:to>
      <xdr:col>6</xdr:col>
      <xdr:colOff>323850</xdr:colOff>
      <xdr:row>8</xdr:row>
      <xdr:rowOff>180975</xdr:rowOff>
    </xdr:to>
    <xdr:sp macro="" textlink="">
      <xdr:nvSpPr>
        <xdr:cNvPr id="6" name="Flowchart: Connector 5">
          <a:extLst>
            <a:ext uri="{FF2B5EF4-FFF2-40B4-BE49-F238E27FC236}">
              <a16:creationId xmlns:a16="http://schemas.microsoft.com/office/drawing/2014/main" id="{C6482E86-0E8A-4C03-BF0E-5B4794C53E3B}"/>
            </a:ext>
          </a:extLst>
        </xdr:cNvPr>
        <xdr:cNvSpPr/>
      </xdr:nvSpPr>
      <xdr:spPr>
        <a:xfrm>
          <a:off x="2714625" y="438151"/>
          <a:ext cx="1266825" cy="1276349"/>
        </a:xfrm>
        <a:prstGeom prst="flowChartConnector">
          <a:avLst/>
        </a:prstGeom>
        <a:solidFill>
          <a:srgbClr val="FFFBEF"/>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xdr:colOff>
      <xdr:row>18</xdr:row>
      <xdr:rowOff>180975</xdr:rowOff>
    </xdr:from>
    <xdr:to>
      <xdr:col>6</xdr:col>
      <xdr:colOff>19049</xdr:colOff>
      <xdr:row>21</xdr:row>
      <xdr:rowOff>171449</xdr:rowOff>
    </xdr:to>
    <xdr:sp macro="" textlink="">
      <xdr:nvSpPr>
        <xdr:cNvPr id="7" name="Flowchart: Connector 6">
          <a:extLst>
            <a:ext uri="{FF2B5EF4-FFF2-40B4-BE49-F238E27FC236}">
              <a16:creationId xmlns:a16="http://schemas.microsoft.com/office/drawing/2014/main" id="{78EE7C99-3AD1-4CC4-A5C2-96973E2D7EE6}"/>
            </a:ext>
          </a:extLst>
        </xdr:cNvPr>
        <xdr:cNvSpPr/>
      </xdr:nvSpPr>
      <xdr:spPr>
        <a:xfrm>
          <a:off x="3124200" y="363855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66675</xdr:colOff>
      <xdr:row>15</xdr:row>
      <xdr:rowOff>19050</xdr:rowOff>
    </xdr:from>
    <xdr:to>
      <xdr:col>6</xdr:col>
      <xdr:colOff>9524</xdr:colOff>
      <xdr:row>18</xdr:row>
      <xdr:rowOff>9524</xdr:rowOff>
    </xdr:to>
    <xdr:sp macro="" textlink="">
      <xdr:nvSpPr>
        <xdr:cNvPr id="8" name="Flowchart: Connector 7">
          <a:extLst>
            <a:ext uri="{FF2B5EF4-FFF2-40B4-BE49-F238E27FC236}">
              <a16:creationId xmlns:a16="http://schemas.microsoft.com/office/drawing/2014/main" id="{D4D7D346-E017-4FA8-9D42-9524C7007B43}"/>
            </a:ext>
          </a:extLst>
        </xdr:cNvPr>
        <xdr:cNvSpPr/>
      </xdr:nvSpPr>
      <xdr:spPr>
        <a:xfrm>
          <a:off x="3114675" y="289560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xdr:colOff>
      <xdr:row>11</xdr:row>
      <xdr:rowOff>0</xdr:rowOff>
    </xdr:from>
    <xdr:to>
      <xdr:col>6</xdr:col>
      <xdr:colOff>19049</xdr:colOff>
      <xdr:row>13</xdr:row>
      <xdr:rowOff>171449</xdr:rowOff>
    </xdr:to>
    <xdr:sp macro="" textlink="">
      <xdr:nvSpPr>
        <xdr:cNvPr id="9" name="Flowchart: Connector 8">
          <a:extLst>
            <a:ext uri="{FF2B5EF4-FFF2-40B4-BE49-F238E27FC236}">
              <a16:creationId xmlns:a16="http://schemas.microsoft.com/office/drawing/2014/main" id="{E263713E-C346-444C-AE88-B143F2CDF778}"/>
            </a:ext>
          </a:extLst>
        </xdr:cNvPr>
        <xdr:cNvSpPr/>
      </xdr:nvSpPr>
      <xdr:spPr>
        <a:xfrm>
          <a:off x="3124200" y="2105025"/>
          <a:ext cx="552449" cy="561974"/>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76200</xdr:colOff>
      <xdr:row>18</xdr:row>
      <xdr:rowOff>171450</xdr:rowOff>
    </xdr:from>
    <xdr:to>
      <xdr:col>9</xdr:col>
      <xdr:colOff>19049</xdr:colOff>
      <xdr:row>21</xdr:row>
      <xdr:rowOff>161924</xdr:rowOff>
    </xdr:to>
    <xdr:sp macro="" textlink="">
      <xdr:nvSpPr>
        <xdr:cNvPr id="10" name="Flowchart: Connector 9">
          <a:extLst>
            <a:ext uri="{FF2B5EF4-FFF2-40B4-BE49-F238E27FC236}">
              <a16:creationId xmlns:a16="http://schemas.microsoft.com/office/drawing/2014/main" id="{5D1D32C3-5578-4898-90CA-9280AC8B8A7B}"/>
            </a:ext>
          </a:extLst>
        </xdr:cNvPr>
        <xdr:cNvSpPr/>
      </xdr:nvSpPr>
      <xdr:spPr>
        <a:xfrm>
          <a:off x="5848350" y="3629025"/>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57150</xdr:colOff>
      <xdr:row>23</xdr:row>
      <xdr:rowOff>0</xdr:rowOff>
    </xdr:from>
    <xdr:to>
      <xdr:col>5</xdr:col>
      <xdr:colOff>609599</xdr:colOff>
      <xdr:row>25</xdr:row>
      <xdr:rowOff>180974</xdr:rowOff>
    </xdr:to>
    <xdr:sp macro="" textlink="">
      <xdr:nvSpPr>
        <xdr:cNvPr id="16" name="Flowchart: Connector 15">
          <a:extLst>
            <a:ext uri="{FF2B5EF4-FFF2-40B4-BE49-F238E27FC236}">
              <a16:creationId xmlns:a16="http://schemas.microsoft.com/office/drawing/2014/main" id="{602E7A3B-F2DE-45D8-9514-98CEEF78142C}"/>
            </a:ext>
          </a:extLst>
        </xdr:cNvPr>
        <xdr:cNvSpPr/>
      </xdr:nvSpPr>
      <xdr:spPr>
        <a:xfrm>
          <a:off x="3105150" y="441960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66675</xdr:colOff>
      <xdr:row>15</xdr:row>
      <xdr:rowOff>19050</xdr:rowOff>
    </xdr:from>
    <xdr:to>
      <xdr:col>9</xdr:col>
      <xdr:colOff>9524</xdr:colOff>
      <xdr:row>18</xdr:row>
      <xdr:rowOff>9524</xdr:rowOff>
    </xdr:to>
    <xdr:sp macro="" textlink="">
      <xdr:nvSpPr>
        <xdr:cNvPr id="18" name="Flowchart: Connector 17">
          <a:extLst>
            <a:ext uri="{FF2B5EF4-FFF2-40B4-BE49-F238E27FC236}">
              <a16:creationId xmlns:a16="http://schemas.microsoft.com/office/drawing/2014/main" id="{7DFC3121-0664-4FE9-818A-2A2C41FF6381}"/>
            </a:ext>
          </a:extLst>
        </xdr:cNvPr>
        <xdr:cNvSpPr/>
      </xdr:nvSpPr>
      <xdr:spPr>
        <a:xfrm>
          <a:off x="5838825" y="289560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57150</xdr:colOff>
      <xdr:row>11</xdr:row>
      <xdr:rowOff>9525</xdr:rowOff>
    </xdr:from>
    <xdr:to>
      <xdr:col>8</xdr:col>
      <xdr:colOff>609599</xdr:colOff>
      <xdr:row>13</xdr:row>
      <xdr:rowOff>190499</xdr:rowOff>
    </xdr:to>
    <xdr:sp macro="" textlink="">
      <xdr:nvSpPr>
        <xdr:cNvPr id="19" name="Flowchart: Connector 18">
          <a:extLst>
            <a:ext uri="{FF2B5EF4-FFF2-40B4-BE49-F238E27FC236}">
              <a16:creationId xmlns:a16="http://schemas.microsoft.com/office/drawing/2014/main" id="{EC24A213-5586-4119-9D98-F0B6E118A39B}"/>
            </a:ext>
          </a:extLst>
        </xdr:cNvPr>
        <xdr:cNvSpPr/>
      </xdr:nvSpPr>
      <xdr:spPr>
        <a:xfrm>
          <a:off x="5829300" y="2114550"/>
          <a:ext cx="552449" cy="571499"/>
        </a:xfrm>
        <a:prstGeom prst="flowChartConnector">
          <a:avLst/>
        </a:prstGeom>
        <a:noFill/>
        <a:ln w="28575">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8</xdr:col>
      <xdr:colOff>200025</xdr:colOff>
      <xdr:row>15</xdr:row>
      <xdr:rowOff>180975</xdr:rowOff>
    </xdr:from>
    <xdr:to>
      <xdr:col>8</xdr:col>
      <xdr:colOff>495300</xdr:colOff>
      <xdr:row>17</xdr:row>
      <xdr:rowOff>53787</xdr:rowOff>
    </xdr:to>
    <xdr:pic>
      <xdr:nvPicPr>
        <xdr:cNvPr id="20" name="Picture 19">
          <a:hlinkClick xmlns:r="http://schemas.openxmlformats.org/officeDocument/2006/relationships" r:id="rId5"/>
          <a:extLst>
            <a:ext uri="{FF2B5EF4-FFF2-40B4-BE49-F238E27FC236}">
              <a16:creationId xmlns:a16="http://schemas.microsoft.com/office/drawing/2014/main" id="{6F2C0AF5-163F-42B6-9397-39B293822A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72175" y="3057525"/>
          <a:ext cx="295275" cy="263337"/>
        </a:xfrm>
        <a:prstGeom prst="rect">
          <a:avLst/>
        </a:prstGeom>
      </xdr:spPr>
    </xdr:pic>
    <xdr:clientData/>
  </xdr:twoCellAnchor>
  <xdr:twoCellAnchor editAs="oneCell">
    <xdr:from>
      <xdr:col>8</xdr:col>
      <xdr:colOff>180975</xdr:colOff>
      <xdr:row>11</xdr:row>
      <xdr:rowOff>171450</xdr:rowOff>
    </xdr:from>
    <xdr:to>
      <xdr:col>8</xdr:col>
      <xdr:colOff>476250</xdr:colOff>
      <xdr:row>13</xdr:row>
      <xdr:rowOff>44262</xdr:rowOff>
    </xdr:to>
    <xdr:pic>
      <xdr:nvPicPr>
        <xdr:cNvPr id="21" name="Picture 20">
          <a:hlinkClick xmlns:r="http://schemas.openxmlformats.org/officeDocument/2006/relationships" r:id="rId6"/>
          <a:extLst>
            <a:ext uri="{FF2B5EF4-FFF2-40B4-BE49-F238E27FC236}">
              <a16:creationId xmlns:a16="http://schemas.microsoft.com/office/drawing/2014/main" id="{3C69B1CA-3990-45D9-A1C2-A82C490D4B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3125" y="2276475"/>
          <a:ext cx="295275" cy="263337"/>
        </a:xfrm>
        <a:prstGeom prst="rect">
          <a:avLst/>
        </a:prstGeom>
      </xdr:spPr>
    </xdr:pic>
    <xdr:clientData/>
  </xdr:twoCellAnchor>
  <xdr:twoCellAnchor>
    <xdr:from>
      <xdr:col>6</xdr:col>
      <xdr:colOff>314325</xdr:colOff>
      <xdr:row>4</xdr:row>
      <xdr:rowOff>133350</xdr:rowOff>
    </xdr:from>
    <xdr:to>
      <xdr:col>9</xdr:col>
      <xdr:colOff>0</xdr:colOff>
      <xdr:row>6</xdr:row>
      <xdr:rowOff>76200</xdr:rowOff>
    </xdr:to>
    <xdr:sp macro="" textlink="">
      <xdr:nvSpPr>
        <xdr:cNvPr id="22" name="TextBox 21">
          <a:extLst>
            <a:ext uri="{FF2B5EF4-FFF2-40B4-BE49-F238E27FC236}">
              <a16:creationId xmlns:a16="http://schemas.microsoft.com/office/drawing/2014/main" id="{3F0539C1-5845-46AD-89FC-4B671F624C7D}"/>
            </a:ext>
          </a:extLst>
        </xdr:cNvPr>
        <xdr:cNvSpPr txBox="1"/>
      </xdr:nvSpPr>
      <xdr:spPr>
        <a:xfrm>
          <a:off x="3971925" y="895350"/>
          <a:ext cx="2409825" cy="333375"/>
        </a:xfrm>
        <a:prstGeom prst="rect">
          <a:avLst/>
        </a:prstGeom>
        <a:solidFill>
          <a:srgbClr val="FFFBEF"/>
        </a:solidFill>
        <a:ln w="2857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t>Performance da Empresa</a:t>
          </a:r>
        </a:p>
      </xdr:txBody>
    </xdr:sp>
    <xdr:clientData/>
  </xdr:twoCellAnchor>
  <xdr:twoCellAnchor editAs="oneCell">
    <xdr:from>
      <xdr:col>4</xdr:col>
      <xdr:colOff>495301</xdr:colOff>
      <xdr:row>3</xdr:row>
      <xdr:rowOff>114301</xdr:rowOff>
    </xdr:from>
    <xdr:to>
      <xdr:col>6</xdr:col>
      <xdr:colOff>95251</xdr:colOff>
      <xdr:row>7</xdr:row>
      <xdr:rowOff>161926</xdr:rowOff>
    </xdr:to>
    <xdr:pic>
      <xdr:nvPicPr>
        <xdr:cNvPr id="23" name="Picture 22">
          <a:extLst>
            <a:ext uri="{FF2B5EF4-FFF2-40B4-BE49-F238E27FC236}">
              <a16:creationId xmlns:a16="http://schemas.microsoft.com/office/drawing/2014/main" id="{3E3F89DE-79D8-460A-8E57-2D404EFF6F3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933701" y="685801"/>
          <a:ext cx="819150" cy="819150"/>
        </a:xfrm>
        <a:prstGeom prst="rect">
          <a:avLst/>
        </a:prstGeom>
      </xdr:spPr>
    </xdr:pic>
    <xdr:clientData/>
  </xdr:twoCellAnchor>
  <xdr:twoCellAnchor editAs="oneCell">
    <xdr:from>
      <xdr:col>5</xdr:col>
      <xdr:colOff>152400</xdr:colOff>
      <xdr:row>11</xdr:row>
      <xdr:rowOff>85725</xdr:rowOff>
    </xdr:from>
    <xdr:to>
      <xdr:col>5</xdr:col>
      <xdr:colOff>561975</xdr:colOff>
      <xdr:row>13</xdr:row>
      <xdr:rowOff>104775</xdr:rowOff>
    </xdr:to>
    <xdr:pic>
      <xdr:nvPicPr>
        <xdr:cNvPr id="24" name="Picture 23">
          <a:hlinkClick xmlns:r="http://schemas.openxmlformats.org/officeDocument/2006/relationships" r:id="rId8"/>
          <a:extLst>
            <a:ext uri="{FF2B5EF4-FFF2-40B4-BE49-F238E27FC236}">
              <a16:creationId xmlns:a16="http://schemas.microsoft.com/office/drawing/2014/main" id="{E64CE2CB-9738-4D0E-9C91-B7E7E0F6A6D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200400" y="2190750"/>
          <a:ext cx="409575" cy="409575"/>
        </a:xfrm>
        <a:prstGeom prst="rect">
          <a:avLst/>
        </a:prstGeom>
      </xdr:spPr>
    </xdr:pic>
    <xdr:clientData/>
  </xdr:twoCellAnchor>
  <xdr:twoCellAnchor editAs="oneCell">
    <xdr:from>
      <xdr:col>5</xdr:col>
      <xdr:colOff>133350</xdr:colOff>
      <xdr:row>15</xdr:row>
      <xdr:rowOff>114300</xdr:rowOff>
    </xdr:from>
    <xdr:to>
      <xdr:col>5</xdr:col>
      <xdr:colOff>542925</xdr:colOff>
      <xdr:row>17</xdr:row>
      <xdr:rowOff>133350</xdr:rowOff>
    </xdr:to>
    <xdr:pic>
      <xdr:nvPicPr>
        <xdr:cNvPr id="25" name="Picture 24">
          <a:hlinkClick xmlns:r="http://schemas.openxmlformats.org/officeDocument/2006/relationships" r:id="rId10"/>
          <a:extLst>
            <a:ext uri="{FF2B5EF4-FFF2-40B4-BE49-F238E27FC236}">
              <a16:creationId xmlns:a16="http://schemas.microsoft.com/office/drawing/2014/main" id="{550541E8-22F5-4E61-8528-9BEBB063D75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181350" y="2990850"/>
          <a:ext cx="409575" cy="409575"/>
        </a:xfrm>
        <a:prstGeom prst="rect">
          <a:avLst/>
        </a:prstGeom>
      </xdr:spPr>
    </xdr:pic>
    <xdr:clientData/>
  </xdr:twoCellAnchor>
  <xdr:twoCellAnchor editAs="oneCell">
    <xdr:from>
      <xdr:col>5</xdr:col>
      <xdr:colOff>133350</xdr:colOff>
      <xdr:row>19</xdr:row>
      <xdr:rowOff>57150</xdr:rowOff>
    </xdr:from>
    <xdr:to>
      <xdr:col>5</xdr:col>
      <xdr:colOff>571499</xdr:colOff>
      <xdr:row>21</xdr:row>
      <xdr:rowOff>104774</xdr:rowOff>
    </xdr:to>
    <xdr:pic>
      <xdr:nvPicPr>
        <xdr:cNvPr id="26" name="Picture 25">
          <a:hlinkClick xmlns:r="http://schemas.openxmlformats.org/officeDocument/2006/relationships" r:id="rId11"/>
          <a:extLst>
            <a:ext uri="{FF2B5EF4-FFF2-40B4-BE49-F238E27FC236}">
              <a16:creationId xmlns:a16="http://schemas.microsoft.com/office/drawing/2014/main" id="{0A62A0EA-60C0-45B6-9F6A-088E6F8CCC0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181350" y="3705225"/>
          <a:ext cx="438149" cy="438149"/>
        </a:xfrm>
        <a:prstGeom prst="rect">
          <a:avLst/>
        </a:prstGeom>
      </xdr:spPr>
    </xdr:pic>
    <xdr:clientData/>
  </xdr:twoCellAnchor>
  <xdr:twoCellAnchor editAs="oneCell">
    <xdr:from>
      <xdr:col>5</xdr:col>
      <xdr:colOff>123825</xdr:colOff>
      <xdr:row>23</xdr:row>
      <xdr:rowOff>85725</xdr:rowOff>
    </xdr:from>
    <xdr:to>
      <xdr:col>5</xdr:col>
      <xdr:colOff>561974</xdr:colOff>
      <xdr:row>25</xdr:row>
      <xdr:rowOff>133349</xdr:rowOff>
    </xdr:to>
    <xdr:pic>
      <xdr:nvPicPr>
        <xdr:cNvPr id="27" name="Picture 26">
          <a:hlinkClick xmlns:r="http://schemas.openxmlformats.org/officeDocument/2006/relationships" r:id="rId13"/>
          <a:extLst>
            <a:ext uri="{FF2B5EF4-FFF2-40B4-BE49-F238E27FC236}">
              <a16:creationId xmlns:a16="http://schemas.microsoft.com/office/drawing/2014/main" id="{D63F65B2-C6DA-49DB-A492-0B96FEAD2A2B}"/>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171825" y="4505325"/>
          <a:ext cx="438149" cy="438149"/>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2" name="Picture 1">
          <a:hlinkClick xmlns:r="http://schemas.openxmlformats.org/officeDocument/2006/relationships" r:id="rId1"/>
          <a:extLst>
            <a:ext uri="{FF2B5EF4-FFF2-40B4-BE49-F238E27FC236}">
              <a16:creationId xmlns:a16="http://schemas.microsoft.com/office/drawing/2014/main" id="{5ADF8400-6E2B-4E69-A3CC-0E47EF010F9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xdr:from>
      <xdr:col>9</xdr:col>
      <xdr:colOff>47625</xdr:colOff>
      <xdr:row>9</xdr:row>
      <xdr:rowOff>123825</xdr:rowOff>
    </xdr:from>
    <xdr:to>
      <xdr:col>13</xdr:col>
      <xdr:colOff>942975</xdr:colOff>
      <xdr:row>17</xdr:row>
      <xdr:rowOff>95250</xdr:rowOff>
    </xdr:to>
    <xdr:graphicFrame macro="">
      <xdr:nvGraphicFramePr>
        <xdr:cNvPr id="7" name="Chart 6">
          <a:extLst>
            <a:ext uri="{FF2B5EF4-FFF2-40B4-BE49-F238E27FC236}">
              <a16:creationId xmlns:a16="http://schemas.microsoft.com/office/drawing/2014/main" id="{7F847425-2D5E-472B-98FB-D28B93FEDF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104776</xdr:colOff>
      <xdr:row>20</xdr:row>
      <xdr:rowOff>47625</xdr:rowOff>
    </xdr:from>
    <xdr:to>
      <xdr:col>13</xdr:col>
      <xdr:colOff>990600</xdr:colOff>
      <xdr:row>28</xdr:row>
      <xdr:rowOff>76201</xdr:rowOff>
    </xdr:to>
    <xdr:graphicFrame macro="">
      <xdr:nvGraphicFramePr>
        <xdr:cNvPr id="8" name="Chart 7">
          <a:extLst>
            <a:ext uri="{FF2B5EF4-FFF2-40B4-BE49-F238E27FC236}">
              <a16:creationId xmlns:a16="http://schemas.microsoft.com/office/drawing/2014/main" id="{2D084772-6AA4-4F0E-A2E2-AB62DC1C5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57151</xdr:colOff>
      <xdr:row>9</xdr:row>
      <xdr:rowOff>85724</xdr:rowOff>
    </xdr:from>
    <xdr:to>
      <xdr:col>8</xdr:col>
      <xdr:colOff>47625</xdr:colOff>
      <xdr:row>28</xdr:row>
      <xdr:rowOff>28575</xdr:rowOff>
    </xdr:to>
    <xdr:graphicFrame macro="">
      <xdr:nvGraphicFramePr>
        <xdr:cNvPr id="9" name="Chart 8">
          <a:extLst>
            <a:ext uri="{FF2B5EF4-FFF2-40B4-BE49-F238E27FC236}">
              <a16:creationId xmlns:a16="http://schemas.microsoft.com/office/drawing/2014/main" id="{48F1D63D-6AAE-4922-AB7E-08AAC62647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228602</xdr:colOff>
      <xdr:row>18</xdr:row>
      <xdr:rowOff>66676</xdr:rowOff>
    </xdr:from>
    <xdr:to>
      <xdr:col>4</xdr:col>
      <xdr:colOff>1390650</xdr:colOff>
      <xdr:row>26</xdr:row>
      <xdr:rowOff>161925</xdr:rowOff>
    </xdr:to>
    <xdr:graphicFrame macro="">
      <xdr:nvGraphicFramePr>
        <xdr:cNvPr id="10" name="Chart 9">
          <a:extLst>
            <a:ext uri="{FF2B5EF4-FFF2-40B4-BE49-F238E27FC236}">
              <a16:creationId xmlns:a16="http://schemas.microsoft.com/office/drawing/2014/main" id="{1543F4DD-D713-4676-87A6-9ED3E4E12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257176</xdr:colOff>
      <xdr:row>7</xdr:row>
      <xdr:rowOff>152400</xdr:rowOff>
    </xdr:from>
    <xdr:to>
      <xdr:col>15</xdr:col>
      <xdr:colOff>57151</xdr:colOff>
      <xdr:row>17</xdr:row>
      <xdr:rowOff>161925</xdr:rowOff>
    </xdr:to>
    <xdr:sp macro="" textlink="">
      <xdr:nvSpPr>
        <xdr:cNvPr id="11" name="Rectangle: Rounded Corners 10">
          <a:extLst>
            <a:ext uri="{FF2B5EF4-FFF2-40B4-BE49-F238E27FC236}">
              <a16:creationId xmlns:a16="http://schemas.microsoft.com/office/drawing/2014/main" id="{BEB4362A-4F2C-493B-8702-9CB0A01D5F9E}"/>
            </a:ext>
          </a:extLst>
        </xdr:cNvPr>
        <xdr:cNvSpPr/>
      </xdr:nvSpPr>
      <xdr:spPr>
        <a:xfrm>
          <a:off x="6838951" y="1543050"/>
          <a:ext cx="7496175" cy="2124075"/>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257175</xdr:colOff>
      <xdr:row>18</xdr:row>
      <xdr:rowOff>142875</xdr:rowOff>
    </xdr:from>
    <xdr:to>
      <xdr:col>15</xdr:col>
      <xdr:colOff>47625</xdr:colOff>
      <xdr:row>28</xdr:row>
      <xdr:rowOff>152400</xdr:rowOff>
    </xdr:to>
    <xdr:sp macro="" textlink="">
      <xdr:nvSpPr>
        <xdr:cNvPr id="12" name="Rectangle: Rounded Corners 11">
          <a:extLst>
            <a:ext uri="{FF2B5EF4-FFF2-40B4-BE49-F238E27FC236}">
              <a16:creationId xmlns:a16="http://schemas.microsoft.com/office/drawing/2014/main" id="{15F092A4-5749-4767-B8D8-533D2D0C58FF}"/>
            </a:ext>
          </a:extLst>
        </xdr:cNvPr>
        <xdr:cNvSpPr/>
      </xdr:nvSpPr>
      <xdr:spPr>
        <a:xfrm>
          <a:off x="6838950" y="3857625"/>
          <a:ext cx="7486650" cy="1962150"/>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xdr:colOff>
      <xdr:row>7</xdr:row>
      <xdr:rowOff>123826</xdr:rowOff>
    </xdr:from>
    <xdr:to>
      <xdr:col>8</xdr:col>
      <xdr:colOff>161926</xdr:colOff>
      <xdr:row>28</xdr:row>
      <xdr:rowOff>171451</xdr:rowOff>
    </xdr:to>
    <xdr:sp macro="" textlink="">
      <xdr:nvSpPr>
        <xdr:cNvPr id="13" name="Rectangle: Rounded Corners 12">
          <a:extLst>
            <a:ext uri="{FF2B5EF4-FFF2-40B4-BE49-F238E27FC236}">
              <a16:creationId xmlns:a16="http://schemas.microsoft.com/office/drawing/2014/main" id="{BDEEF92E-8B3B-4865-BCA8-D9B69E6806A0}"/>
            </a:ext>
          </a:extLst>
        </xdr:cNvPr>
        <xdr:cNvSpPr/>
      </xdr:nvSpPr>
      <xdr:spPr>
        <a:xfrm>
          <a:off x="4524376" y="1514476"/>
          <a:ext cx="2257425" cy="4191000"/>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76200</xdr:colOff>
      <xdr:row>16</xdr:row>
      <xdr:rowOff>123826</xdr:rowOff>
    </xdr:from>
    <xdr:to>
      <xdr:col>5</xdr:col>
      <xdr:colOff>85724</xdr:colOff>
      <xdr:row>28</xdr:row>
      <xdr:rowOff>171451</xdr:rowOff>
    </xdr:to>
    <xdr:sp macro="" textlink="">
      <xdr:nvSpPr>
        <xdr:cNvPr id="14" name="Rectangle: Rounded Corners 13">
          <a:extLst>
            <a:ext uri="{FF2B5EF4-FFF2-40B4-BE49-F238E27FC236}">
              <a16:creationId xmlns:a16="http://schemas.microsoft.com/office/drawing/2014/main" id="{A4143C0E-0047-4CCB-B45B-8EA73B6BF1DF}"/>
            </a:ext>
          </a:extLst>
        </xdr:cNvPr>
        <xdr:cNvSpPr/>
      </xdr:nvSpPr>
      <xdr:spPr>
        <a:xfrm>
          <a:off x="1295400" y="3438526"/>
          <a:ext cx="3762374" cy="2266950"/>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47626</xdr:colOff>
      <xdr:row>3</xdr:row>
      <xdr:rowOff>152401</xdr:rowOff>
    </xdr:from>
    <xdr:to>
      <xdr:col>0</xdr:col>
      <xdr:colOff>533400</xdr:colOff>
      <xdr:row>6</xdr:row>
      <xdr:rowOff>19050</xdr:rowOff>
    </xdr:to>
    <xdr:pic>
      <xdr:nvPicPr>
        <xdr:cNvPr id="15" name="Picture 14">
          <a:hlinkClick xmlns:r="http://schemas.openxmlformats.org/officeDocument/2006/relationships" r:id="rId7"/>
          <a:extLst>
            <a:ext uri="{FF2B5EF4-FFF2-40B4-BE49-F238E27FC236}">
              <a16:creationId xmlns:a16="http://schemas.microsoft.com/office/drawing/2014/main" id="{5CD48E2D-A070-4FE2-A574-C1A9EE4F1FE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7626" y="723901"/>
          <a:ext cx="485774" cy="485774"/>
        </a:xfrm>
        <a:prstGeom prst="rect">
          <a:avLst/>
        </a:prstGeom>
      </xdr:spPr>
    </xdr:pic>
    <xdr:clientData/>
  </xdr:twoCellAnchor>
  <xdr:twoCellAnchor editAs="oneCell">
    <xdr:from>
      <xdr:col>1</xdr:col>
      <xdr:colOff>104775</xdr:colOff>
      <xdr:row>3</xdr:row>
      <xdr:rowOff>190500</xdr:rowOff>
    </xdr:from>
    <xdr:to>
      <xdr:col>1</xdr:col>
      <xdr:colOff>561975</xdr:colOff>
      <xdr:row>6</xdr:row>
      <xdr:rowOff>28575</xdr:rowOff>
    </xdr:to>
    <xdr:pic>
      <xdr:nvPicPr>
        <xdr:cNvPr id="16" name="Picture 15">
          <a:extLst>
            <a:ext uri="{FF2B5EF4-FFF2-40B4-BE49-F238E27FC236}">
              <a16:creationId xmlns:a16="http://schemas.microsoft.com/office/drawing/2014/main" id="{0D0CC530-F3F7-470C-BFAB-31DA162D44F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14375" y="762000"/>
          <a:ext cx="457200" cy="4572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0</xdr:rowOff>
    </xdr:to>
    <xdr:pic>
      <xdr:nvPicPr>
        <xdr:cNvPr id="2" name="Picture 1">
          <a:extLst>
            <a:ext uri="{FF2B5EF4-FFF2-40B4-BE49-F238E27FC236}">
              <a16:creationId xmlns:a16="http://schemas.microsoft.com/office/drawing/2014/main" id="{E59B41A1-6F89-4637-8C06-F38F268129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xdr:from>
      <xdr:col>9</xdr:col>
      <xdr:colOff>47625</xdr:colOff>
      <xdr:row>9</xdr:row>
      <xdr:rowOff>95249</xdr:rowOff>
    </xdr:from>
    <xdr:to>
      <xdr:col>13</xdr:col>
      <xdr:colOff>1000125</xdr:colOff>
      <xdr:row>17</xdr:row>
      <xdr:rowOff>142874</xdr:rowOff>
    </xdr:to>
    <xdr:graphicFrame macro="">
      <xdr:nvGraphicFramePr>
        <xdr:cNvPr id="3" name="Chart 2">
          <a:extLst>
            <a:ext uri="{FF2B5EF4-FFF2-40B4-BE49-F238E27FC236}">
              <a16:creationId xmlns:a16="http://schemas.microsoft.com/office/drawing/2014/main" id="{3C021A25-07CE-4840-AB74-022924212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66675</xdr:colOff>
      <xdr:row>20</xdr:row>
      <xdr:rowOff>85725</xdr:rowOff>
    </xdr:from>
    <xdr:to>
      <xdr:col>13</xdr:col>
      <xdr:colOff>1009650</xdr:colOff>
      <xdr:row>28</xdr:row>
      <xdr:rowOff>161925</xdr:rowOff>
    </xdr:to>
    <xdr:graphicFrame macro="">
      <xdr:nvGraphicFramePr>
        <xdr:cNvPr id="4" name="Chart 3">
          <a:extLst>
            <a:ext uri="{FF2B5EF4-FFF2-40B4-BE49-F238E27FC236}">
              <a16:creationId xmlns:a16="http://schemas.microsoft.com/office/drawing/2014/main" id="{11FEE2AF-FF4D-4568-83B1-0759F3D08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180974</xdr:colOff>
      <xdr:row>18</xdr:row>
      <xdr:rowOff>114302</xdr:rowOff>
    </xdr:from>
    <xdr:to>
      <xdr:col>4</xdr:col>
      <xdr:colOff>1590674</xdr:colOff>
      <xdr:row>26</xdr:row>
      <xdr:rowOff>161925</xdr:rowOff>
    </xdr:to>
    <xdr:graphicFrame macro="">
      <xdr:nvGraphicFramePr>
        <xdr:cNvPr id="6" name="Chart 5">
          <a:extLst>
            <a:ext uri="{FF2B5EF4-FFF2-40B4-BE49-F238E27FC236}">
              <a16:creationId xmlns:a16="http://schemas.microsoft.com/office/drawing/2014/main" id="{B756A697-4B23-44CC-8CBB-DDB0E4D04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104775</xdr:colOff>
      <xdr:row>9</xdr:row>
      <xdr:rowOff>38099</xdr:rowOff>
    </xdr:from>
    <xdr:to>
      <xdr:col>7</xdr:col>
      <xdr:colOff>1028701</xdr:colOff>
      <xdr:row>28</xdr:row>
      <xdr:rowOff>123825</xdr:rowOff>
    </xdr:to>
    <xdr:graphicFrame macro="">
      <xdr:nvGraphicFramePr>
        <xdr:cNvPr id="7" name="Chart 6">
          <a:extLst>
            <a:ext uri="{FF2B5EF4-FFF2-40B4-BE49-F238E27FC236}">
              <a16:creationId xmlns:a16="http://schemas.microsoft.com/office/drawing/2014/main" id="{F4669633-9D63-469A-B565-4D74112F6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314325</xdr:colOff>
      <xdr:row>7</xdr:row>
      <xdr:rowOff>152401</xdr:rowOff>
    </xdr:from>
    <xdr:to>
      <xdr:col>15</xdr:col>
      <xdr:colOff>171450</xdr:colOff>
      <xdr:row>17</xdr:row>
      <xdr:rowOff>171451</xdr:rowOff>
    </xdr:to>
    <xdr:sp macro="" textlink="">
      <xdr:nvSpPr>
        <xdr:cNvPr id="8" name="Rectangle: Rounded Corners 7">
          <a:extLst>
            <a:ext uri="{FF2B5EF4-FFF2-40B4-BE49-F238E27FC236}">
              <a16:creationId xmlns:a16="http://schemas.microsoft.com/office/drawing/2014/main" id="{F67E9EE7-42F0-4D07-A69B-E3E642BC5691}"/>
            </a:ext>
          </a:extLst>
        </xdr:cNvPr>
        <xdr:cNvSpPr/>
      </xdr:nvSpPr>
      <xdr:spPr>
        <a:xfrm>
          <a:off x="7000875" y="1524001"/>
          <a:ext cx="7515225" cy="2133600"/>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314325</xdr:colOff>
      <xdr:row>18</xdr:row>
      <xdr:rowOff>142875</xdr:rowOff>
    </xdr:from>
    <xdr:to>
      <xdr:col>15</xdr:col>
      <xdr:colOff>180975</xdr:colOff>
      <xdr:row>28</xdr:row>
      <xdr:rowOff>76200</xdr:rowOff>
    </xdr:to>
    <xdr:sp macro="" textlink="">
      <xdr:nvSpPr>
        <xdr:cNvPr id="14" name="Rectangle: Rounded Corners 13">
          <a:extLst>
            <a:ext uri="{FF2B5EF4-FFF2-40B4-BE49-F238E27FC236}">
              <a16:creationId xmlns:a16="http://schemas.microsoft.com/office/drawing/2014/main" id="{A6590C19-C071-4ABD-95D5-180A8341DCC3}"/>
            </a:ext>
          </a:extLst>
        </xdr:cNvPr>
        <xdr:cNvSpPr/>
      </xdr:nvSpPr>
      <xdr:spPr>
        <a:xfrm>
          <a:off x="7000875" y="3838575"/>
          <a:ext cx="7524750" cy="1885950"/>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342900</xdr:colOff>
      <xdr:row>7</xdr:row>
      <xdr:rowOff>152400</xdr:rowOff>
    </xdr:from>
    <xdr:to>
      <xdr:col>8</xdr:col>
      <xdr:colOff>152400</xdr:colOff>
      <xdr:row>28</xdr:row>
      <xdr:rowOff>95250</xdr:rowOff>
    </xdr:to>
    <xdr:sp macro="" textlink="">
      <xdr:nvSpPr>
        <xdr:cNvPr id="15" name="Rectangle: Rounded Corners 14">
          <a:extLst>
            <a:ext uri="{FF2B5EF4-FFF2-40B4-BE49-F238E27FC236}">
              <a16:creationId xmlns:a16="http://schemas.microsoft.com/office/drawing/2014/main" id="{5BE5D48F-C438-472A-9B69-D6C54974A9C5}"/>
            </a:ext>
          </a:extLst>
        </xdr:cNvPr>
        <xdr:cNvSpPr/>
      </xdr:nvSpPr>
      <xdr:spPr>
        <a:xfrm>
          <a:off x="4638675" y="1524000"/>
          <a:ext cx="2352675" cy="4219575"/>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76200</xdr:colOff>
      <xdr:row>16</xdr:row>
      <xdr:rowOff>104775</xdr:rowOff>
    </xdr:from>
    <xdr:to>
      <xdr:col>5</xdr:col>
      <xdr:colOff>85725</xdr:colOff>
      <xdr:row>28</xdr:row>
      <xdr:rowOff>85725</xdr:rowOff>
    </xdr:to>
    <xdr:sp macro="" textlink="">
      <xdr:nvSpPr>
        <xdr:cNvPr id="16" name="Rectangle: Rounded Corners 15">
          <a:extLst>
            <a:ext uri="{FF2B5EF4-FFF2-40B4-BE49-F238E27FC236}">
              <a16:creationId xmlns:a16="http://schemas.microsoft.com/office/drawing/2014/main" id="{E1DE6005-2B29-4152-9B1C-1424A300C125}"/>
            </a:ext>
          </a:extLst>
        </xdr:cNvPr>
        <xdr:cNvSpPr/>
      </xdr:nvSpPr>
      <xdr:spPr>
        <a:xfrm>
          <a:off x="1295400" y="3409950"/>
          <a:ext cx="3695700" cy="2219325"/>
        </a:xfrm>
        <a:prstGeom prst="roundRect">
          <a:avLst>
            <a:gd name="adj" fmla="val 5275"/>
          </a:avLst>
        </a:prstGeom>
        <a:noFill/>
        <a:ln w="28575">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9525</xdr:rowOff>
    </xdr:from>
    <xdr:to>
      <xdr:col>0</xdr:col>
      <xdr:colOff>600075</xdr:colOff>
      <xdr:row>3</xdr:row>
      <xdr:rowOff>0</xdr:rowOff>
    </xdr:to>
    <xdr:pic>
      <xdr:nvPicPr>
        <xdr:cNvPr id="18" name="Picture 17">
          <a:hlinkClick xmlns:r="http://schemas.openxmlformats.org/officeDocument/2006/relationships" r:id="rId6"/>
          <a:extLst>
            <a:ext uri="{FF2B5EF4-FFF2-40B4-BE49-F238E27FC236}">
              <a16:creationId xmlns:a16="http://schemas.microsoft.com/office/drawing/2014/main" id="{4830CFE8-4167-425D-BA5E-F5338DCE22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66676</xdr:colOff>
      <xdr:row>3</xdr:row>
      <xdr:rowOff>152401</xdr:rowOff>
    </xdr:from>
    <xdr:to>
      <xdr:col>0</xdr:col>
      <xdr:colOff>542925</xdr:colOff>
      <xdr:row>6</xdr:row>
      <xdr:rowOff>28575</xdr:rowOff>
    </xdr:to>
    <xdr:pic>
      <xdr:nvPicPr>
        <xdr:cNvPr id="19" name="Picture 18">
          <a:hlinkClick xmlns:r="http://schemas.openxmlformats.org/officeDocument/2006/relationships" r:id="rId7"/>
          <a:extLst>
            <a:ext uri="{FF2B5EF4-FFF2-40B4-BE49-F238E27FC236}">
              <a16:creationId xmlns:a16="http://schemas.microsoft.com/office/drawing/2014/main" id="{4F3B42E5-ED98-4641-A69F-DF19F16601A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6676" y="733426"/>
          <a:ext cx="476249" cy="476249"/>
        </a:xfrm>
        <a:prstGeom prst="rect">
          <a:avLst/>
        </a:prstGeom>
      </xdr:spPr>
    </xdr:pic>
    <xdr:clientData/>
  </xdr:twoCellAnchor>
  <xdr:twoCellAnchor editAs="oneCell">
    <xdr:from>
      <xdr:col>1</xdr:col>
      <xdr:colOff>95250</xdr:colOff>
      <xdr:row>3</xdr:row>
      <xdr:rowOff>171450</xdr:rowOff>
    </xdr:from>
    <xdr:to>
      <xdr:col>1</xdr:col>
      <xdr:colOff>561974</xdr:colOff>
      <xdr:row>6</xdr:row>
      <xdr:rowOff>38099</xdr:rowOff>
    </xdr:to>
    <xdr:pic>
      <xdr:nvPicPr>
        <xdr:cNvPr id="20" name="Picture 19">
          <a:extLst>
            <a:ext uri="{FF2B5EF4-FFF2-40B4-BE49-F238E27FC236}">
              <a16:creationId xmlns:a16="http://schemas.microsoft.com/office/drawing/2014/main" id="{99D46776-1776-4E3F-A6AE-52258534779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04850" y="752475"/>
          <a:ext cx="466724" cy="466724"/>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2" name="Picture 1">
          <a:extLst>
            <a:ext uri="{FF2B5EF4-FFF2-40B4-BE49-F238E27FC236}">
              <a16:creationId xmlns:a16="http://schemas.microsoft.com/office/drawing/2014/main" id="{9F452BB6-A2E4-4E92-A275-D81EF2FB03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xdr:from>
      <xdr:col>2</xdr:col>
      <xdr:colOff>14285</xdr:colOff>
      <xdr:row>5</xdr:row>
      <xdr:rowOff>200024</xdr:rowOff>
    </xdr:from>
    <xdr:to>
      <xdr:col>14</xdr:col>
      <xdr:colOff>0</xdr:colOff>
      <xdr:row>29</xdr:row>
      <xdr:rowOff>9525</xdr:rowOff>
    </xdr:to>
    <xdr:graphicFrame macro="">
      <xdr:nvGraphicFramePr>
        <xdr:cNvPr id="11" name="Chart 10">
          <a:extLst>
            <a:ext uri="{FF2B5EF4-FFF2-40B4-BE49-F238E27FC236}">
              <a16:creationId xmlns:a16="http://schemas.microsoft.com/office/drawing/2014/main" id="{AA32F0E4-B8B3-4B21-B991-229222CCC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171450</xdr:colOff>
      <xdr:row>7</xdr:row>
      <xdr:rowOff>147638</xdr:rowOff>
    </xdr:from>
    <xdr:to>
      <xdr:col>14</xdr:col>
      <xdr:colOff>2038350</xdr:colOff>
      <xdr:row>15</xdr:row>
      <xdr:rowOff>90488</xdr:rowOff>
    </xdr:to>
    <mc:AlternateContent xmlns:mc="http://schemas.openxmlformats.org/markup-compatibility/2006" xmlns:a14="http://schemas.microsoft.com/office/drawing/2010/main">
      <mc:Choice Requires="a14">
        <xdr:graphicFrame macro="">
          <xdr:nvGraphicFramePr>
            <xdr:cNvPr id="12" name="Ano 3">
              <a:extLst>
                <a:ext uri="{FF2B5EF4-FFF2-40B4-BE49-F238E27FC236}">
                  <a16:creationId xmlns:a16="http://schemas.microsoft.com/office/drawing/2014/main" id="{C7EEBBF6-8B62-4BD6-B0D4-789D71417E4F}"/>
                </a:ext>
              </a:extLst>
            </xdr:cNvPr>
            <xdr:cNvGraphicFramePr/>
          </xdr:nvGraphicFramePr>
          <xdr:xfrm>
            <a:off x="0" y="0"/>
            <a:ext cx="0" cy="0"/>
          </xdr:xfrm>
          <a:graphic>
            <a:graphicData uri="http://schemas.microsoft.com/office/drawing/2010/slicer">
              <sle:slicer xmlns:sle="http://schemas.microsoft.com/office/drawing/2010/slicer" name="Ano 3"/>
            </a:graphicData>
          </a:graphic>
        </xdr:graphicFrame>
      </mc:Choice>
      <mc:Fallback xmlns="">
        <xdr:sp macro="" textlink="">
          <xdr:nvSpPr>
            <xdr:cNvPr id="0" name=""/>
            <xdr:cNvSpPr>
              <a:spLocks noTextEdit="1"/>
            </xdr:cNvSpPr>
          </xdr:nvSpPr>
          <xdr:spPr>
            <a:xfrm>
              <a:off x="12325350" y="1690688"/>
              <a:ext cx="186690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171450</xdr:colOff>
      <xdr:row>15</xdr:row>
      <xdr:rowOff>152400</xdr:rowOff>
    </xdr:from>
    <xdr:to>
      <xdr:col>14</xdr:col>
      <xdr:colOff>2028825</xdr:colOff>
      <xdr:row>28</xdr:row>
      <xdr:rowOff>123825</xdr:rowOff>
    </xdr:to>
    <mc:AlternateContent xmlns:mc="http://schemas.openxmlformats.org/markup-compatibility/2006" xmlns:a14="http://schemas.microsoft.com/office/drawing/2010/main">
      <mc:Choice Requires="a14">
        <xdr:graphicFrame macro="">
          <xdr:nvGraphicFramePr>
            <xdr:cNvPr id="15" name="Tipo">
              <a:extLst>
                <a:ext uri="{FF2B5EF4-FFF2-40B4-BE49-F238E27FC236}">
                  <a16:creationId xmlns:a16="http://schemas.microsoft.com/office/drawing/2014/main" id="{0334D94A-5EE0-4DC6-A81B-22AEB547B4DF}"/>
                </a:ext>
              </a:extLst>
            </xdr:cNvPr>
            <xdr:cNvGraphicFramePr/>
          </xdr:nvGraphicFramePr>
          <xdr:xfrm>
            <a:off x="0" y="0"/>
            <a:ext cx="0" cy="0"/>
          </xdr:xfrm>
          <a:graphic>
            <a:graphicData uri="http://schemas.microsoft.com/office/drawing/2010/slicer">
              <sle:slicer xmlns:sle="http://schemas.microsoft.com/office/drawing/2010/slicer" name="Tipo"/>
            </a:graphicData>
          </a:graphic>
        </xdr:graphicFrame>
      </mc:Choice>
      <mc:Fallback xmlns="">
        <xdr:sp macro="" textlink="">
          <xdr:nvSpPr>
            <xdr:cNvPr id="0" name=""/>
            <xdr:cNvSpPr>
              <a:spLocks noTextEdit="1"/>
            </xdr:cNvSpPr>
          </xdr:nvSpPr>
          <xdr:spPr>
            <a:xfrm>
              <a:off x="12325350" y="3267075"/>
              <a:ext cx="1857375" cy="2447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9525</xdr:rowOff>
    </xdr:from>
    <xdr:to>
      <xdr:col>0</xdr:col>
      <xdr:colOff>600075</xdr:colOff>
      <xdr:row>3</xdr:row>
      <xdr:rowOff>9525</xdr:rowOff>
    </xdr:to>
    <xdr:pic>
      <xdr:nvPicPr>
        <xdr:cNvPr id="16" name="Picture 15">
          <a:extLst>
            <a:ext uri="{FF2B5EF4-FFF2-40B4-BE49-F238E27FC236}">
              <a16:creationId xmlns:a16="http://schemas.microsoft.com/office/drawing/2014/main" id="{F6E38EE3-6944-441C-972E-BEB1CA20BD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17" name="Picture 16">
          <a:hlinkClick xmlns:r="http://schemas.openxmlformats.org/officeDocument/2006/relationships" r:id="rId3"/>
          <a:extLst>
            <a:ext uri="{FF2B5EF4-FFF2-40B4-BE49-F238E27FC236}">
              <a16:creationId xmlns:a16="http://schemas.microsoft.com/office/drawing/2014/main" id="{33448675-C4AB-49F3-8D4A-1AB254077C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95251</xdr:colOff>
      <xdr:row>3</xdr:row>
      <xdr:rowOff>85726</xdr:rowOff>
    </xdr:from>
    <xdr:to>
      <xdr:col>0</xdr:col>
      <xdr:colOff>533400</xdr:colOff>
      <xdr:row>5</xdr:row>
      <xdr:rowOff>142875</xdr:rowOff>
    </xdr:to>
    <xdr:pic>
      <xdr:nvPicPr>
        <xdr:cNvPr id="18" name="Picture 17">
          <a:hlinkClick xmlns:r="http://schemas.openxmlformats.org/officeDocument/2006/relationships" r:id="rId4"/>
          <a:extLst>
            <a:ext uri="{FF2B5EF4-FFF2-40B4-BE49-F238E27FC236}">
              <a16:creationId xmlns:a16="http://schemas.microsoft.com/office/drawing/2014/main" id="{A71BCFBE-417D-4BBA-A943-5722D0CDA6F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251" y="657226"/>
          <a:ext cx="438149" cy="438149"/>
        </a:xfrm>
        <a:prstGeom prst="rect">
          <a:avLst/>
        </a:prstGeom>
      </xdr:spPr>
    </xdr:pic>
    <xdr:clientData/>
  </xdr:twoCellAnchor>
  <xdr:twoCellAnchor editAs="oneCell">
    <xdr:from>
      <xdr:col>1</xdr:col>
      <xdr:colOff>85725</xdr:colOff>
      <xdr:row>3</xdr:row>
      <xdr:rowOff>104775</xdr:rowOff>
    </xdr:from>
    <xdr:to>
      <xdr:col>1</xdr:col>
      <xdr:colOff>523874</xdr:colOff>
      <xdr:row>5</xdr:row>
      <xdr:rowOff>161924</xdr:rowOff>
    </xdr:to>
    <xdr:pic>
      <xdr:nvPicPr>
        <xdr:cNvPr id="20" name="Picture 19">
          <a:extLst>
            <a:ext uri="{FF2B5EF4-FFF2-40B4-BE49-F238E27FC236}">
              <a16:creationId xmlns:a16="http://schemas.microsoft.com/office/drawing/2014/main" id="{A0E46419-355D-44AD-9864-811200E804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5325" y="676275"/>
          <a:ext cx="438149" cy="438149"/>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2" name="Picture 1">
          <a:extLst>
            <a:ext uri="{FF2B5EF4-FFF2-40B4-BE49-F238E27FC236}">
              <a16:creationId xmlns:a16="http://schemas.microsoft.com/office/drawing/2014/main" id="{2F4A0A5C-E487-4E8D-A880-C002A6E55D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xdr:from>
      <xdr:col>4</xdr:col>
      <xdr:colOff>0</xdr:colOff>
      <xdr:row>13</xdr:row>
      <xdr:rowOff>162984</xdr:rowOff>
    </xdr:from>
    <xdr:to>
      <xdr:col>16</xdr:col>
      <xdr:colOff>0</xdr:colOff>
      <xdr:row>31</xdr:row>
      <xdr:rowOff>116417</xdr:rowOff>
    </xdr:to>
    <xdr:graphicFrame macro="">
      <xdr:nvGraphicFramePr>
        <xdr:cNvPr id="3" name="Chart 2">
          <a:extLst>
            <a:ext uri="{FF2B5EF4-FFF2-40B4-BE49-F238E27FC236}">
              <a16:creationId xmlns:a16="http://schemas.microsoft.com/office/drawing/2014/main" id="{DB952F99-50B4-475C-8E2D-0DA75FF54A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1217083</xdr:colOff>
      <xdr:row>13</xdr:row>
      <xdr:rowOff>116417</xdr:rowOff>
    </xdr:from>
    <xdr:to>
      <xdr:col>16</xdr:col>
      <xdr:colOff>105833</xdr:colOff>
      <xdr:row>32</xdr:row>
      <xdr:rowOff>10584</xdr:rowOff>
    </xdr:to>
    <xdr:sp macro="" textlink="">
      <xdr:nvSpPr>
        <xdr:cNvPr id="5" name="Rectangle 4">
          <a:extLst>
            <a:ext uri="{FF2B5EF4-FFF2-40B4-BE49-F238E27FC236}">
              <a16:creationId xmlns:a16="http://schemas.microsoft.com/office/drawing/2014/main" id="{70F3C3B2-6F6D-4C6E-9C5C-A87CD19AD068}"/>
            </a:ext>
          </a:extLst>
        </xdr:cNvPr>
        <xdr:cNvSpPr/>
      </xdr:nvSpPr>
      <xdr:spPr>
        <a:xfrm>
          <a:off x="2190750" y="2868084"/>
          <a:ext cx="12795250" cy="3513667"/>
        </a:xfrm>
        <a:prstGeom prst="rect">
          <a:avLst/>
        </a:prstGeom>
        <a:noFill/>
        <a:ln w="285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9525</xdr:rowOff>
    </xdr:from>
    <xdr:to>
      <xdr:col>0</xdr:col>
      <xdr:colOff>600075</xdr:colOff>
      <xdr:row>3</xdr:row>
      <xdr:rowOff>9525</xdr:rowOff>
    </xdr:to>
    <xdr:pic>
      <xdr:nvPicPr>
        <xdr:cNvPr id="7" name="Picture 6">
          <a:extLst>
            <a:ext uri="{FF2B5EF4-FFF2-40B4-BE49-F238E27FC236}">
              <a16:creationId xmlns:a16="http://schemas.microsoft.com/office/drawing/2014/main" id="{F33BC7F8-9E3F-408A-BF21-DE928364740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8" name="Picture 7">
          <a:extLst>
            <a:ext uri="{FF2B5EF4-FFF2-40B4-BE49-F238E27FC236}">
              <a16:creationId xmlns:a16="http://schemas.microsoft.com/office/drawing/2014/main" id="{E36E4B3F-8EEB-4C39-9950-7025E3788B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9" name="Picture 8">
          <a:hlinkClick xmlns:r="http://schemas.openxmlformats.org/officeDocument/2006/relationships" r:id="rId3"/>
          <a:extLst>
            <a:ext uri="{FF2B5EF4-FFF2-40B4-BE49-F238E27FC236}">
              <a16:creationId xmlns:a16="http://schemas.microsoft.com/office/drawing/2014/main" id="{C921379A-B6C7-40CB-B690-54EBE69015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85525</xdr:colOff>
      <xdr:row>3</xdr:row>
      <xdr:rowOff>70910</xdr:rowOff>
    </xdr:from>
    <xdr:to>
      <xdr:col>0</xdr:col>
      <xdr:colOff>509315</xdr:colOff>
      <xdr:row>5</xdr:row>
      <xdr:rowOff>84667</xdr:rowOff>
    </xdr:to>
    <xdr:pic>
      <xdr:nvPicPr>
        <xdr:cNvPr id="10" name="Picture 9">
          <a:hlinkClick xmlns:r="http://schemas.openxmlformats.org/officeDocument/2006/relationships" r:id="rId4"/>
          <a:extLst>
            <a:ext uri="{FF2B5EF4-FFF2-40B4-BE49-F238E27FC236}">
              <a16:creationId xmlns:a16="http://schemas.microsoft.com/office/drawing/2014/main" id="{B3270528-53CE-49F1-920A-A9A13B55493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5525" y="642410"/>
          <a:ext cx="423790" cy="426507"/>
        </a:xfrm>
        <a:prstGeom prst="rect">
          <a:avLst/>
        </a:prstGeom>
      </xdr:spPr>
    </xdr:pic>
    <xdr:clientData/>
  </xdr:twoCellAnchor>
  <xdr:twoCellAnchor editAs="oneCell">
    <xdr:from>
      <xdr:col>1</xdr:col>
      <xdr:colOff>106891</xdr:colOff>
      <xdr:row>3</xdr:row>
      <xdr:rowOff>87841</xdr:rowOff>
    </xdr:from>
    <xdr:to>
      <xdr:col>1</xdr:col>
      <xdr:colOff>545040</xdr:colOff>
      <xdr:row>5</xdr:row>
      <xdr:rowOff>113240</xdr:rowOff>
    </xdr:to>
    <xdr:pic>
      <xdr:nvPicPr>
        <xdr:cNvPr id="11" name="Picture 10">
          <a:extLst>
            <a:ext uri="{FF2B5EF4-FFF2-40B4-BE49-F238E27FC236}">
              <a16:creationId xmlns:a16="http://schemas.microsoft.com/office/drawing/2014/main" id="{640CCC2C-E071-4D4C-A276-081ECA66AA5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20724" y="659341"/>
          <a:ext cx="438149" cy="438149"/>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2" name="Picture 1">
          <a:extLst>
            <a:ext uri="{FF2B5EF4-FFF2-40B4-BE49-F238E27FC236}">
              <a16:creationId xmlns:a16="http://schemas.microsoft.com/office/drawing/2014/main" id="{3B6250B3-8279-4700-866F-1DC267E310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3" name="Picture 2">
          <a:extLst>
            <a:ext uri="{FF2B5EF4-FFF2-40B4-BE49-F238E27FC236}">
              <a16:creationId xmlns:a16="http://schemas.microsoft.com/office/drawing/2014/main" id="{2E3C9186-0B6D-49AD-B459-3C7E00DCA9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4" name="Picture 3">
          <a:extLst>
            <a:ext uri="{FF2B5EF4-FFF2-40B4-BE49-F238E27FC236}">
              <a16:creationId xmlns:a16="http://schemas.microsoft.com/office/drawing/2014/main" id="{05435A6B-9A8B-4C05-BEE5-1D00E4C63F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5" name="Picture 4">
          <a:extLst>
            <a:ext uri="{FF2B5EF4-FFF2-40B4-BE49-F238E27FC236}">
              <a16:creationId xmlns:a16="http://schemas.microsoft.com/office/drawing/2014/main" id="{BC5638BC-1DEA-4243-B522-86C1873C10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6" name="Picture 5">
          <a:hlinkClick xmlns:r="http://schemas.openxmlformats.org/officeDocument/2006/relationships" r:id="rId2"/>
          <a:extLst>
            <a:ext uri="{FF2B5EF4-FFF2-40B4-BE49-F238E27FC236}">
              <a16:creationId xmlns:a16="http://schemas.microsoft.com/office/drawing/2014/main" id="{90B7CDDE-EC1F-4CAE-B9D1-5CFF9278C0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76201</xdr:colOff>
      <xdr:row>3</xdr:row>
      <xdr:rowOff>76201</xdr:rowOff>
    </xdr:from>
    <xdr:to>
      <xdr:col>0</xdr:col>
      <xdr:colOff>514350</xdr:colOff>
      <xdr:row>5</xdr:row>
      <xdr:rowOff>133350</xdr:rowOff>
    </xdr:to>
    <xdr:pic>
      <xdr:nvPicPr>
        <xdr:cNvPr id="7" name="Picture 6">
          <a:hlinkClick xmlns:r="http://schemas.openxmlformats.org/officeDocument/2006/relationships" r:id="rId3"/>
          <a:extLst>
            <a:ext uri="{FF2B5EF4-FFF2-40B4-BE49-F238E27FC236}">
              <a16:creationId xmlns:a16="http://schemas.microsoft.com/office/drawing/2014/main" id="{5553C1AE-1828-4EA6-AEE6-EAF7A910065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6201" y="647701"/>
          <a:ext cx="438149" cy="438149"/>
        </a:xfrm>
        <a:prstGeom prst="rect">
          <a:avLst/>
        </a:prstGeom>
      </xdr:spPr>
    </xdr:pic>
    <xdr:clientData/>
  </xdr:twoCellAnchor>
  <xdr:twoCellAnchor editAs="oneCell">
    <xdr:from>
      <xdr:col>1</xdr:col>
      <xdr:colOff>114300</xdr:colOff>
      <xdr:row>3</xdr:row>
      <xdr:rowOff>152400</xdr:rowOff>
    </xdr:from>
    <xdr:to>
      <xdr:col>1</xdr:col>
      <xdr:colOff>498788</xdr:colOff>
      <xdr:row>5</xdr:row>
      <xdr:rowOff>114300</xdr:rowOff>
    </xdr:to>
    <xdr:pic>
      <xdr:nvPicPr>
        <xdr:cNvPr id="9" name="Picture 8">
          <a:extLst>
            <a:ext uri="{FF2B5EF4-FFF2-40B4-BE49-F238E27FC236}">
              <a16:creationId xmlns:a16="http://schemas.microsoft.com/office/drawing/2014/main" id="{7E1D48AE-35ED-4C02-A872-8E62CF2FF03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23900" y="723900"/>
          <a:ext cx="384488" cy="34290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600075</xdr:colOff>
      <xdr:row>3</xdr:row>
      <xdr:rowOff>9525</xdr:rowOff>
    </xdr:to>
    <xdr:pic>
      <xdr:nvPicPr>
        <xdr:cNvPr id="2" name="Picture 1">
          <a:extLst>
            <a:ext uri="{FF2B5EF4-FFF2-40B4-BE49-F238E27FC236}">
              <a16:creationId xmlns:a16="http://schemas.microsoft.com/office/drawing/2014/main" id="{25D8F4C1-9C84-49CA-BFD1-997CA2AD67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3" name="Picture 2">
          <a:extLst>
            <a:ext uri="{FF2B5EF4-FFF2-40B4-BE49-F238E27FC236}">
              <a16:creationId xmlns:a16="http://schemas.microsoft.com/office/drawing/2014/main" id="{C06D9336-138F-412B-BBFD-59CB81CDA8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4" name="Picture 3">
          <a:extLst>
            <a:ext uri="{FF2B5EF4-FFF2-40B4-BE49-F238E27FC236}">
              <a16:creationId xmlns:a16="http://schemas.microsoft.com/office/drawing/2014/main" id="{AA7DD53F-9D03-4F2B-8493-47F29E8B75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5" name="Picture 4">
          <a:extLst>
            <a:ext uri="{FF2B5EF4-FFF2-40B4-BE49-F238E27FC236}">
              <a16:creationId xmlns:a16="http://schemas.microsoft.com/office/drawing/2014/main" id="{684BB72D-C741-494B-8319-657427BF4C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6" name="Picture 5">
          <a:extLst>
            <a:ext uri="{FF2B5EF4-FFF2-40B4-BE49-F238E27FC236}">
              <a16:creationId xmlns:a16="http://schemas.microsoft.com/office/drawing/2014/main" id="{62EB8E5F-1A86-4CAD-B1A1-99115F3372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9525</xdr:rowOff>
    </xdr:to>
    <xdr:pic>
      <xdr:nvPicPr>
        <xdr:cNvPr id="7" name="Picture 6">
          <a:hlinkClick xmlns:r="http://schemas.openxmlformats.org/officeDocument/2006/relationships" r:id="rId2"/>
          <a:extLst>
            <a:ext uri="{FF2B5EF4-FFF2-40B4-BE49-F238E27FC236}">
              <a16:creationId xmlns:a16="http://schemas.microsoft.com/office/drawing/2014/main" id="{441FD8B4-273E-42C1-8216-EA8D33BE59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85726</xdr:colOff>
      <xdr:row>3</xdr:row>
      <xdr:rowOff>76201</xdr:rowOff>
    </xdr:from>
    <xdr:to>
      <xdr:col>0</xdr:col>
      <xdr:colOff>523875</xdr:colOff>
      <xdr:row>5</xdr:row>
      <xdr:rowOff>133350</xdr:rowOff>
    </xdr:to>
    <xdr:pic>
      <xdr:nvPicPr>
        <xdr:cNvPr id="8" name="Picture 7">
          <a:hlinkClick xmlns:r="http://schemas.openxmlformats.org/officeDocument/2006/relationships" r:id="rId3"/>
          <a:extLst>
            <a:ext uri="{FF2B5EF4-FFF2-40B4-BE49-F238E27FC236}">
              <a16:creationId xmlns:a16="http://schemas.microsoft.com/office/drawing/2014/main" id="{B1F7BFD0-3290-4A47-91CB-562718AEE07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5726" y="647701"/>
          <a:ext cx="438149" cy="438149"/>
        </a:xfrm>
        <a:prstGeom prst="rect">
          <a:avLst/>
        </a:prstGeom>
      </xdr:spPr>
    </xdr:pic>
    <xdr:clientData/>
  </xdr:twoCellAnchor>
  <xdr:twoCellAnchor editAs="oneCell">
    <xdr:from>
      <xdr:col>1</xdr:col>
      <xdr:colOff>133350</xdr:colOff>
      <xdr:row>3</xdr:row>
      <xdr:rowOff>161925</xdr:rowOff>
    </xdr:from>
    <xdr:to>
      <xdr:col>1</xdr:col>
      <xdr:colOff>495300</xdr:colOff>
      <xdr:row>5</xdr:row>
      <xdr:rowOff>103725</xdr:rowOff>
    </xdr:to>
    <xdr:pic>
      <xdr:nvPicPr>
        <xdr:cNvPr id="9" name="Picture 8">
          <a:extLst>
            <a:ext uri="{FF2B5EF4-FFF2-40B4-BE49-F238E27FC236}">
              <a16:creationId xmlns:a16="http://schemas.microsoft.com/office/drawing/2014/main" id="{4718934F-B08D-4AD4-BE83-7CCFC22244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42950" y="733425"/>
          <a:ext cx="361950" cy="32280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xdr:from>
      <xdr:col>4</xdr:col>
      <xdr:colOff>300036</xdr:colOff>
      <xdr:row>6</xdr:row>
      <xdr:rowOff>128587</xdr:rowOff>
    </xdr:from>
    <xdr:to>
      <xdr:col>13</xdr:col>
      <xdr:colOff>257174</xdr:colOff>
      <xdr:row>29</xdr:row>
      <xdr:rowOff>9525</xdr:rowOff>
    </xdr:to>
    <xdr:graphicFrame macro="">
      <xdr:nvGraphicFramePr>
        <xdr:cNvPr id="2" name="Chart 1">
          <a:extLst>
            <a:ext uri="{FF2B5EF4-FFF2-40B4-BE49-F238E27FC236}">
              <a16:creationId xmlns:a16="http://schemas.microsoft.com/office/drawing/2014/main" id="{36A262DE-E9D4-429E-A7F9-2EEE8ACE31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552450</xdr:colOff>
      <xdr:row>15</xdr:row>
      <xdr:rowOff>28575</xdr:rowOff>
    </xdr:from>
    <xdr:to>
      <xdr:col>15</xdr:col>
      <xdr:colOff>1133475</xdr:colOff>
      <xdr:row>23</xdr:row>
      <xdr:rowOff>19050</xdr:rowOff>
    </xdr:to>
    <mc:AlternateContent xmlns:mc="http://schemas.openxmlformats.org/markup-compatibility/2006" xmlns:a14="http://schemas.microsoft.com/office/drawing/2010/main">
      <mc:Choice Requires="a14">
        <xdr:graphicFrame macro="">
          <xdr:nvGraphicFramePr>
            <xdr:cNvPr id="3" name="Ano 1">
              <a:extLst>
                <a:ext uri="{FF2B5EF4-FFF2-40B4-BE49-F238E27FC236}">
                  <a16:creationId xmlns:a16="http://schemas.microsoft.com/office/drawing/2014/main" id="{2F7A4886-1E1D-48A5-9DAB-AA345334B655}"/>
                </a:ext>
              </a:extLst>
            </xdr:cNvPr>
            <xdr:cNvGraphicFramePr/>
          </xdr:nvGraphicFramePr>
          <xdr:xfrm>
            <a:off x="0" y="0"/>
            <a:ext cx="0" cy="0"/>
          </xdr:xfrm>
          <a:graphic>
            <a:graphicData uri="http://schemas.microsoft.com/office/drawing/2010/slicer">
              <sle:slicer xmlns:sle="http://schemas.microsoft.com/office/drawing/2010/slicer" name="Ano 1"/>
            </a:graphicData>
          </a:graphic>
        </xdr:graphicFrame>
      </mc:Choice>
      <mc:Fallback xmlns="">
        <xdr:sp macro="" textlink="">
          <xdr:nvSpPr>
            <xdr:cNvPr id="0" name=""/>
            <xdr:cNvSpPr>
              <a:spLocks noTextEdit="1"/>
            </xdr:cNvSpPr>
          </xdr:nvSpPr>
          <xdr:spPr>
            <a:xfrm>
              <a:off x="12230100" y="2905125"/>
              <a:ext cx="186690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9525</xdr:rowOff>
    </xdr:from>
    <xdr:to>
      <xdr:col>0</xdr:col>
      <xdr:colOff>600075</xdr:colOff>
      <xdr:row>3</xdr:row>
      <xdr:rowOff>0</xdr:rowOff>
    </xdr:to>
    <xdr:pic>
      <xdr:nvPicPr>
        <xdr:cNvPr id="4" name="Picture 3">
          <a:extLst>
            <a:ext uri="{FF2B5EF4-FFF2-40B4-BE49-F238E27FC236}">
              <a16:creationId xmlns:a16="http://schemas.microsoft.com/office/drawing/2014/main" id="{429AEB4B-1E77-400F-9E8A-30C0F97097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0</xdr:rowOff>
    </xdr:to>
    <xdr:pic>
      <xdr:nvPicPr>
        <xdr:cNvPr id="5" name="Picture 4">
          <a:extLst>
            <a:ext uri="{FF2B5EF4-FFF2-40B4-BE49-F238E27FC236}">
              <a16:creationId xmlns:a16="http://schemas.microsoft.com/office/drawing/2014/main" id="{3B1EF46F-6272-456C-9A66-5E34FD0A7C8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0</xdr:rowOff>
    </xdr:to>
    <xdr:pic>
      <xdr:nvPicPr>
        <xdr:cNvPr id="6" name="Picture 5">
          <a:extLst>
            <a:ext uri="{FF2B5EF4-FFF2-40B4-BE49-F238E27FC236}">
              <a16:creationId xmlns:a16="http://schemas.microsoft.com/office/drawing/2014/main" id="{F706E90F-D24F-4DF8-8F79-C5259E3A9FD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0</xdr:rowOff>
    </xdr:to>
    <xdr:pic>
      <xdr:nvPicPr>
        <xdr:cNvPr id="7" name="Picture 6">
          <a:extLst>
            <a:ext uri="{FF2B5EF4-FFF2-40B4-BE49-F238E27FC236}">
              <a16:creationId xmlns:a16="http://schemas.microsoft.com/office/drawing/2014/main" id="{EE8B824C-2C63-4671-85E9-B585B60E151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0</xdr:colOff>
      <xdr:row>0</xdr:row>
      <xdr:rowOff>9525</xdr:rowOff>
    </xdr:from>
    <xdr:to>
      <xdr:col>0</xdr:col>
      <xdr:colOff>600075</xdr:colOff>
      <xdr:row>3</xdr:row>
      <xdr:rowOff>0</xdr:rowOff>
    </xdr:to>
    <xdr:pic>
      <xdr:nvPicPr>
        <xdr:cNvPr id="8" name="Picture 7">
          <a:hlinkClick xmlns:r="http://schemas.openxmlformats.org/officeDocument/2006/relationships" r:id="rId3"/>
          <a:extLst>
            <a:ext uri="{FF2B5EF4-FFF2-40B4-BE49-F238E27FC236}">
              <a16:creationId xmlns:a16="http://schemas.microsoft.com/office/drawing/2014/main" id="{138C8915-C7CD-4F6F-AFAC-8226179C27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9525"/>
          <a:ext cx="600075" cy="571500"/>
        </a:xfrm>
        <a:prstGeom prst="rect">
          <a:avLst/>
        </a:prstGeom>
      </xdr:spPr>
    </xdr:pic>
    <xdr:clientData/>
  </xdr:twoCellAnchor>
  <xdr:twoCellAnchor editAs="oneCell">
    <xdr:from>
      <xdr:col>0</xdr:col>
      <xdr:colOff>104777</xdr:colOff>
      <xdr:row>3</xdr:row>
      <xdr:rowOff>95252</xdr:rowOff>
    </xdr:from>
    <xdr:to>
      <xdr:col>0</xdr:col>
      <xdr:colOff>533401</xdr:colOff>
      <xdr:row>5</xdr:row>
      <xdr:rowOff>142876</xdr:rowOff>
    </xdr:to>
    <xdr:pic>
      <xdr:nvPicPr>
        <xdr:cNvPr id="9" name="Picture 8">
          <a:hlinkClick xmlns:r="http://schemas.openxmlformats.org/officeDocument/2006/relationships" r:id="rId4"/>
          <a:extLst>
            <a:ext uri="{FF2B5EF4-FFF2-40B4-BE49-F238E27FC236}">
              <a16:creationId xmlns:a16="http://schemas.microsoft.com/office/drawing/2014/main" id="{C3528851-E427-4523-A879-E949448DE9C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777" y="676277"/>
          <a:ext cx="428624" cy="428624"/>
        </a:xfrm>
        <a:prstGeom prst="rect">
          <a:avLst/>
        </a:prstGeom>
      </xdr:spPr>
    </xdr:pic>
    <xdr:clientData/>
  </xdr:twoCellAnchor>
  <xdr:twoCellAnchor editAs="oneCell">
    <xdr:from>
      <xdr:col>1</xdr:col>
      <xdr:colOff>95250</xdr:colOff>
      <xdr:row>3</xdr:row>
      <xdr:rowOff>123824</xdr:rowOff>
    </xdr:from>
    <xdr:to>
      <xdr:col>1</xdr:col>
      <xdr:colOff>504825</xdr:colOff>
      <xdr:row>5</xdr:row>
      <xdr:rowOff>108098</xdr:rowOff>
    </xdr:to>
    <xdr:pic>
      <xdr:nvPicPr>
        <xdr:cNvPr id="10" name="Picture 9">
          <a:extLst>
            <a:ext uri="{FF2B5EF4-FFF2-40B4-BE49-F238E27FC236}">
              <a16:creationId xmlns:a16="http://schemas.microsoft.com/office/drawing/2014/main" id="{6B367D24-8070-4D5D-9F76-A6ADFA1B6F4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4850" y="704849"/>
          <a:ext cx="409575" cy="36527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heus Moreira" refreshedDate="44718.605504282408" createdVersion="6" refreshedVersion="6" minRefreshableVersion="3" recordCount="13" xr:uid="{C72CEBF0-631F-402D-A46B-5E58582761B2}">
  <cacheSource type="worksheet">
    <worksheetSource name="Table2"/>
  </cacheSource>
  <cacheFields count="35">
    <cacheField name="Data de Registro" numFmtId="0">
      <sharedItems containsNonDate="0" containsString="0" containsBlank="1"/>
    </cacheField>
    <cacheField name="Cliente" numFmtId="0">
      <sharedItems count="14">
        <s v="Leda"/>
        <s v="Mário"/>
        <s v="Ana Cláudia"/>
        <s v="Catarina"/>
        <s v="Adilson"/>
        <s v="Alexandre"/>
        <s v="João"/>
        <s v="Maria"/>
        <s v="Solange"/>
        <s v="Marcelo"/>
        <s v="Luiz"/>
        <s v="Joana"/>
        <s v="Dejean"/>
        <s v="Sem especificação" u="1"/>
      </sharedItems>
    </cacheField>
    <cacheField name="Endereço" numFmtId="0">
      <sharedItems containsNonDate="0" containsString="0" containsBlank="1"/>
    </cacheField>
    <cacheField name="Bairro" numFmtId="0">
      <sharedItems containsNonDate="0" containsString="0" containsBlank="1"/>
    </cacheField>
    <cacheField name="Cidade" numFmtId="0">
      <sharedItems containsNonDate="0" containsString="0" containsBlank="1"/>
    </cacheField>
    <cacheField name="Estado" numFmtId="0">
      <sharedItems containsNonDate="0" containsString="0" containsBlank="1"/>
    </cacheField>
    <cacheField name="Número Tel" numFmtId="0">
      <sharedItems containsNonDate="0" containsString="0" containsBlank="1"/>
    </cacheField>
    <cacheField name="Data de Aniversário" numFmtId="16">
      <sharedItems containsSemiMixedTypes="0" containsNonDate="0" containsDate="1" containsString="0" minDate="2022-02-22T00:00:00" maxDate="2022-12-21T00:00:00"/>
    </cacheField>
    <cacheField name="Aniversário" numFmtId="0">
      <sharedItems/>
    </cacheField>
    <cacheField name="Total Ganho" numFmtId="44">
      <sharedItems containsSemiMixedTypes="0" containsString="0" containsNumber="1" containsInteger="1" minValue="0" maxValue="1800000"/>
    </cacheField>
    <cacheField name="Total Gasto" numFmtId="44">
      <sharedItems containsSemiMixedTypes="0" containsString="0" containsNumber="1" containsInteger="1" minValue="0" maxValue="14000"/>
    </cacheField>
    <cacheField name="Lucro" numFmtId="44">
      <sharedItems containsSemiMixedTypes="0" containsString="0" containsNumber="1" containsInteger="1" minValue="-7200" maxValue="1800000"/>
    </cacheField>
    <cacheField name="Score" numFmtId="0">
      <sharedItems containsMixedTypes="1" containsNumber="1" containsInteger="1" minValue="34" maxValue="80"/>
    </cacheField>
    <cacheField name="-------" numFmtId="0">
      <sharedItems containsNonDate="0" containsString="0" containsBlank="1"/>
    </cacheField>
    <cacheField name="Compra" numFmtId="0">
      <sharedItems containsSemiMixedTypes="0" containsString="0" containsNumber="1" containsInteger="1" minValue="0" maxValue="1800000"/>
    </cacheField>
    <cacheField name="Primeiro Registro" numFmtId="14">
      <sharedItems containsDate="1" containsMixedTypes="1" minDate="2022-05-07T00:00:00" maxDate="2022-07-21T00:00:00"/>
    </cacheField>
    <cacheField name="Último Registro" numFmtId="14">
      <sharedItems containsDate="1" containsMixedTypes="1" minDate="2021-05-20T00:00:00" maxDate="2022-07-21T00:00:00"/>
    </cacheField>
    <cacheField name="Tempo" numFmtId="0">
      <sharedItems containsMixedTypes="1" containsNumber="1" containsInteger="1" minValue="-2" maxValue="1"/>
    </cacheField>
    <cacheField name="Nº de compras" numFmtId="0">
      <sharedItems containsSemiMixedTypes="0" containsString="0" containsNumber="1" containsInteger="1" minValue="0" maxValue="5"/>
    </cacheField>
    <cacheField name="Compra Média" numFmtId="4">
      <sharedItems containsMixedTypes="1" containsNumber="1" minValue="40" maxValue="1800000"/>
    </cacheField>
    <cacheField name="Recência" numFmtId="0">
      <sharedItems containsMixedTypes="1" containsNumber="1" containsInteger="1" minValue="0" maxValue="12"/>
    </cacheField>
    <cacheField name="À Vista" numFmtId="0">
      <sharedItems containsSemiMixedTypes="0" containsString="0" containsNumber="1" containsInteger="1" minValue="0" maxValue="1800000"/>
    </cacheField>
    <cacheField name="Cartão" numFmtId="0">
      <sharedItems containsSemiMixedTypes="0" containsString="0" containsNumber="1" containsInteger="1" minValue="0" maxValue="70850"/>
    </cacheField>
    <cacheField name="Parcelado" numFmtId="0">
      <sharedItems containsSemiMixedTypes="0" containsString="0" containsNumber="1" containsInteger="1" minValue="0" maxValue="35000"/>
    </cacheField>
    <cacheField name="Maior valor" numFmtId="0">
      <sharedItems containsSemiMixedTypes="0" containsString="0" containsNumber="1" containsInteger="1" minValue="0" maxValue="1800000"/>
    </cacheField>
    <cacheField name="Nota Pgto" numFmtId="0">
      <sharedItems containsSemiMixedTypes="0" containsString="0" containsNumber="1" containsInteger="1" minValue="20" maxValue="60"/>
    </cacheField>
    <cacheField name="Nota Tempo" numFmtId="0">
      <sharedItems containsMixedTypes="1" containsNumber="1" containsInteger="1" minValue="20" maxValue="20"/>
    </cacheField>
    <cacheField name="Nota Compra" numFmtId="0">
      <sharedItems containsSemiMixedTypes="0" containsString="0" containsNumber="1" containsInteger="1" minValue="20" maxValue="100"/>
    </cacheField>
    <cacheField name="Nota Compra Média" numFmtId="0">
      <sharedItems containsMixedTypes="1" containsNumber="1" containsInteger="1" minValue="20" maxValue="100"/>
    </cacheField>
    <cacheField name="Nota Recência" numFmtId="0">
      <sharedItems containsMixedTypes="1" containsNumber="1" containsInteger="1" minValue="20" maxValue="100"/>
    </cacheField>
    <cacheField name="Ponderado Tempo" numFmtId="0">
      <sharedItems containsMixedTypes="1" containsNumber="1" containsInteger="1" minValue="4" maxValue="4"/>
    </cacheField>
    <cacheField name="Ponderado Valor Compra" numFmtId="0">
      <sharedItems containsSemiMixedTypes="0" containsString="0" containsNumber="1" containsInteger="1" minValue="7" maxValue="35"/>
    </cacheField>
    <cacheField name="Ponderado Compra Média" numFmtId="0">
      <sharedItems containsMixedTypes="1" containsNumber="1" containsInteger="1" minValue="4" maxValue="20"/>
    </cacheField>
    <cacheField name="Ponderado Recência" numFmtId="0">
      <sharedItems containsMixedTypes="1" containsNumber="1" containsInteger="1" minValue="3" maxValue="15"/>
    </cacheField>
    <cacheField name="Ponderado Pgto" numFmtId="0">
      <sharedItems containsSemiMixedTypes="0" containsString="0" containsNumber="1" containsInteger="1" minValue="2" maxValue="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atheus Moreira" refreshedDate="44718.826750578701" createdVersion="6" refreshedVersion="6" minRefreshableVersion="3" recordCount="6" xr:uid="{C4C29B9E-CE6B-4BD2-9032-414976AC08C0}">
  <cacheSource type="worksheet">
    <worksheetSource name="Tab_Estoque"/>
  </cacheSource>
  <cacheFields count="9">
    <cacheField name="Produto" numFmtId="0">
      <sharedItems count="6">
        <s v="Camera Intelbras"/>
        <s v="Caixa de Som"/>
        <s v="Cabo de Rede"/>
        <s v="Filtro de Linha 1"/>
        <s v="Filtro de Linha 2"/>
        <s v="Filtro de Linha 3"/>
      </sharedItems>
    </cacheField>
    <cacheField name="Quantidade no Estoque" numFmtId="0">
      <sharedItems containsSemiMixedTypes="0" containsString="0" containsNumber="1" containsInteger="1" minValue="-20" maxValue="7"/>
    </cacheField>
    <cacheField name="Valor Unitário" numFmtId="0">
      <sharedItems containsNonDate="0" containsString="0" containsBlank="1"/>
    </cacheField>
    <cacheField name="Quantidade de Vendas" numFmtId="0">
      <sharedItems containsSemiMixedTypes="0" containsString="0" containsNumber="1" containsInteger="1" minValue="0" maxValue="26"/>
    </cacheField>
    <cacheField name="Total Ganho" numFmtId="44">
      <sharedItems containsSemiMixedTypes="0" containsString="0" containsNumber="1" containsInteger="1" minValue="0" maxValue="1807150"/>
    </cacheField>
    <cacheField name="Total Gasto" numFmtId="44">
      <sharedItems containsSemiMixedTypes="0" containsString="0" containsNumber="1" containsInteger="1" minValue="0" maxValue="20900"/>
    </cacheField>
    <cacheField name="Lucro" numFmtId="44">
      <sharedItems containsSemiMixedTypes="0" containsString="0" containsNumber="1" containsInteger="1" minValue="-300" maxValue="1807100"/>
    </cacheField>
    <cacheField name="Preço Médio" numFmtId="44">
      <sharedItems containsMixedTypes="1" containsNumber="1" minValue="60" maxValue="168066.66666666666"/>
    </cacheField>
    <cacheField name="Percentual de Lucro por Produto" numFmtId="10">
      <sharedItems containsMixedTypes="1" containsNumber="1" minValue="-1" maxValue="361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atheus Moreira" refreshedDate="44718.826750810185" createdVersion="6" refreshedVersion="6" minRefreshableVersion="3" recordCount="48" xr:uid="{4B8C1FA1-A9CE-43B6-90B7-4972B9D48FDB}">
  <cacheSource type="worksheet">
    <worksheetSource name="Tab_Fluxo"/>
  </cacheSource>
  <cacheFields count="16">
    <cacheField name="Data" numFmtId="14">
      <sharedItems containsSemiMixedTypes="0" containsNonDate="0" containsDate="1" containsString="0" minDate="2020-06-03T00:00:00" maxDate="2023-05-21T00:00:00"/>
    </cacheField>
    <cacheField name="Tipo" numFmtId="0">
      <sharedItems count="2">
        <s v="Saídas"/>
        <s v="Entradas"/>
      </sharedItems>
    </cacheField>
    <cacheField name="Categoria" numFmtId="0">
      <sharedItems count="10">
        <s v="Investimentos"/>
        <s v="Serviços"/>
        <s v="Vendas"/>
        <s v="Compras"/>
        <s v="Transporte"/>
        <s v="Alimentação"/>
        <s v="Mao_de_Obra"/>
        <s v="Emergências"/>
        <s v="Salário" u="1"/>
        <s v="Comida" u="1"/>
      </sharedItems>
    </cacheField>
    <cacheField name="Subcategoria" numFmtId="0">
      <sharedItems count="12">
        <s v="Equipamentos"/>
        <s v="Obra"/>
        <s v="Visita"/>
        <s v="Venda Cliente"/>
        <s v="Compra Loja"/>
        <s v="Manutenção"/>
        <s v="Venda Loja"/>
        <s v="Compra Cliente"/>
        <s v="Compra Estoque"/>
        <s v="Loja" u="1"/>
        <s v="Cliente" u="1"/>
        <s v="Vendas Cliente" u="1"/>
      </sharedItems>
    </cacheField>
    <cacheField name="Cliente" numFmtId="0">
      <sharedItems containsBlank="1" count="14">
        <m/>
        <s v="Leda"/>
        <s v="Ana Cláudia"/>
        <s v="Catarina"/>
        <s v="Adilson"/>
        <s v="Alexandre"/>
        <s v="Solange"/>
        <s v="Marcelo"/>
        <s v="Joana"/>
        <s v="João"/>
        <s v="Dejean"/>
        <s v="Maria"/>
        <s v="Luiz"/>
        <s v="Sem especificação" u="1"/>
      </sharedItems>
    </cacheField>
    <cacheField name="Projeto" numFmtId="0">
      <sharedItems containsBlank="1" count="7">
        <m/>
        <s v="Projeto Alphaville"/>
        <s v="Projeto Itacimirim"/>
        <s v="Projeto Vitória"/>
        <s v="Projeto Pituba"/>
        <s v="Sem especificação"/>
        <s v="Projeto Lauro de Freitas"/>
      </sharedItems>
    </cacheField>
    <cacheField name="Método de Pagto" numFmtId="0">
      <sharedItems containsBlank="1"/>
    </cacheField>
    <cacheField name="Produto" numFmtId="0">
      <sharedItems containsBlank="1" count="8">
        <m/>
        <s v="Camera Intelbras"/>
        <s v="Caixa de Som"/>
        <s v="Cabo de Rede"/>
        <s v="Filtro de Linha"/>
        <s v="Filtro de Linha 2"/>
        <s v="Filtro de Linha 3"/>
        <s v="Filtro de Linha 1"/>
      </sharedItems>
    </cacheField>
    <cacheField name="Quantidade" numFmtId="0">
      <sharedItems containsSemiMixedTypes="0" containsString="0" containsNumber="1" containsInteger="1" minValue="1" maxValue="9"/>
    </cacheField>
    <cacheField name="Valor Unitário" numFmtId="44">
      <sharedItems containsSemiMixedTypes="0" containsString="0" containsNumber="1" containsInteger="1" minValue="20" maxValue="1000000"/>
    </cacheField>
    <cacheField name="Valor Total" numFmtId="44">
      <sharedItems containsSemiMixedTypes="0" containsString="0" containsNumber="1" containsInteger="1" minValue="20" maxValue="1800000"/>
    </cacheField>
    <cacheField name="Saldo" numFmtId="44">
      <sharedItems containsSemiMixedTypes="0" containsString="0" containsNumber="1" containsInteger="1" minValue="-300" maxValue="2910670"/>
    </cacheField>
    <cacheField name="Detalhamento(Campo Digitado)" numFmtId="0">
      <sharedItems containsBlank="1"/>
    </cacheField>
    <cacheField name="Mês" numFmtId="0">
      <sharedItems containsSemiMixedTypes="0" containsString="0" containsNumber="1" containsInteger="1" minValue="1" maxValue="7" count="5">
        <n v="5"/>
        <n v="6"/>
        <n v="7"/>
        <n v="2"/>
        <n v="1"/>
      </sharedItems>
    </cacheField>
    <cacheField name="Ano" numFmtId="0">
      <sharedItems containsSemiMixedTypes="0" containsString="0" containsNumber="1" containsInteger="1" minValue="2020" maxValue="2023" count="4">
        <n v="2022"/>
        <n v="2023"/>
        <n v="2021"/>
        <n v="2020"/>
      </sharedItems>
    </cacheField>
    <cacheField name="Valor (Aux)" numFmtId="0">
      <sharedItems containsSemiMixedTypes="0" containsString="0" containsNumber="1" containsInteger="1" minValue="-14000" maxValue="1800000"/>
    </cacheField>
  </cacheFields>
  <extLst>
    <ext xmlns:x14="http://schemas.microsoft.com/office/spreadsheetml/2009/9/main" uri="{725AE2AE-9491-48be-B2B4-4EB974FC3084}">
      <x14:pivotCacheDefinition pivotCacheId="9500204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m/>
    <x v="0"/>
    <m/>
    <m/>
    <m/>
    <m/>
    <m/>
    <d v="2022-06-06T00:00:00"/>
    <s v="Hoje é o seu aniversário!"/>
    <n v="2300"/>
    <n v="0"/>
    <n v="2300"/>
    <n v="54"/>
    <m/>
    <n v="2300"/>
    <d v="2022-05-07T00:00:00"/>
    <d v="2022-05-13T00:00:00"/>
    <n v="1"/>
    <n v="3"/>
    <n v="766.66666666666663"/>
    <n v="0"/>
    <n v="2300"/>
    <n v="0"/>
    <n v="0"/>
    <n v="2300"/>
    <n v="60"/>
    <n v="20"/>
    <n v="60"/>
    <n v="40"/>
    <n v="100"/>
    <n v="4"/>
    <n v="21"/>
    <n v="8"/>
    <n v="15"/>
    <n v="6"/>
  </r>
  <r>
    <m/>
    <x v="1"/>
    <m/>
    <m/>
    <m/>
    <m/>
    <m/>
    <d v="2022-02-22T00:00:00"/>
    <s v=""/>
    <n v="0"/>
    <n v="0"/>
    <n v="0"/>
    <e v="#NUM!"/>
    <m/>
    <n v="0"/>
    <e v="#NUM!"/>
    <e v="#NUM!"/>
    <e v="#NUM!"/>
    <n v="0"/>
    <e v="#DIV/0!"/>
    <e v="#NUM!"/>
    <n v="0"/>
    <n v="0"/>
    <n v="0"/>
    <n v="0"/>
    <n v="60"/>
    <e v="#NUM!"/>
    <n v="20"/>
    <e v="#DIV/0!"/>
    <e v="#NUM!"/>
    <e v="#NUM!"/>
    <n v="7"/>
    <e v="#DIV/0!"/>
    <e v="#NUM!"/>
    <n v="6"/>
  </r>
  <r>
    <m/>
    <x v="2"/>
    <m/>
    <m/>
    <m/>
    <m/>
    <m/>
    <d v="2022-03-20T00:00:00"/>
    <s v=""/>
    <n v="40"/>
    <n v="300"/>
    <n v="-260"/>
    <n v="36"/>
    <m/>
    <n v="40"/>
    <d v="2022-05-08T00:00:00"/>
    <d v="2022-05-20T00:00:00"/>
    <n v="0"/>
    <n v="1"/>
    <n v="40"/>
    <n v="0"/>
    <n v="40"/>
    <n v="0"/>
    <n v="0"/>
    <n v="40"/>
    <n v="60"/>
    <n v="20"/>
    <n v="20"/>
    <n v="20"/>
    <n v="100"/>
    <n v="4"/>
    <n v="7"/>
    <n v="4"/>
    <n v="15"/>
    <n v="6"/>
  </r>
  <r>
    <m/>
    <x v="3"/>
    <m/>
    <m/>
    <m/>
    <m/>
    <m/>
    <d v="2022-04-20T00:00:00"/>
    <s v=""/>
    <n v="70850"/>
    <n v="220"/>
    <n v="70630"/>
    <n v="66"/>
    <m/>
    <n v="70850"/>
    <d v="2022-05-12T00:00:00"/>
    <d v="2021-05-20T00:00:00"/>
    <n v="0"/>
    <n v="5"/>
    <n v="14170"/>
    <n v="12"/>
    <n v="0"/>
    <n v="70850"/>
    <n v="0"/>
    <n v="70850"/>
    <n v="40"/>
    <n v="20"/>
    <n v="100"/>
    <n v="100"/>
    <n v="20"/>
    <n v="4"/>
    <n v="35"/>
    <n v="20"/>
    <n v="3"/>
    <n v="4"/>
  </r>
  <r>
    <m/>
    <x v="4"/>
    <m/>
    <m/>
    <m/>
    <m/>
    <m/>
    <d v="2022-06-06T00:00:00"/>
    <s v="Hoje é o seu aniversário!"/>
    <n v="10500"/>
    <n v="200"/>
    <n v="10300"/>
    <n v="80"/>
    <m/>
    <n v="10500"/>
    <d v="2022-05-18T00:00:00"/>
    <d v="2022-06-01T00:00:00"/>
    <n v="0"/>
    <n v="4"/>
    <n v="2625"/>
    <n v="0"/>
    <n v="10000"/>
    <n v="0"/>
    <n v="500"/>
    <n v="10000"/>
    <n v="60"/>
    <n v="20"/>
    <n v="100"/>
    <n v="100"/>
    <n v="100"/>
    <n v="4"/>
    <n v="35"/>
    <n v="20"/>
    <n v="15"/>
    <n v="6"/>
  </r>
  <r>
    <m/>
    <x v="5"/>
    <m/>
    <m/>
    <m/>
    <m/>
    <m/>
    <d v="2022-06-20T00:00:00"/>
    <s v="Seu aniversário é esse mês"/>
    <n v="300"/>
    <n v="50"/>
    <n v="250"/>
    <n v="34"/>
    <m/>
    <n v="300"/>
    <d v="2022-05-18T00:00:00"/>
    <d v="2022-05-19T00:00:00"/>
    <n v="0"/>
    <n v="2"/>
    <n v="150"/>
    <n v="0"/>
    <n v="0"/>
    <n v="300"/>
    <n v="0"/>
    <n v="300"/>
    <n v="40"/>
    <n v="20"/>
    <n v="20"/>
    <n v="20"/>
    <n v="100"/>
    <n v="4"/>
    <n v="7"/>
    <n v="4"/>
    <n v="15"/>
    <n v="4"/>
  </r>
  <r>
    <m/>
    <x v="6"/>
    <m/>
    <m/>
    <m/>
    <m/>
    <m/>
    <d v="2022-06-20T00:00:00"/>
    <s v="Seu aniversário é esse mês"/>
    <n v="35000"/>
    <n v="6000"/>
    <n v="29000"/>
    <n v="76"/>
    <m/>
    <n v="35000"/>
    <d v="2022-05-20T00:00:00"/>
    <d v="2022-05-20T00:00:00"/>
    <n v="0"/>
    <n v="1"/>
    <n v="35000"/>
    <n v="0"/>
    <n v="0"/>
    <n v="0"/>
    <n v="35000"/>
    <n v="35000"/>
    <n v="20"/>
    <n v="20"/>
    <n v="100"/>
    <n v="100"/>
    <n v="100"/>
    <n v="4"/>
    <n v="35"/>
    <n v="20"/>
    <n v="15"/>
    <n v="2"/>
  </r>
  <r>
    <m/>
    <x v="7"/>
    <m/>
    <m/>
    <m/>
    <m/>
    <m/>
    <d v="2022-07-20T00:00:00"/>
    <s v=""/>
    <n v="250"/>
    <n v="0"/>
    <n v="250"/>
    <e v="#N/A"/>
    <m/>
    <n v="250"/>
    <d v="2022-07-20T00:00:00"/>
    <d v="2022-07-20T00:00:00"/>
    <n v="-2"/>
    <n v="1"/>
    <n v="250"/>
    <n v="0"/>
    <n v="250"/>
    <n v="0"/>
    <n v="0"/>
    <n v="250"/>
    <n v="60"/>
    <e v="#N/A"/>
    <n v="20"/>
    <n v="20"/>
    <n v="100"/>
    <e v="#N/A"/>
    <n v="7"/>
    <n v="4"/>
    <n v="15"/>
    <n v="6"/>
  </r>
  <r>
    <m/>
    <x v="8"/>
    <m/>
    <m/>
    <m/>
    <m/>
    <m/>
    <d v="2022-08-20T00:00:00"/>
    <s v=""/>
    <n v="1000"/>
    <n v="300"/>
    <n v="700"/>
    <n v="36"/>
    <m/>
    <n v="1000"/>
    <d v="2022-05-18T00:00:00"/>
    <d v="2022-05-18T00:00:00"/>
    <n v="0"/>
    <n v="1"/>
    <n v="1000"/>
    <n v="0"/>
    <n v="0"/>
    <n v="0"/>
    <n v="1000"/>
    <n v="1000"/>
    <n v="20"/>
    <n v="20"/>
    <n v="20"/>
    <n v="40"/>
    <n v="100"/>
    <n v="4"/>
    <n v="7"/>
    <n v="8"/>
    <n v="15"/>
    <n v="2"/>
  </r>
  <r>
    <m/>
    <x v="9"/>
    <m/>
    <m/>
    <m/>
    <m/>
    <m/>
    <d v="2022-09-20T00:00:00"/>
    <s v=""/>
    <n v="1000120"/>
    <n v="20"/>
    <n v="1000100"/>
    <n v="80"/>
    <m/>
    <n v="1000120"/>
    <d v="2022-05-18T00:00:00"/>
    <d v="2022-06-02T00:00:00"/>
    <n v="0"/>
    <n v="2"/>
    <n v="500060"/>
    <n v="0"/>
    <n v="1000000"/>
    <n v="0"/>
    <n v="120"/>
    <n v="1000000"/>
    <n v="60"/>
    <n v="20"/>
    <n v="100"/>
    <n v="100"/>
    <n v="100"/>
    <n v="4"/>
    <n v="35"/>
    <n v="20"/>
    <n v="15"/>
    <n v="6"/>
  </r>
  <r>
    <m/>
    <x v="10"/>
    <m/>
    <m/>
    <m/>
    <m/>
    <m/>
    <d v="2022-10-20T00:00:00"/>
    <s v=""/>
    <n v="1800000"/>
    <n v="0"/>
    <n v="1800000"/>
    <n v="80"/>
    <m/>
    <n v="1800000"/>
    <d v="2022-06-02T00:00:00"/>
    <d v="2022-06-02T00:00:00"/>
    <n v="0"/>
    <n v="1"/>
    <n v="1800000"/>
    <n v="0"/>
    <n v="1800000"/>
    <n v="0"/>
    <n v="0"/>
    <n v="1800000"/>
    <n v="60"/>
    <n v="20"/>
    <n v="100"/>
    <n v="100"/>
    <n v="100"/>
    <n v="4"/>
    <n v="35"/>
    <n v="20"/>
    <n v="15"/>
    <n v="6"/>
  </r>
  <r>
    <m/>
    <x v="11"/>
    <m/>
    <m/>
    <m/>
    <m/>
    <m/>
    <d v="2022-11-20T00:00:00"/>
    <s v=""/>
    <n v="200"/>
    <n v="0"/>
    <n v="200"/>
    <n v="34"/>
    <m/>
    <n v="200"/>
    <d v="2022-05-18T00:00:00"/>
    <d v="2022-05-18T00:00:00"/>
    <n v="0"/>
    <n v="1"/>
    <n v="200"/>
    <n v="0"/>
    <n v="0"/>
    <n v="200"/>
    <n v="0"/>
    <n v="200"/>
    <n v="40"/>
    <n v="20"/>
    <n v="20"/>
    <n v="20"/>
    <n v="100"/>
    <n v="4"/>
    <n v="7"/>
    <n v="4"/>
    <n v="15"/>
    <n v="4"/>
  </r>
  <r>
    <m/>
    <x v="12"/>
    <m/>
    <m/>
    <m/>
    <m/>
    <m/>
    <d v="2022-12-20T00:00:00"/>
    <s v=""/>
    <n v="6800"/>
    <n v="14000"/>
    <n v="-7200"/>
    <n v="80"/>
    <m/>
    <n v="6800"/>
    <d v="2022-05-20T00:00:00"/>
    <d v="2022-05-20T00:00:00"/>
    <n v="0"/>
    <n v="1"/>
    <n v="6800"/>
    <n v="0"/>
    <n v="6800"/>
    <n v="0"/>
    <n v="0"/>
    <n v="6800"/>
    <n v="60"/>
    <n v="20"/>
    <n v="100"/>
    <n v="100"/>
    <n v="100"/>
    <n v="4"/>
    <n v="35"/>
    <n v="20"/>
    <n v="15"/>
    <n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7"/>
    <m/>
    <n v="6"/>
    <n v="1008400"/>
    <n v="20900"/>
    <n v="987500"/>
    <n v="168066.66666666666"/>
    <n v="47.248803827751196"/>
  </r>
  <r>
    <x v="1"/>
    <n v="-20"/>
    <m/>
    <n v="26"/>
    <n v="112200"/>
    <n v="800"/>
    <n v="111400"/>
    <n v="4315.3846153846152"/>
    <n v="139.25"/>
  </r>
  <r>
    <x v="2"/>
    <n v="-15"/>
    <m/>
    <n v="16"/>
    <n v="1807150"/>
    <n v="50"/>
    <n v="1807100"/>
    <n v="112946.875"/>
    <n v="36142"/>
  </r>
  <r>
    <x v="3"/>
    <n v="-1"/>
    <m/>
    <n v="1"/>
    <n v="2000"/>
    <n v="0"/>
    <n v="2000"/>
    <n v="2000"/>
    <e v="#DIV/0!"/>
  </r>
  <r>
    <x v="4"/>
    <n v="5"/>
    <m/>
    <n v="0"/>
    <n v="0"/>
    <n v="300"/>
    <n v="-300"/>
    <e v="#DIV/0!"/>
    <n v="-1"/>
  </r>
  <r>
    <x v="5"/>
    <n v="0"/>
    <m/>
    <n v="1"/>
    <n v="60"/>
    <n v="30"/>
    <n v="30"/>
    <n v="60"/>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d v="2022-05-07T00:00:00"/>
    <x v="0"/>
    <x v="0"/>
    <x v="0"/>
    <x v="0"/>
    <x v="0"/>
    <s v="Cartão"/>
    <x v="0"/>
    <n v="1"/>
    <n v="300"/>
    <n v="300"/>
    <n v="-300"/>
    <s v="Impressora"/>
    <x v="0"/>
    <x v="0"/>
    <n v="-300"/>
  </r>
  <r>
    <d v="2022-05-08T00:00:00"/>
    <x v="1"/>
    <x v="1"/>
    <x v="1"/>
    <x v="1"/>
    <x v="1"/>
    <s v="À Vista"/>
    <x v="0"/>
    <n v="1"/>
    <n v="2000"/>
    <n v="2000"/>
    <n v="1700"/>
    <m/>
    <x v="0"/>
    <x v="0"/>
    <n v="2000"/>
  </r>
  <r>
    <d v="2022-05-09T00:00:00"/>
    <x v="1"/>
    <x v="1"/>
    <x v="2"/>
    <x v="2"/>
    <x v="2"/>
    <s v="À Vista"/>
    <x v="0"/>
    <n v="1"/>
    <n v="40"/>
    <n v="40"/>
    <n v="1740"/>
    <m/>
    <x v="0"/>
    <x v="0"/>
    <n v="40"/>
  </r>
  <r>
    <d v="2022-05-10T00:00:00"/>
    <x v="1"/>
    <x v="2"/>
    <x v="3"/>
    <x v="1"/>
    <x v="0"/>
    <s v="À Vista"/>
    <x v="1"/>
    <n v="1"/>
    <n v="200"/>
    <n v="200"/>
    <n v="1940"/>
    <m/>
    <x v="0"/>
    <x v="0"/>
    <n v="200"/>
  </r>
  <r>
    <d v="2022-05-11T00:00:00"/>
    <x v="0"/>
    <x v="0"/>
    <x v="0"/>
    <x v="0"/>
    <x v="0"/>
    <s v="Cartão"/>
    <x v="0"/>
    <n v="1"/>
    <n v="200"/>
    <n v="200"/>
    <n v="1740"/>
    <s v="Escada"/>
    <x v="0"/>
    <x v="0"/>
    <n v="-200"/>
  </r>
  <r>
    <d v="2022-05-12T00:00:00"/>
    <x v="0"/>
    <x v="3"/>
    <x v="4"/>
    <x v="0"/>
    <x v="0"/>
    <s v="À Vista"/>
    <x v="1"/>
    <n v="2"/>
    <n v="200"/>
    <n v="400"/>
    <n v="1340"/>
    <m/>
    <x v="0"/>
    <x v="0"/>
    <n v="-400"/>
  </r>
  <r>
    <d v="2022-05-13T00:00:00"/>
    <x v="0"/>
    <x v="4"/>
    <x v="5"/>
    <x v="3"/>
    <x v="0"/>
    <s v="Cartão"/>
    <x v="0"/>
    <n v="1"/>
    <n v="40"/>
    <n v="40"/>
    <n v="1300"/>
    <m/>
    <x v="0"/>
    <x v="0"/>
    <n v="-40"/>
  </r>
  <r>
    <d v="2022-05-13T00:00:00"/>
    <x v="0"/>
    <x v="5"/>
    <x v="5"/>
    <x v="3"/>
    <x v="0"/>
    <s v="Cartão"/>
    <x v="0"/>
    <n v="1"/>
    <n v="40"/>
    <n v="40"/>
    <n v="1260"/>
    <m/>
    <x v="0"/>
    <x v="0"/>
    <n v="-40"/>
  </r>
  <r>
    <d v="2022-05-13T00:00:00"/>
    <x v="0"/>
    <x v="6"/>
    <x v="5"/>
    <x v="3"/>
    <x v="0"/>
    <s v="À Vista"/>
    <x v="0"/>
    <n v="1"/>
    <n v="50"/>
    <n v="50"/>
    <n v="1210"/>
    <m/>
    <x v="0"/>
    <x v="0"/>
    <n v="-50"/>
  </r>
  <r>
    <d v="2022-05-13T00:00:00"/>
    <x v="0"/>
    <x v="7"/>
    <x v="5"/>
    <x v="3"/>
    <x v="0"/>
    <s v="À Vista"/>
    <x v="0"/>
    <n v="1"/>
    <n v="50"/>
    <n v="50"/>
    <n v="1160"/>
    <m/>
    <x v="0"/>
    <x v="0"/>
    <n v="-50"/>
  </r>
  <r>
    <d v="2022-05-13T00:00:00"/>
    <x v="1"/>
    <x v="1"/>
    <x v="5"/>
    <x v="3"/>
    <x v="0"/>
    <s v="Cartão"/>
    <x v="0"/>
    <n v="1"/>
    <n v="200"/>
    <n v="200"/>
    <n v="1360"/>
    <m/>
    <x v="0"/>
    <x v="0"/>
    <n v="200"/>
  </r>
  <r>
    <d v="2022-05-18T00:00:00"/>
    <x v="1"/>
    <x v="1"/>
    <x v="5"/>
    <x v="1"/>
    <x v="3"/>
    <s v="À Vista"/>
    <x v="0"/>
    <n v="1"/>
    <n v="100"/>
    <n v="100"/>
    <n v="1460"/>
    <m/>
    <x v="0"/>
    <x v="0"/>
    <n v="100"/>
  </r>
  <r>
    <d v="2022-05-18T00:00:00"/>
    <x v="1"/>
    <x v="1"/>
    <x v="1"/>
    <x v="4"/>
    <x v="4"/>
    <s v="Parcelado"/>
    <x v="0"/>
    <n v="1"/>
    <n v="500"/>
    <n v="500"/>
    <n v="1960"/>
    <m/>
    <x v="0"/>
    <x v="0"/>
    <n v="500"/>
  </r>
  <r>
    <d v="2022-05-18T00:00:00"/>
    <x v="1"/>
    <x v="1"/>
    <x v="5"/>
    <x v="3"/>
    <x v="5"/>
    <s v="Cartão"/>
    <x v="0"/>
    <n v="1"/>
    <n v="200"/>
    <n v="200"/>
    <n v="2160"/>
    <m/>
    <x v="0"/>
    <x v="0"/>
    <n v="200"/>
  </r>
  <r>
    <d v="2022-05-18T00:00:00"/>
    <x v="1"/>
    <x v="1"/>
    <x v="5"/>
    <x v="3"/>
    <x v="0"/>
    <s v="Cartão"/>
    <x v="0"/>
    <n v="1"/>
    <n v="200"/>
    <n v="200"/>
    <n v="2360"/>
    <m/>
    <x v="0"/>
    <x v="0"/>
    <n v="200"/>
  </r>
  <r>
    <d v="2022-05-18T00:00:00"/>
    <x v="1"/>
    <x v="1"/>
    <x v="5"/>
    <x v="3"/>
    <x v="0"/>
    <s v="Cartão"/>
    <x v="0"/>
    <n v="1"/>
    <n v="250"/>
    <n v="250"/>
    <n v="2610"/>
    <m/>
    <x v="0"/>
    <x v="0"/>
    <n v="250"/>
  </r>
  <r>
    <d v="2022-05-18T00:00:00"/>
    <x v="0"/>
    <x v="4"/>
    <x v="5"/>
    <x v="3"/>
    <x v="0"/>
    <s v="Cartão"/>
    <x v="0"/>
    <n v="1"/>
    <n v="40"/>
    <n v="40"/>
    <n v="2570"/>
    <m/>
    <x v="0"/>
    <x v="0"/>
    <n v="-40"/>
  </r>
  <r>
    <d v="2022-05-18T00:00:00"/>
    <x v="1"/>
    <x v="2"/>
    <x v="6"/>
    <x v="0"/>
    <x v="0"/>
    <s v="Cartão"/>
    <x v="2"/>
    <n v="5"/>
    <n v="200"/>
    <n v="1000"/>
    <n v="3570"/>
    <m/>
    <x v="0"/>
    <x v="0"/>
    <n v="1000"/>
  </r>
  <r>
    <d v="2022-05-18T00:00:00"/>
    <x v="0"/>
    <x v="3"/>
    <x v="4"/>
    <x v="0"/>
    <x v="0"/>
    <s v="À Vista"/>
    <x v="2"/>
    <n v="5"/>
    <n v="100"/>
    <n v="500"/>
    <n v="3070"/>
    <m/>
    <x v="0"/>
    <x v="0"/>
    <n v="-500"/>
  </r>
  <r>
    <d v="2022-05-18T00:00:00"/>
    <x v="1"/>
    <x v="2"/>
    <x v="3"/>
    <x v="5"/>
    <x v="0"/>
    <s v="Cartão"/>
    <x v="2"/>
    <n v="2"/>
    <n v="100"/>
    <n v="200"/>
    <n v="3270"/>
    <m/>
    <x v="0"/>
    <x v="0"/>
    <n v="200"/>
  </r>
  <r>
    <d v="2022-05-18T00:00:00"/>
    <x v="0"/>
    <x v="3"/>
    <x v="7"/>
    <x v="5"/>
    <x v="0"/>
    <s v="Cartão"/>
    <x v="3"/>
    <n v="1"/>
    <n v="50"/>
    <n v="50"/>
    <n v="3220"/>
    <m/>
    <x v="0"/>
    <x v="0"/>
    <n v="-50"/>
  </r>
  <r>
    <d v="2022-05-18T00:00:00"/>
    <x v="1"/>
    <x v="2"/>
    <x v="3"/>
    <x v="6"/>
    <x v="0"/>
    <s v="Parcelado"/>
    <x v="2"/>
    <n v="2"/>
    <n v="500"/>
    <n v="1000"/>
    <n v="4220"/>
    <m/>
    <x v="0"/>
    <x v="0"/>
    <n v="1000"/>
  </r>
  <r>
    <d v="2022-05-18T00:00:00"/>
    <x v="0"/>
    <x v="3"/>
    <x v="7"/>
    <x v="6"/>
    <x v="0"/>
    <s v="Parcelado"/>
    <x v="1"/>
    <n v="3"/>
    <n v="100"/>
    <n v="300"/>
    <n v="3920"/>
    <m/>
    <x v="0"/>
    <x v="0"/>
    <n v="-300"/>
  </r>
  <r>
    <d v="2022-05-18T00:00:00"/>
    <x v="0"/>
    <x v="4"/>
    <x v="2"/>
    <x v="7"/>
    <x v="0"/>
    <s v="Parcelado"/>
    <x v="0"/>
    <n v="1"/>
    <n v="20"/>
    <n v="20"/>
    <n v="3900"/>
    <m/>
    <x v="0"/>
    <x v="0"/>
    <n v="-20"/>
  </r>
  <r>
    <d v="2022-05-18T00:00:00"/>
    <x v="1"/>
    <x v="1"/>
    <x v="2"/>
    <x v="7"/>
    <x v="0"/>
    <s v="Parcelado"/>
    <x v="0"/>
    <n v="1"/>
    <n v="120"/>
    <n v="120"/>
    <n v="4020"/>
    <m/>
    <x v="0"/>
    <x v="0"/>
    <n v="120"/>
  </r>
  <r>
    <d v="2022-05-18T00:00:00"/>
    <x v="1"/>
    <x v="2"/>
    <x v="3"/>
    <x v="8"/>
    <x v="0"/>
    <s v="Cartão"/>
    <x v="1"/>
    <n v="2"/>
    <n v="100"/>
    <n v="200"/>
    <n v="4220"/>
    <m/>
    <x v="0"/>
    <x v="0"/>
    <n v="200"/>
  </r>
  <r>
    <d v="2022-05-18T00:00:00"/>
    <x v="0"/>
    <x v="4"/>
    <x v="1"/>
    <x v="0"/>
    <x v="0"/>
    <s v="À Vista"/>
    <x v="0"/>
    <n v="1"/>
    <n v="50"/>
    <n v="50"/>
    <n v="4170"/>
    <m/>
    <x v="0"/>
    <x v="0"/>
    <n v="-50"/>
  </r>
  <r>
    <d v="2022-05-19T00:00:00"/>
    <x v="0"/>
    <x v="3"/>
    <x v="7"/>
    <x v="4"/>
    <x v="0"/>
    <s v="À Vista"/>
    <x v="1"/>
    <n v="2"/>
    <n v="100"/>
    <n v="200"/>
    <n v="3970"/>
    <m/>
    <x v="0"/>
    <x v="0"/>
    <n v="-200"/>
  </r>
  <r>
    <d v="2022-05-19T00:00:00"/>
    <x v="1"/>
    <x v="2"/>
    <x v="6"/>
    <x v="4"/>
    <x v="0"/>
    <s v="À Vista"/>
    <x v="2"/>
    <n v="2"/>
    <n v="1000"/>
    <n v="2000"/>
    <n v="5970"/>
    <m/>
    <x v="0"/>
    <x v="0"/>
    <n v="2000"/>
  </r>
  <r>
    <d v="2022-05-20T00:00:00"/>
    <x v="1"/>
    <x v="2"/>
    <x v="3"/>
    <x v="5"/>
    <x v="0"/>
    <s v="Cartão"/>
    <x v="3"/>
    <n v="1"/>
    <n v="100"/>
    <n v="100"/>
    <n v="6070"/>
    <m/>
    <x v="0"/>
    <x v="0"/>
    <n v="100"/>
  </r>
  <r>
    <d v="2022-05-20T00:00:00"/>
    <x v="0"/>
    <x v="3"/>
    <x v="7"/>
    <x v="2"/>
    <x v="2"/>
    <s v="Cartão"/>
    <x v="2"/>
    <n v="1"/>
    <n v="300"/>
    <n v="300"/>
    <n v="5770"/>
    <m/>
    <x v="0"/>
    <x v="0"/>
    <n v="-300"/>
  </r>
  <r>
    <d v="2022-05-20T00:00:00"/>
    <x v="1"/>
    <x v="2"/>
    <x v="3"/>
    <x v="9"/>
    <x v="4"/>
    <s v="Parcelado"/>
    <x v="2"/>
    <n v="5"/>
    <n v="7000"/>
    <n v="35000"/>
    <n v="40770"/>
    <m/>
    <x v="0"/>
    <x v="0"/>
    <n v="35000"/>
  </r>
  <r>
    <d v="2022-05-20T00:00:00"/>
    <x v="0"/>
    <x v="3"/>
    <x v="7"/>
    <x v="9"/>
    <x v="4"/>
    <s v="Parcelado"/>
    <x v="1"/>
    <n v="1"/>
    <n v="6000"/>
    <n v="6000"/>
    <n v="34770"/>
    <m/>
    <x v="0"/>
    <x v="0"/>
    <n v="-6000"/>
  </r>
  <r>
    <d v="2022-05-20T00:00:00"/>
    <x v="0"/>
    <x v="3"/>
    <x v="7"/>
    <x v="10"/>
    <x v="6"/>
    <s v="À Vista"/>
    <x v="1"/>
    <n v="5"/>
    <n v="2800"/>
    <n v="14000"/>
    <n v="20770"/>
    <m/>
    <x v="0"/>
    <x v="0"/>
    <n v="-14000"/>
  </r>
  <r>
    <d v="2022-05-20T00:00:00"/>
    <x v="1"/>
    <x v="2"/>
    <x v="3"/>
    <x v="10"/>
    <x v="6"/>
    <s v="À Vista"/>
    <x v="3"/>
    <n v="1"/>
    <n v="6800"/>
    <n v="6800"/>
    <n v="27570"/>
    <m/>
    <x v="0"/>
    <x v="0"/>
    <n v="6800"/>
  </r>
  <r>
    <d v="2022-06-01T00:00:00"/>
    <x v="1"/>
    <x v="2"/>
    <x v="3"/>
    <x v="4"/>
    <x v="0"/>
    <s v="À Vista"/>
    <x v="1"/>
    <n v="1"/>
    <n v="5000"/>
    <n v="5000"/>
    <n v="32570"/>
    <m/>
    <x v="1"/>
    <x v="0"/>
    <n v="5000"/>
  </r>
  <r>
    <d v="2023-05-20T00:00:00"/>
    <x v="1"/>
    <x v="2"/>
    <x v="3"/>
    <x v="4"/>
    <x v="0"/>
    <s v="À Vista"/>
    <x v="1"/>
    <n v="1"/>
    <n v="3000"/>
    <n v="3000"/>
    <n v="35570"/>
    <m/>
    <x v="0"/>
    <x v="1"/>
    <n v="3000"/>
  </r>
  <r>
    <d v="2021-05-20T00:00:00"/>
    <x v="1"/>
    <x v="2"/>
    <x v="6"/>
    <x v="0"/>
    <x v="0"/>
    <m/>
    <x v="2"/>
    <n v="3"/>
    <n v="1000"/>
    <n v="3000"/>
    <n v="38570"/>
    <m/>
    <x v="0"/>
    <x v="2"/>
    <n v="3000"/>
  </r>
  <r>
    <d v="2022-07-20T00:00:00"/>
    <x v="1"/>
    <x v="2"/>
    <x v="6"/>
    <x v="3"/>
    <x v="0"/>
    <s v="Cartão"/>
    <x v="2"/>
    <n v="7"/>
    <n v="10000"/>
    <n v="70000"/>
    <n v="108570"/>
    <m/>
    <x v="2"/>
    <x v="0"/>
    <n v="70000"/>
  </r>
  <r>
    <d v="2022-06-02T00:00:00"/>
    <x v="1"/>
    <x v="2"/>
    <x v="3"/>
    <x v="11"/>
    <x v="0"/>
    <s v="À Vista"/>
    <x v="3"/>
    <n v="5"/>
    <n v="50"/>
    <n v="250"/>
    <n v="108820"/>
    <m/>
    <x v="1"/>
    <x v="0"/>
    <n v="250"/>
  </r>
  <r>
    <d v="2022-06-02T00:00:00"/>
    <x v="1"/>
    <x v="2"/>
    <x v="3"/>
    <x v="12"/>
    <x v="0"/>
    <s v="À Vista"/>
    <x v="3"/>
    <n v="9"/>
    <n v="200000"/>
    <n v="1800000"/>
    <n v="1908820"/>
    <m/>
    <x v="1"/>
    <x v="0"/>
    <n v="1800000"/>
  </r>
  <r>
    <d v="2022-06-02T00:00:00"/>
    <x v="1"/>
    <x v="2"/>
    <x v="3"/>
    <x v="7"/>
    <x v="0"/>
    <s v="À Vista"/>
    <x v="1"/>
    <n v="1"/>
    <n v="1000000"/>
    <n v="1000000"/>
    <n v="2908820"/>
    <m/>
    <x v="1"/>
    <x v="0"/>
    <n v="1000000"/>
  </r>
  <r>
    <d v="2020-06-03T00:00:00"/>
    <x v="0"/>
    <x v="3"/>
    <x v="4"/>
    <x v="0"/>
    <x v="0"/>
    <s v="À Vista"/>
    <x v="4"/>
    <n v="2"/>
    <n v="60"/>
    <n v="120"/>
    <n v="2908700"/>
    <m/>
    <x v="1"/>
    <x v="3"/>
    <n v="-120"/>
  </r>
  <r>
    <d v="2022-02-03T00:00:00"/>
    <x v="1"/>
    <x v="2"/>
    <x v="6"/>
    <x v="0"/>
    <x v="0"/>
    <s v="À Vista"/>
    <x v="4"/>
    <n v="2"/>
    <n v="120"/>
    <n v="240"/>
    <n v="2908940"/>
    <m/>
    <x v="3"/>
    <x v="0"/>
    <n v="240"/>
  </r>
  <r>
    <d v="2022-02-03T00:00:00"/>
    <x v="0"/>
    <x v="3"/>
    <x v="8"/>
    <x v="0"/>
    <x v="0"/>
    <s v="À Vista"/>
    <x v="5"/>
    <n v="5"/>
    <n v="60"/>
    <n v="300"/>
    <n v="2908640"/>
    <m/>
    <x v="3"/>
    <x v="0"/>
    <n v="-300"/>
  </r>
  <r>
    <d v="2022-02-03T00:00:00"/>
    <x v="0"/>
    <x v="3"/>
    <x v="8"/>
    <x v="0"/>
    <x v="0"/>
    <s v="À Vista"/>
    <x v="6"/>
    <n v="1"/>
    <n v="30"/>
    <n v="30"/>
    <n v="2908610"/>
    <m/>
    <x v="3"/>
    <x v="0"/>
    <n v="-30"/>
  </r>
  <r>
    <d v="2022-02-03T00:00:00"/>
    <x v="1"/>
    <x v="2"/>
    <x v="6"/>
    <x v="0"/>
    <x v="0"/>
    <s v="À Vista"/>
    <x v="6"/>
    <n v="1"/>
    <n v="60"/>
    <n v="60"/>
    <n v="2908670"/>
    <m/>
    <x v="3"/>
    <x v="0"/>
    <n v="60"/>
  </r>
  <r>
    <d v="2021-01-03T00:00:00"/>
    <x v="1"/>
    <x v="2"/>
    <x v="6"/>
    <x v="0"/>
    <x v="0"/>
    <s v="À Vista"/>
    <x v="7"/>
    <n v="1"/>
    <n v="2000"/>
    <n v="2000"/>
    <n v="2910670"/>
    <m/>
    <x v="4"/>
    <x v="2"/>
    <n v="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EC3B2F-7461-49C3-828D-89D9FA563081}" name="PivotTable1" cacheId="29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7:E14" firstHeaderRow="0" firstDataRow="1" firstDataCol="1"/>
  <pivotFields count="9">
    <pivotField axis="axisRow" showAll="0">
      <items count="7">
        <item x="2"/>
        <item x="1"/>
        <item x="0"/>
        <item x="3"/>
        <item x="4"/>
        <item x="5"/>
        <item t="default"/>
      </items>
    </pivotField>
    <pivotField showAll="0"/>
    <pivotField showAll="0"/>
    <pivotField dataField="1" showAll="0"/>
    <pivotField numFmtId="44" showAll="0"/>
    <pivotField numFmtId="44" showAll="0"/>
    <pivotField dataField="1" numFmtId="44" showAll="0"/>
    <pivotField showAll="0"/>
    <pivotField showAll="0"/>
  </pivotFields>
  <rowFields count="1">
    <field x="0"/>
  </rowFields>
  <rowItems count="7">
    <i>
      <x/>
    </i>
    <i>
      <x v="1"/>
    </i>
    <i>
      <x v="2"/>
    </i>
    <i>
      <x v="3"/>
    </i>
    <i>
      <x v="4"/>
    </i>
    <i>
      <x v="5"/>
    </i>
    <i t="grand">
      <x/>
    </i>
  </rowItems>
  <colFields count="1">
    <field x="-2"/>
  </colFields>
  <colItems count="2">
    <i>
      <x/>
    </i>
    <i i="1">
      <x v="1"/>
    </i>
  </colItems>
  <dataFields count="2">
    <dataField name="Sum of Quantidade de Vendas" fld="3" baseField="0" baseItem="0"/>
    <dataField name="Sum of Lucro" fld="6" baseField="0" baseItem="0" numFmtId="44"/>
  </dataFields>
  <formats count="1">
    <format dxfId="76">
      <pivotArea outline="0" collapsedLevelsAreSubtotals="1" fieldPosition="0">
        <references count="1">
          <reference field="4294967294" count="1" selected="0">
            <x v="1"/>
          </reference>
        </references>
      </pivotArea>
    </format>
  </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2D6B40-B5F3-42DE-ABA7-FC5C0D4C4AE6}" name="PivotTable2" cacheId="30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C7:D10" firstHeaderRow="1" firstDataRow="1" firstDataCol="1"/>
  <pivotFields count="16">
    <pivotField numFmtId="14" showAll="0"/>
    <pivotField showAll="0"/>
    <pivotField showAll="0"/>
    <pivotField showAll="0"/>
    <pivotField showAll="0"/>
    <pivotField showAll="0"/>
    <pivotField showAll="0"/>
    <pivotField showAll="0">
      <items count="9">
        <item h="1" x="3"/>
        <item x="2"/>
        <item h="1" x="1"/>
        <item h="1" x="4"/>
        <item h="1" x="7"/>
        <item h="1" x="5"/>
        <item h="1" x="6"/>
        <item h="1" x="0"/>
        <item t="default"/>
      </items>
    </pivotField>
    <pivotField showAll="0"/>
    <pivotField numFmtId="44" showAll="0"/>
    <pivotField numFmtId="44" showAll="0"/>
    <pivotField numFmtId="44" showAll="0"/>
    <pivotField showAll="0"/>
    <pivotField showAll="0"/>
    <pivotField axis="axisRow" showAll="0">
      <items count="5">
        <item x="3"/>
        <item x="2"/>
        <item x="0"/>
        <item x="1"/>
        <item t="default"/>
      </items>
    </pivotField>
    <pivotField dataField="1" showAll="0"/>
  </pivotFields>
  <rowFields count="1">
    <field x="14"/>
  </rowFields>
  <rowItems count="3">
    <i>
      <x v="1"/>
    </i>
    <i>
      <x v="2"/>
    </i>
    <i t="grand">
      <x/>
    </i>
  </rowItems>
  <colItems count="1">
    <i/>
  </colItems>
  <dataFields count="1">
    <dataField name="Sum of Valor (Aux)" fld="15" baseField="0"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E02518-416D-4392-AEC9-BE86F1811076}" name="PivotTable3" cacheId="30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C7:F13" firstHeaderRow="1" firstDataRow="2" firstDataCol="1"/>
  <pivotFields count="16">
    <pivotField numFmtId="14" showAll="0"/>
    <pivotField showAll="0"/>
    <pivotField axis="axisCol" showAll="0">
      <items count="11">
        <item h="1" m="1" x="9"/>
        <item sd="0" x="3"/>
        <item h="1" x="7"/>
        <item h="1" x="0"/>
        <item h="1" x="6"/>
        <item h="1" m="1" x="8"/>
        <item h="1" x="4"/>
        <item sd="0" x="2"/>
        <item h="1" x="5"/>
        <item h="1" x="1"/>
        <item t="default"/>
      </items>
    </pivotField>
    <pivotField showAll="0"/>
    <pivotField showAll="0"/>
    <pivotField showAll="0"/>
    <pivotField showAll="0"/>
    <pivotField showAll="0"/>
    <pivotField showAll="0"/>
    <pivotField numFmtId="44" showAll="0"/>
    <pivotField numFmtId="44" showAll="0"/>
    <pivotField numFmtId="44" showAll="0"/>
    <pivotField showAll="0"/>
    <pivotField showAll="0"/>
    <pivotField axis="axisRow" showAll="0">
      <items count="5">
        <item x="3"/>
        <item x="2"/>
        <item x="0"/>
        <item x="1"/>
        <item t="default"/>
      </items>
    </pivotField>
    <pivotField dataField="1" showAll="0"/>
  </pivotFields>
  <rowFields count="1">
    <field x="14"/>
  </rowFields>
  <rowItems count="5">
    <i>
      <x/>
    </i>
    <i>
      <x v="1"/>
    </i>
    <i>
      <x v="2"/>
    </i>
    <i>
      <x v="3"/>
    </i>
    <i t="grand">
      <x/>
    </i>
  </rowItems>
  <colFields count="1">
    <field x="2"/>
  </colFields>
  <colItems count="3">
    <i>
      <x v="1"/>
    </i>
    <i>
      <x v="7"/>
    </i>
    <i t="grand">
      <x/>
    </i>
  </colItems>
  <dataFields count="1">
    <dataField name="Sum of Valor (Aux)" fld="15" baseField="0" baseItem="0"/>
  </dataFields>
  <formats count="1">
    <format dxfId="75">
      <pivotArea outline="0" collapsedLevelsAreSubtotals="1" fieldPosition="0"/>
    </format>
  </formats>
  <chartFormats count="4">
    <chartFormat chart="7" format="1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13" series="1">
      <pivotArea type="data" outline="0" fieldPosition="0">
        <references count="2">
          <reference field="4294967294" count="1" selected="0">
            <x v="0"/>
          </reference>
          <reference field="2" count="1" selected="0">
            <x v="7"/>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B09934-66AC-4CCF-8C83-D5040E6FC6D6}" name="PivotTable1" cacheId="28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7:D21" firstHeaderRow="1" firstDataRow="1" firstDataCol="1"/>
  <pivotFields count="35">
    <pivotField showAll="0"/>
    <pivotField axis="axisRow" showAll="0" sortType="descending">
      <items count="15">
        <item x="4"/>
        <item x="5"/>
        <item x="2"/>
        <item x="3"/>
        <item x="12"/>
        <item x="11"/>
        <item x="6"/>
        <item x="0"/>
        <item x="10"/>
        <item x="9"/>
        <item x="7"/>
        <item x="1"/>
        <item m="1" x="13"/>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umFmtId="44"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4">
    <i>
      <x v="8"/>
    </i>
    <i>
      <x/>
    </i>
    <i>
      <x v="9"/>
    </i>
    <i>
      <x v="4"/>
    </i>
    <i>
      <x v="6"/>
    </i>
    <i>
      <x v="3"/>
    </i>
    <i>
      <x v="7"/>
    </i>
    <i>
      <x v="13"/>
    </i>
    <i>
      <x v="2"/>
    </i>
    <i>
      <x v="5"/>
    </i>
    <i>
      <x v="1"/>
    </i>
    <i>
      <x v="11"/>
    </i>
    <i>
      <x v="10"/>
    </i>
    <i t="grand">
      <x/>
    </i>
  </rowItems>
  <colItems count="1">
    <i/>
  </colItems>
  <dataFields count="1">
    <dataField name="Sum of Score" fld="12" baseField="0" baseItem="4"/>
  </dataFields>
  <formats count="18">
    <format dxfId="47">
      <pivotArea type="all" dataOnly="0" outline="0" fieldPosition="0"/>
    </format>
    <format dxfId="46">
      <pivotArea outline="0" collapsedLevelsAreSubtotals="1" fieldPosition="0"/>
    </format>
    <format dxfId="45">
      <pivotArea field="1" type="button" dataOnly="0" labelOnly="1" outline="0" axis="axisRow" fieldPosition="0"/>
    </format>
    <format dxfId="44">
      <pivotArea dataOnly="0" labelOnly="1" fieldPosition="0">
        <references count="1">
          <reference field="1" count="0"/>
        </references>
      </pivotArea>
    </format>
    <format dxfId="43">
      <pivotArea dataOnly="0" labelOnly="1" grandRow="1" outline="0"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1" type="button" dataOnly="0" labelOnly="1" outline="0" axis="axisRow" fieldPosition="0"/>
    </format>
    <format dxfId="38">
      <pivotArea dataOnly="0" labelOnly="1" fieldPosition="0">
        <references count="1">
          <reference field="1" count="0"/>
        </references>
      </pivotArea>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field="1" type="button" dataOnly="0" labelOnly="1" outline="0" axis="axisRow" fieldPosition="0"/>
    </format>
    <format dxfId="32">
      <pivotArea dataOnly="0" labelOnly="1" fieldPosition="0">
        <references count="1">
          <reference field="1" count="0"/>
        </references>
      </pivotArea>
    </format>
    <format dxfId="31">
      <pivotArea dataOnly="0" labelOnly="1" grandRow="1" outline="0" fieldPosition="0"/>
    </format>
    <format dxfId="30">
      <pivotArea dataOnly="0" labelOnly="1" outline="0" axis="axisValues" fieldPosition="0"/>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717ECD-A4A4-4833-8F3D-6DCB31C1015A}" name="PivotTable10" cacheId="30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C7:E12" firstHeaderRow="1" firstDataRow="2" firstDataCol="1"/>
  <pivotFields count="16">
    <pivotField numFmtId="14" showAll="0"/>
    <pivotField showAll="0"/>
    <pivotField showAll="0"/>
    <pivotField showAll="0"/>
    <pivotField axis="axisCol" showAll="0">
      <items count="15">
        <item x="4"/>
        <item h="1" x="5"/>
        <item h="1" x="2"/>
        <item h="1" x="3"/>
        <item h="1" x="10"/>
        <item h="1" x="8"/>
        <item h="1" x="9"/>
        <item h="1" x="1"/>
        <item h="1" x="7"/>
        <item h="1" m="1" x="13"/>
        <item h="1" x="6"/>
        <item h="1" x="0"/>
        <item h="1" x="11"/>
        <item h="1" x="12"/>
        <item t="default"/>
      </items>
    </pivotField>
    <pivotField showAll="0"/>
    <pivotField showAll="0"/>
    <pivotField showAll="0"/>
    <pivotField showAll="0"/>
    <pivotField numFmtId="44" showAll="0"/>
    <pivotField numFmtId="44" showAll="0"/>
    <pivotField numFmtId="44" showAll="0"/>
    <pivotField showAll="0"/>
    <pivotField axis="axisRow" showAll="0">
      <items count="6">
        <item x="0"/>
        <item x="1"/>
        <item x="2"/>
        <item x="3"/>
        <item x="4"/>
        <item t="default"/>
      </items>
    </pivotField>
    <pivotField axis="axisRow" showAll="0">
      <items count="5">
        <item x="0"/>
        <item h="1" x="1"/>
        <item h="1" x="2"/>
        <item h="1" x="3"/>
        <item t="default"/>
      </items>
    </pivotField>
    <pivotField dataField="1" showAll="0"/>
  </pivotFields>
  <rowFields count="2">
    <field x="14"/>
    <field x="13"/>
  </rowFields>
  <rowItems count="4">
    <i>
      <x/>
    </i>
    <i r="1">
      <x/>
    </i>
    <i r="1">
      <x v="1"/>
    </i>
    <i t="grand">
      <x/>
    </i>
  </rowItems>
  <colFields count="1">
    <field x="4"/>
  </colFields>
  <colItems count="2">
    <i>
      <x/>
    </i>
    <i t="grand">
      <x/>
    </i>
  </colItems>
  <dataFields count="1">
    <dataField name="Sum of Valor (Aux)" fld="15" baseField="0" baseItem="0"/>
  </dataFields>
  <chartFormats count="2">
    <chartFormat chart="1" format="2" series="1">
      <pivotArea type="data" outline="0" fieldPosition="0">
        <references count="1">
          <reference field="4294967294" count="1" selected="0">
            <x v="0"/>
          </reference>
        </references>
      </pivotArea>
    </chartFormat>
    <chartFormat chart="6" format="6" series="1">
      <pivotArea type="data" outline="0" fieldPosition="0">
        <references count="2">
          <reference field="4294967294" count="1" selected="0">
            <x v="0"/>
          </reference>
          <reference field="4" count="1" selected="0">
            <x v="0"/>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BBEFD51-8670-49CE-AAFE-8F435ED83693}" name="PivotTable5" cacheId="30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C7:E11" firstHeaderRow="1" firstDataRow="2" firstDataCol="1"/>
  <pivotFields count="16">
    <pivotField numFmtId="14" showAll="0"/>
    <pivotField showAll="0"/>
    <pivotField showAll="0"/>
    <pivotField showAll="0"/>
    <pivotField axis="axisCol" showAll="0">
      <items count="15">
        <item x="4"/>
        <item h="1" x="5"/>
        <item h="1" x="2"/>
        <item h="1" x="3"/>
        <item h="1" x="10"/>
        <item h="1" x="8"/>
        <item h="1" x="9"/>
        <item h="1" x="1"/>
        <item h="1" x="7"/>
        <item h="1" m="1" x="13"/>
        <item h="1" x="6"/>
        <item h="1" x="0"/>
        <item h="1" x="11"/>
        <item h="1" x="12"/>
        <item t="default"/>
      </items>
    </pivotField>
    <pivotField showAll="0"/>
    <pivotField showAll="0"/>
    <pivotField showAll="0"/>
    <pivotField showAll="0"/>
    <pivotField numFmtId="44" showAll="0"/>
    <pivotField numFmtId="44" showAll="0"/>
    <pivotField numFmtId="44" showAll="0"/>
    <pivotField showAll="0"/>
    <pivotField showAll="0"/>
    <pivotField axis="axisRow" showAll="0">
      <items count="5">
        <item x="0"/>
        <item x="1"/>
        <item x="2"/>
        <item x="3"/>
        <item t="default"/>
      </items>
    </pivotField>
    <pivotField dataField="1" showAll="0"/>
  </pivotFields>
  <rowFields count="1">
    <field x="14"/>
  </rowFields>
  <rowItems count="3">
    <i>
      <x/>
    </i>
    <i>
      <x v="1"/>
    </i>
    <i t="grand">
      <x/>
    </i>
  </rowItems>
  <colFields count="1">
    <field x="4"/>
  </colFields>
  <colItems count="2">
    <i>
      <x/>
    </i>
    <i t="grand">
      <x/>
    </i>
  </colItems>
  <dataFields count="1">
    <dataField name="Sum of Valor (Aux)" fld="15" baseField="14" baseItem="0"/>
  </dataFields>
  <chartFormats count="2">
    <chartFormat chart="1" format="10" series="1">
      <pivotArea type="data" outline="0" fieldPosition="0">
        <references count="1">
          <reference field="4294967294" count="1" selected="0">
            <x v="0"/>
          </reference>
        </references>
      </pivotArea>
    </chartFormat>
    <chartFormat chart="5" format="18" series="1">
      <pivotArea type="data" outline="0" fieldPosition="0">
        <references count="2">
          <reference field="4294967294" count="1" selected="0">
            <x v="0"/>
          </reference>
          <reference field="4" count="1" selected="0">
            <x v="0"/>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635548-92C0-47A5-8B00-855CBF4D212C}" name="PivotTable1" cacheId="30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C7:F22" firstHeaderRow="1" firstDataRow="2" firstDataCol="1"/>
  <pivotFields count="16">
    <pivotField numFmtId="14" showAll="0"/>
    <pivotField axis="axisCol" showAll="0">
      <items count="3">
        <item sd="0" x="1"/>
        <item sd="0" x="0"/>
        <item t="default" sd="0"/>
      </items>
    </pivotField>
    <pivotField showAll="0"/>
    <pivotField showAll="0"/>
    <pivotField axis="axisRow" showAll="0">
      <items count="15">
        <item x="4"/>
        <item x="5"/>
        <item x="2"/>
        <item x="3"/>
        <item x="8"/>
        <item x="1"/>
        <item x="7"/>
        <item m="1" x="13"/>
        <item x="6"/>
        <item x="0"/>
        <item x="9"/>
        <item x="10"/>
        <item x="11"/>
        <item x="12"/>
        <item t="default"/>
      </items>
    </pivotField>
    <pivotField showAll="0"/>
    <pivotField showAll="0"/>
    <pivotField showAll="0"/>
    <pivotField showAll="0"/>
    <pivotField numFmtId="44" showAll="0"/>
    <pivotField numFmtId="44" showAll="0"/>
    <pivotField numFmtId="44" showAll="0"/>
    <pivotField showAll="0"/>
    <pivotField showAll="0"/>
    <pivotField showAll="0"/>
    <pivotField dataField="1" showAll="0"/>
  </pivotFields>
  <rowFields count="1">
    <field x="4"/>
  </rowFields>
  <rowItems count="14">
    <i>
      <x/>
    </i>
    <i>
      <x v="1"/>
    </i>
    <i>
      <x v="2"/>
    </i>
    <i>
      <x v="3"/>
    </i>
    <i>
      <x v="4"/>
    </i>
    <i>
      <x v="5"/>
    </i>
    <i>
      <x v="6"/>
    </i>
    <i>
      <x v="8"/>
    </i>
    <i>
      <x v="9"/>
    </i>
    <i>
      <x v="10"/>
    </i>
    <i>
      <x v="11"/>
    </i>
    <i>
      <x v="12"/>
    </i>
    <i>
      <x v="13"/>
    </i>
    <i t="grand">
      <x/>
    </i>
  </rowItems>
  <colFields count="1">
    <field x="1"/>
  </colFields>
  <colItems count="3">
    <i>
      <x/>
    </i>
    <i>
      <x v="1"/>
    </i>
    <i t="grand">
      <x/>
    </i>
  </colItems>
  <dataFields count="1">
    <dataField name="Sum of Valor (Aux)" fld="15" baseField="0" baseItem="0"/>
  </dataFields>
  <formats count="1">
    <format dxfId="29">
      <pivotArea outline="0" collapsedLevelsAreSubtotals="1" fieldPosition="0"/>
    </format>
  </formats>
  <chartFormats count="7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 chart="0" format="9" series="1">
      <pivotArea type="data" outline="0" fieldPosition="0">
        <references count="2">
          <reference field="4294967294" count="1" selected="0">
            <x v="0"/>
          </reference>
          <reference field="4" count="1" selected="0">
            <x v="9"/>
          </reference>
        </references>
      </pivotArea>
    </chartFormat>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3"/>
          </reference>
        </references>
      </pivotArea>
    </chartFormat>
    <chartFormat chart="1" format="4" series="1">
      <pivotArea type="data" outline="0" fieldPosition="0">
        <references count="2">
          <reference field="4294967294" count="1" selected="0">
            <x v="0"/>
          </reference>
          <reference field="4" count="1" selected="0">
            <x v="4"/>
          </reference>
        </references>
      </pivotArea>
    </chartFormat>
    <chartFormat chart="1" format="5" series="1">
      <pivotArea type="data" outline="0" fieldPosition="0">
        <references count="2">
          <reference field="4294967294" count="1" selected="0">
            <x v="0"/>
          </reference>
          <reference field="4" count="1" selected="0">
            <x v="5"/>
          </reference>
        </references>
      </pivotArea>
    </chartFormat>
    <chartFormat chart="1" format="6" series="1">
      <pivotArea type="data" outline="0" fieldPosition="0">
        <references count="2">
          <reference field="4294967294" count="1" selected="0">
            <x v="0"/>
          </reference>
          <reference field="4" count="1" selected="0">
            <x v="6"/>
          </reference>
        </references>
      </pivotArea>
    </chartFormat>
    <chartFormat chart="1" format="7" series="1">
      <pivotArea type="data" outline="0" fieldPosition="0">
        <references count="2">
          <reference field="4294967294" count="1" selected="0">
            <x v="0"/>
          </reference>
          <reference field="4" count="1" selected="0">
            <x v="7"/>
          </reference>
        </references>
      </pivotArea>
    </chartFormat>
    <chartFormat chart="1" format="8" series="1">
      <pivotArea type="data" outline="0" fieldPosition="0">
        <references count="2">
          <reference field="4294967294" count="1" selected="0">
            <x v="0"/>
          </reference>
          <reference field="4" count="1" selected="0">
            <x v="8"/>
          </reference>
        </references>
      </pivotArea>
    </chartFormat>
    <chartFormat chart="1" format="9" series="1">
      <pivotArea type="data" outline="0" fieldPosition="0">
        <references count="2">
          <reference field="4294967294" count="1" selected="0">
            <x v="0"/>
          </reference>
          <reference field="4" count="1" selected="0">
            <x v="9"/>
          </reference>
        </references>
      </pivotArea>
    </chartFormat>
    <chartFormat chart="1" format="10" series="1">
      <pivotArea type="data" outline="0" fieldPosition="0">
        <references count="2">
          <reference field="4294967294" count="1" selected="0">
            <x v="0"/>
          </reference>
          <reference field="1" count="1" selected="0">
            <x v="0"/>
          </reference>
        </references>
      </pivotArea>
    </chartFormat>
    <chartFormat chart="1" format="11" series="1">
      <pivotArea type="data" outline="0" fieldPosition="0">
        <references count="2">
          <reference field="4294967294" count="1" selected="0">
            <x v="0"/>
          </reference>
          <reference field="1" count="1" selected="0">
            <x v="1"/>
          </reference>
        </references>
      </pivotArea>
    </chartFormat>
    <chartFormat chart="0" format="10" series="1">
      <pivotArea type="data" outline="0" fieldPosition="0">
        <references count="2">
          <reference field="4294967294" count="1" selected="0">
            <x v="0"/>
          </reference>
          <reference field="1" count="1" selected="0">
            <x v="0"/>
          </reference>
        </references>
      </pivotArea>
    </chartFormat>
    <chartFormat chart="0" format="11" series="1">
      <pivotArea type="data" outline="0" fieldPosition="0">
        <references count="2">
          <reference field="4294967294" count="1" selected="0">
            <x v="0"/>
          </reference>
          <reference field="1" count="1" selected="0">
            <x v="1"/>
          </reference>
        </references>
      </pivotArea>
    </chartFormat>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2"/>
          </reference>
        </references>
      </pivotArea>
    </chartFormat>
    <chartFormat chart="2" format="3" series="1">
      <pivotArea type="data" outline="0" fieldPosition="0">
        <references count="2">
          <reference field="4294967294" count="1" selected="0">
            <x v="0"/>
          </reference>
          <reference field="4" count="1" selected="0">
            <x v="3"/>
          </reference>
        </references>
      </pivotArea>
    </chartFormat>
    <chartFormat chart="2" format="4" series="1">
      <pivotArea type="data" outline="0" fieldPosition="0">
        <references count="2">
          <reference field="4294967294" count="1" selected="0">
            <x v="0"/>
          </reference>
          <reference field="4" count="1" selected="0">
            <x v="4"/>
          </reference>
        </references>
      </pivotArea>
    </chartFormat>
    <chartFormat chart="2" format="5" series="1">
      <pivotArea type="data" outline="0" fieldPosition="0">
        <references count="2">
          <reference field="4294967294" count="1" selected="0">
            <x v="0"/>
          </reference>
          <reference field="4" count="1" selected="0">
            <x v="5"/>
          </reference>
        </references>
      </pivotArea>
    </chartFormat>
    <chartFormat chart="2" format="6" series="1">
      <pivotArea type="data" outline="0" fieldPosition="0">
        <references count="2">
          <reference field="4294967294" count="1" selected="0">
            <x v="0"/>
          </reference>
          <reference field="4" count="1" selected="0">
            <x v="6"/>
          </reference>
        </references>
      </pivotArea>
    </chartFormat>
    <chartFormat chart="2" format="7" series="1">
      <pivotArea type="data" outline="0" fieldPosition="0">
        <references count="2">
          <reference field="4294967294" count="1" selected="0">
            <x v="0"/>
          </reference>
          <reference field="4" count="1" selected="0">
            <x v="7"/>
          </reference>
        </references>
      </pivotArea>
    </chartFormat>
    <chartFormat chart="2" format="8" series="1">
      <pivotArea type="data" outline="0" fieldPosition="0">
        <references count="2">
          <reference field="4294967294" count="1" selected="0">
            <x v="0"/>
          </reference>
          <reference field="4" count="1" selected="0">
            <x v="8"/>
          </reference>
        </references>
      </pivotArea>
    </chartFormat>
    <chartFormat chart="2" format="9" series="1">
      <pivotArea type="data" outline="0" fieldPosition="0">
        <references count="2">
          <reference field="4294967294" count="1" selected="0">
            <x v="0"/>
          </reference>
          <reference field="4" count="1" selected="0">
            <x v="9"/>
          </reference>
        </references>
      </pivotArea>
    </chartFormat>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 chart="3" format="4" series="1">
      <pivotArea type="data" outline="0" fieldPosition="0">
        <references count="2">
          <reference field="4294967294" count="1" selected="0">
            <x v="0"/>
          </reference>
          <reference field="4" count="1" selected="0">
            <x v="4"/>
          </reference>
        </references>
      </pivotArea>
    </chartFormat>
    <chartFormat chart="3" format="5" series="1">
      <pivotArea type="data" outline="0" fieldPosition="0">
        <references count="2">
          <reference field="4294967294" count="1" selected="0">
            <x v="0"/>
          </reference>
          <reference field="4" count="1" selected="0">
            <x v="5"/>
          </reference>
        </references>
      </pivotArea>
    </chartFormat>
    <chartFormat chart="3" format="6" series="1">
      <pivotArea type="data" outline="0" fieldPosition="0">
        <references count="2">
          <reference field="4294967294" count="1" selected="0">
            <x v="0"/>
          </reference>
          <reference field="4" count="1" selected="0">
            <x v="6"/>
          </reference>
        </references>
      </pivotArea>
    </chartFormat>
    <chartFormat chart="3" format="7" series="1">
      <pivotArea type="data" outline="0" fieldPosition="0">
        <references count="2">
          <reference field="4294967294" count="1" selected="0">
            <x v="0"/>
          </reference>
          <reference field="4" count="1" selected="0">
            <x v="7"/>
          </reference>
        </references>
      </pivotArea>
    </chartFormat>
    <chartFormat chart="3" format="8" series="1">
      <pivotArea type="data" outline="0" fieldPosition="0">
        <references count="2">
          <reference field="4294967294" count="1" selected="0">
            <x v="0"/>
          </reference>
          <reference field="4" count="1" selected="0">
            <x v="8"/>
          </reference>
        </references>
      </pivotArea>
    </chartFormat>
    <chartFormat chart="3" format="9" series="1">
      <pivotArea type="data" outline="0" fieldPosition="0">
        <references count="2">
          <reference field="4294967294" count="1" selected="0">
            <x v="0"/>
          </reference>
          <reference field="4" count="1" selected="0">
            <x v="9"/>
          </reference>
        </references>
      </pivotArea>
    </chartFormat>
    <chartFormat chart="3" format="10" series="1">
      <pivotArea type="data" outline="0" fieldPosition="0">
        <references count="2">
          <reference field="4294967294" count="1" selected="0">
            <x v="0"/>
          </reference>
          <reference field="4" count="1" selected="0">
            <x v="10"/>
          </reference>
        </references>
      </pivotArea>
    </chartFormat>
    <chartFormat chart="3" format="11" series="1">
      <pivotArea type="data" outline="0" fieldPosition="0">
        <references count="2">
          <reference field="4294967294" count="1" selected="0">
            <x v="0"/>
          </reference>
          <reference field="4" count="1" selected="0">
            <x v="1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1"/>
          </reference>
        </references>
      </pivotArea>
    </chartFormat>
    <chartFormat chart="3" format="14">
      <pivotArea type="data" outline="0" fieldPosition="0">
        <references count="3">
          <reference field="4294967294" count="1" selected="0">
            <x v="0"/>
          </reference>
          <reference field="1" count="1" selected="0">
            <x v="0"/>
          </reference>
          <reference field="4" count="1" selected="0">
            <x v="0"/>
          </reference>
        </references>
      </pivotArea>
    </chartFormat>
    <chartFormat chart="3" format="15">
      <pivotArea type="data" outline="0" fieldPosition="0">
        <references count="3">
          <reference field="4294967294" count="1" selected="0">
            <x v="0"/>
          </reference>
          <reference field="1" count="1" selected="0">
            <x v="0"/>
          </reference>
          <reference field="4" count="1" selected="0">
            <x v="1"/>
          </reference>
        </references>
      </pivotArea>
    </chartFormat>
    <chartFormat chart="3" format="16">
      <pivotArea type="data" outline="0" fieldPosition="0">
        <references count="3">
          <reference field="4294967294" count="1" selected="0">
            <x v="0"/>
          </reference>
          <reference field="1" count="1" selected="0">
            <x v="0"/>
          </reference>
          <reference field="4" count="1" selected="0">
            <x v="2"/>
          </reference>
        </references>
      </pivotArea>
    </chartFormat>
    <chartFormat chart="3" format="17">
      <pivotArea type="data" outline="0" fieldPosition="0">
        <references count="3">
          <reference field="4294967294" count="1" selected="0">
            <x v="0"/>
          </reference>
          <reference field="1" count="1" selected="0">
            <x v="0"/>
          </reference>
          <reference field="4" count="1" selected="0">
            <x v="3"/>
          </reference>
        </references>
      </pivotArea>
    </chartFormat>
    <chartFormat chart="3" format="18">
      <pivotArea type="data" outline="0" fieldPosition="0">
        <references count="3">
          <reference field="4294967294" count="1" selected="0">
            <x v="0"/>
          </reference>
          <reference field="1" count="1" selected="0">
            <x v="0"/>
          </reference>
          <reference field="4" count="1" selected="0">
            <x v="4"/>
          </reference>
        </references>
      </pivotArea>
    </chartFormat>
    <chartFormat chart="3" format="19">
      <pivotArea type="data" outline="0" fieldPosition="0">
        <references count="3">
          <reference field="4294967294" count="1" selected="0">
            <x v="0"/>
          </reference>
          <reference field="1" count="1" selected="0">
            <x v="0"/>
          </reference>
          <reference field="4" count="1" selected="0">
            <x v="5"/>
          </reference>
        </references>
      </pivotArea>
    </chartFormat>
    <chartFormat chart="3" format="20">
      <pivotArea type="data" outline="0" fieldPosition="0">
        <references count="3">
          <reference field="4294967294" count="1" selected="0">
            <x v="0"/>
          </reference>
          <reference field="1" count="1" selected="0">
            <x v="0"/>
          </reference>
          <reference field="4" count="1" selected="0">
            <x v="6"/>
          </reference>
        </references>
      </pivotArea>
    </chartFormat>
    <chartFormat chart="3" format="21">
      <pivotArea type="data" outline="0" fieldPosition="0">
        <references count="3">
          <reference field="4294967294" count="1" selected="0">
            <x v="0"/>
          </reference>
          <reference field="1" count="1" selected="0">
            <x v="0"/>
          </reference>
          <reference field="4" count="1" selected="0">
            <x v="7"/>
          </reference>
        </references>
      </pivotArea>
    </chartFormat>
    <chartFormat chart="3" format="22">
      <pivotArea type="data" outline="0" fieldPosition="0">
        <references count="3">
          <reference field="4294967294" count="1" selected="0">
            <x v="0"/>
          </reference>
          <reference field="1" count="1" selected="0">
            <x v="0"/>
          </reference>
          <reference field="4" count="1" selected="0">
            <x v="8"/>
          </reference>
        </references>
      </pivotArea>
    </chartFormat>
    <chartFormat chart="3" format="23">
      <pivotArea type="data" outline="0" fieldPosition="0">
        <references count="3">
          <reference field="4294967294" count="1" selected="0">
            <x v="0"/>
          </reference>
          <reference field="1" count="1" selected="0">
            <x v="0"/>
          </reference>
          <reference field="4" count="1" selected="0">
            <x v="9"/>
          </reference>
        </references>
      </pivotArea>
    </chartFormat>
    <chartFormat chart="3" format="24">
      <pivotArea type="data" outline="0" fieldPosition="0">
        <references count="3">
          <reference field="4294967294" count="1" selected="0">
            <x v="0"/>
          </reference>
          <reference field="1" count="1" selected="0">
            <x v="0"/>
          </reference>
          <reference field="4" count="1" selected="0">
            <x v="10"/>
          </reference>
        </references>
      </pivotArea>
    </chartFormat>
    <chartFormat chart="3" format="25">
      <pivotArea type="data" outline="0" fieldPosition="0">
        <references count="3">
          <reference field="4294967294" count="1" selected="0">
            <x v="0"/>
          </reference>
          <reference field="1" count="1" selected="0">
            <x v="0"/>
          </reference>
          <reference field="4" count="1" selected="0">
            <x v="11"/>
          </reference>
        </references>
      </pivotArea>
    </chartFormat>
    <chartFormat chart="3" format="26">
      <pivotArea type="data" outline="0" fieldPosition="0">
        <references count="3">
          <reference field="4294967294" count="1" selected="0">
            <x v="0"/>
          </reference>
          <reference field="1" count="1" selected="0">
            <x v="1"/>
          </reference>
          <reference field="4" count="1" selected="0">
            <x v="0"/>
          </reference>
        </references>
      </pivotArea>
    </chartFormat>
    <chartFormat chart="3" format="27">
      <pivotArea type="data" outline="0" fieldPosition="0">
        <references count="3">
          <reference field="4294967294" count="1" selected="0">
            <x v="0"/>
          </reference>
          <reference field="1" count="1" selected="0">
            <x v="1"/>
          </reference>
          <reference field="4" count="1" selected="0">
            <x v="1"/>
          </reference>
        </references>
      </pivotArea>
    </chartFormat>
    <chartFormat chart="3" format="28">
      <pivotArea type="data" outline="0" fieldPosition="0">
        <references count="3">
          <reference field="4294967294" count="1" selected="0">
            <x v="0"/>
          </reference>
          <reference field="1" count="1" selected="0">
            <x v="1"/>
          </reference>
          <reference field="4" count="1" selected="0">
            <x v="2"/>
          </reference>
        </references>
      </pivotArea>
    </chartFormat>
    <chartFormat chart="3" format="29">
      <pivotArea type="data" outline="0" fieldPosition="0">
        <references count="3">
          <reference field="4294967294" count="1" selected="0">
            <x v="0"/>
          </reference>
          <reference field="1" count="1" selected="0">
            <x v="1"/>
          </reference>
          <reference field="4" count="1" selected="0">
            <x v="3"/>
          </reference>
        </references>
      </pivotArea>
    </chartFormat>
    <chartFormat chart="3" format="30">
      <pivotArea type="data" outline="0" fieldPosition="0">
        <references count="3">
          <reference field="4294967294" count="1" selected="0">
            <x v="0"/>
          </reference>
          <reference field="1" count="1" selected="0">
            <x v="1"/>
          </reference>
          <reference field="4" count="1" selected="0">
            <x v="4"/>
          </reference>
        </references>
      </pivotArea>
    </chartFormat>
    <chartFormat chart="3" format="31">
      <pivotArea type="data" outline="0" fieldPosition="0">
        <references count="3">
          <reference field="4294967294" count="1" selected="0">
            <x v="0"/>
          </reference>
          <reference field="1" count="1" selected="0">
            <x v="1"/>
          </reference>
          <reference field="4" count="1" selected="0">
            <x v="5"/>
          </reference>
        </references>
      </pivotArea>
    </chartFormat>
    <chartFormat chart="3" format="32">
      <pivotArea type="data" outline="0" fieldPosition="0">
        <references count="3">
          <reference field="4294967294" count="1" selected="0">
            <x v="0"/>
          </reference>
          <reference field="1" count="1" selected="0">
            <x v="1"/>
          </reference>
          <reference field="4" count="1" selected="0">
            <x v="6"/>
          </reference>
        </references>
      </pivotArea>
    </chartFormat>
    <chartFormat chart="3" format="33">
      <pivotArea type="data" outline="0" fieldPosition="0">
        <references count="3">
          <reference field="4294967294" count="1" selected="0">
            <x v="0"/>
          </reference>
          <reference field="1" count="1" selected="0">
            <x v="1"/>
          </reference>
          <reference field="4" count="1" selected="0">
            <x v="7"/>
          </reference>
        </references>
      </pivotArea>
    </chartFormat>
    <chartFormat chart="3" format="34">
      <pivotArea type="data" outline="0" fieldPosition="0">
        <references count="3">
          <reference field="4294967294" count="1" selected="0">
            <x v="0"/>
          </reference>
          <reference field="1" count="1" selected="0">
            <x v="1"/>
          </reference>
          <reference field="4" count="1" selected="0">
            <x v="8"/>
          </reference>
        </references>
      </pivotArea>
    </chartFormat>
    <chartFormat chart="3" format="35">
      <pivotArea type="data" outline="0" fieldPosition="0">
        <references count="3">
          <reference field="4294967294" count="1" selected="0">
            <x v="0"/>
          </reference>
          <reference field="1" count="1" selected="0">
            <x v="1"/>
          </reference>
          <reference field="4" count="1" selected="0">
            <x v="9"/>
          </reference>
        </references>
      </pivotArea>
    </chartFormat>
    <chartFormat chart="3" format="36">
      <pivotArea type="data" outline="0" fieldPosition="0">
        <references count="3">
          <reference field="4294967294" count="1" selected="0">
            <x v="0"/>
          </reference>
          <reference field="1" count="1" selected="0">
            <x v="1"/>
          </reference>
          <reference field="4" count="1" selected="0">
            <x v="10"/>
          </reference>
        </references>
      </pivotArea>
    </chartFormat>
    <chartFormat chart="3" format="37">
      <pivotArea type="data" outline="0" fieldPosition="0">
        <references count="3">
          <reference field="4294967294" count="1" selected="0">
            <x v="0"/>
          </reference>
          <reference field="1" count="1" selected="0">
            <x v="1"/>
          </reference>
          <reference field="4" count="1" selected="0">
            <x v="11"/>
          </reference>
        </references>
      </pivotArea>
    </chartFormat>
    <chartFormat chart="3" format="38">
      <pivotArea type="data" outline="0" fieldPosition="0">
        <references count="3">
          <reference field="4294967294" count="1" selected="0">
            <x v="0"/>
          </reference>
          <reference field="1" count="1" selected="0">
            <x v="0"/>
          </reference>
          <reference field="4" count="1" selected="0">
            <x v="12"/>
          </reference>
        </references>
      </pivotArea>
    </chartFormat>
    <chartFormat chart="3" format="39">
      <pivotArea type="data" outline="0" fieldPosition="0">
        <references count="3">
          <reference field="4294967294" count="1" selected="0">
            <x v="0"/>
          </reference>
          <reference field="1" count="1" selected="0">
            <x v="0"/>
          </reference>
          <reference field="4" count="1" selected="0">
            <x v="13"/>
          </reference>
        </references>
      </pivotArea>
    </chartFormat>
    <chartFormat chart="3" format="40">
      <pivotArea type="data" outline="0" fieldPosition="0">
        <references count="3">
          <reference field="4294967294" count="1" selected="0">
            <x v="0"/>
          </reference>
          <reference field="1" count="1" selected="0">
            <x v="1"/>
          </reference>
          <reference field="4" count="1" selected="0">
            <x v="12"/>
          </reference>
        </references>
      </pivotArea>
    </chartFormat>
    <chartFormat chart="3" format="41">
      <pivotArea type="data" outline="0" fieldPosition="0">
        <references count="3">
          <reference field="4294967294" count="1" selected="0">
            <x v="0"/>
          </reference>
          <reference field="1" count="1" selected="0">
            <x v="1"/>
          </reference>
          <reference field="4" count="1" selected="0">
            <x v="13"/>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387B32-A71B-48D2-9F92-1FD7819AB3EE}" name="PivotTable4" cacheId="30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C7:F18" firstHeaderRow="1" firstDataRow="4" firstDataCol="1"/>
  <pivotFields count="16">
    <pivotField numFmtId="14" showAll="0"/>
    <pivotField axis="axisCol" showAll="0">
      <items count="3">
        <item sd="0" x="1"/>
        <item sd="0" x="0"/>
        <item t="default"/>
      </items>
    </pivotField>
    <pivotField axis="axisCol" showAll="0">
      <items count="11">
        <item sd="0" m="1" x="9"/>
        <item sd="0" x="3"/>
        <item sd="0" x="7"/>
        <item sd="0" x="0"/>
        <item sd="0" x="6"/>
        <item sd="0" m="1" x="8"/>
        <item sd="0" x="4"/>
        <item x="2"/>
        <item x="5"/>
        <item x="1"/>
        <item t="default"/>
      </items>
    </pivotField>
    <pivotField axis="axisCol" showAll="0">
      <items count="13">
        <item m="1" x="10"/>
        <item x="0"/>
        <item m="1" x="9"/>
        <item x="5"/>
        <item x="1"/>
        <item x="2"/>
        <item m="1" x="11"/>
        <item x="3"/>
        <item x="4"/>
        <item x="6"/>
        <item x="7"/>
        <item x="8"/>
        <item t="default"/>
      </items>
    </pivotField>
    <pivotField showAll="0"/>
    <pivotField axis="axisRow" showAll="0">
      <items count="8">
        <item x="1"/>
        <item x="2"/>
        <item x="4"/>
        <item x="3"/>
        <item x="5"/>
        <item x="0"/>
        <item x="6"/>
        <item t="default"/>
      </items>
    </pivotField>
    <pivotField showAll="0"/>
    <pivotField showAll="0"/>
    <pivotField showAll="0"/>
    <pivotField numFmtId="44" showAll="0"/>
    <pivotField numFmtId="44" showAll="0"/>
    <pivotField numFmtId="44" showAll="0"/>
    <pivotField showAll="0"/>
    <pivotField showAll="0"/>
    <pivotField showAll="0"/>
    <pivotField dataField="1" showAll="0"/>
  </pivotFields>
  <rowFields count="1">
    <field x="5"/>
  </rowFields>
  <rowItems count="8">
    <i>
      <x/>
    </i>
    <i>
      <x v="1"/>
    </i>
    <i>
      <x v="2"/>
    </i>
    <i>
      <x v="3"/>
    </i>
    <i>
      <x v="4"/>
    </i>
    <i>
      <x v="5"/>
    </i>
    <i>
      <x v="6"/>
    </i>
    <i t="grand">
      <x/>
    </i>
  </rowItems>
  <colFields count="3">
    <field x="1"/>
    <field x="2"/>
    <field x="3"/>
  </colFields>
  <colItems count="3">
    <i>
      <x/>
    </i>
    <i>
      <x v="1"/>
    </i>
    <i t="grand">
      <x/>
    </i>
  </colItems>
  <dataFields count="1">
    <dataField name="Sum of Valor (Aux)" fld="15" baseField="1" baseItem="0" numFmtId="44"/>
  </dataFields>
  <formats count="1">
    <format dxfId="24">
      <pivotArea outline="0" collapsedLevelsAreSubtotals="1" fieldPosition="0"/>
    </format>
  </formats>
  <chartFormats count="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1">
          <reference field="4294967294" count="1" selected="0">
            <x v="0"/>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AD16EB-E686-4EFA-8B04-1C989E92D19B}" name="PivotTable1" cacheId="30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C7:D12" firstHeaderRow="1" firstDataRow="1" firstDataCol="1"/>
  <pivotFields count="16">
    <pivotField numFmtId="14" showAll="0"/>
    <pivotField showAll="0">
      <items count="3">
        <item x="1"/>
        <item x="0"/>
        <item t="default"/>
      </items>
    </pivotField>
    <pivotField showAll="0"/>
    <pivotField showAll="0"/>
    <pivotField showAll="0"/>
    <pivotField showAll="0"/>
    <pivotField showAll="0"/>
    <pivotField showAll="0"/>
    <pivotField showAll="0"/>
    <pivotField numFmtId="44" showAll="0"/>
    <pivotField numFmtId="44" showAll="0"/>
    <pivotField numFmtId="44" showAll="0"/>
    <pivotField showAll="0"/>
    <pivotField showAll="0"/>
    <pivotField axis="axisRow" showAll="0">
      <items count="5">
        <item x="0"/>
        <item x="1"/>
        <item x="2"/>
        <item x="3"/>
        <item t="default"/>
      </items>
    </pivotField>
    <pivotField dataField="1" showAll="0"/>
  </pivotFields>
  <rowFields count="1">
    <field x="14"/>
  </rowFields>
  <rowItems count="5">
    <i>
      <x/>
    </i>
    <i>
      <x v="1"/>
    </i>
    <i>
      <x v="2"/>
    </i>
    <i>
      <x v="3"/>
    </i>
    <i t="grand">
      <x/>
    </i>
  </rowItems>
  <colItems count="1">
    <i/>
  </colItems>
  <dataFields count="1">
    <dataField name="Sum of Valor (Aux)" fld="15" baseField="0" baseItem="0"/>
  </dataFields>
  <formats count="1">
    <format dxfId="23">
      <pivotArea outline="0" collapsedLevelsAreSubtotals="1" fieldPosition="0"/>
    </format>
  </formats>
  <chartFormats count="3">
    <chartFormat chart="1" format="18" series="1">
      <pivotArea type="data" outline="0" fieldPosition="0">
        <references count="1">
          <reference field="4294967294" count="1" selected="0">
            <x v="0"/>
          </reference>
        </references>
      </pivotArea>
    </chartFormat>
    <chartFormat chart="4" format="20" series="1">
      <pivotArea type="data" outline="0" fieldPosition="0">
        <references count="1">
          <reference field="4294967294" count="1" selected="0">
            <x v="0"/>
          </reference>
        </references>
      </pivotArea>
    </chartFormat>
    <chartFormat chart="4" format="21">
      <pivotArea type="data" outline="0" fieldPosition="0">
        <references count="2">
          <reference field="4294967294" count="1" selected="0">
            <x v="0"/>
          </reference>
          <reference field="14" count="1" selected="0">
            <x v="3"/>
          </reference>
        </references>
      </pivotArea>
    </chartFormat>
  </chartFormat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ente" xr10:uid="{7BDEB0DA-6E4C-41E7-B4B6-800E8E939DEB}" sourceName="Cliente">
  <pivotTables>
    <pivotTable tabId="14" name="PivotTable5"/>
    <pivotTable tabId="17" name="PivotTable10"/>
  </pivotTables>
  <data>
    <tabular pivotCacheId="950020420">
      <items count="14">
        <i x="4" s="1"/>
        <i x="5"/>
        <i x="2"/>
        <i x="3"/>
        <i x="10"/>
        <i x="8"/>
        <i x="9"/>
        <i x="1"/>
        <i x="12"/>
        <i x="7"/>
        <i x="11"/>
        <i x="6"/>
        <i x="0"/>
        <i x="1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o1" xr10:uid="{4071C063-3BE1-44D7-A9CD-10E83D6177F6}" sourceName="Ano">
  <pivotTables>
    <pivotTable tabId="11" name="PivotTable1"/>
  </pivotTables>
  <data>
    <tabular pivotCacheId="950020420">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o" xr10:uid="{B925072A-06C7-4F0F-8CE7-8C00D55D44C2}" sourceName="Tipo">
  <pivotTables>
    <pivotTable tabId="11" name="PivotTable1"/>
  </pivotTables>
  <data>
    <tabular pivotCacheId="950020420">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to" xr10:uid="{E3EEDD65-1102-419B-A6B2-304CA01D9FDA}" sourceName="Produto">
  <pivotTables>
    <pivotTable tabId="29" name="PivotTable2"/>
  </pivotTables>
  <data>
    <tabular pivotCacheId="950020420">
      <items count="8">
        <i x="3"/>
        <i x="2" s="1"/>
        <i x="1"/>
        <i x="4"/>
        <i x="7"/>
        <i x="5"/>
        <i x="6"/>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o2" xr10:uid="{4E254091-6411-41E6-96A5-4480C7EC5B75}" sourceName="Ano">
  <pivotTables>
    <pivotTable tabId="9" name="PivotTable3"/>
  </pivotTables>
  <data>
    <tabular pivotCacheId="950020420">
      <items count="4">
        <i x="3" s="1"/>
        <i x="2"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o" xr10:uid="{5C6B544C-118F-416E-AA14-07F15C11CFFE}" sourceName="Ano">
  <pivotTables>
    <pivotTable tabId="14" name="PivotTable5"/>
  </pivotTables>
  <data>
    <tabular pivotCacheId="950020420">
      <items count="4">
        <i x="0" s="1"/>
        <i x="1" s="1"/>
        <i x="3" s="1" nd="1"/>
        <i x="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o3" xr10:uid="{23408F7D-EFEF-412A-AF75-A4E69E1A08F4}" sourceName="Ano">
  <pivotTables>
    <pivotTable tabId="17" name="PivotTable10"/>
  </pivotTables>
  <data>
    <tabular pivotCacheId="950020420">
      <items count="4">
        <i x="0" s="1"/>
        <i x="1"/>
        <i x="3"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to 2" xr10:uid="{0A36E595-4369-4A9F-9FB9-D788771180A0}" cache="Slicer_Produto" caption="Produto" style="SlicerStyleDark3" rowHeight="241300"/>
  <slicer name="Ano 4" xr10:uid="{8429DFD8-C428-4258-A768-0E6407D78ED3}" cache="Slicer_Ano2" caption="Ano" style="SlicerStyleDark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to 1" xr10:uid="{56B3ED12-25F6-4633-9E87-7DE8CEE9F5C7}" cache="Slicer_Produto" caption="Produto" rowHeight="241300"/>
  <slicer name="Ano" xr10:uid="{A153FCC1-6D3E-4033-B292-8F03E29D950A}" cache="Slicer_Ano2" caption="An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to" xr10:uid="{276F9DA0-DD4B-4738-8C63-0E9732D37AFC}" cache="Slicer_Produto" caption="Produto"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iente 1" xr10:uid="{E00E5B01-C056-4DB9-B6D5-188952068E4E}" cache="Slicer_Cliente" caption="Cliente" style="SlicerStyleDark3" rowHeight="241300"/>
  <slicer name="Cliente 2" xr10:uid="{FFD2E1F6-D43C-4A2F-B483-54028AB876C6}" cache="Slicer_Cliente" caption="Cliente" style="SlicerStyleDark3" rowHeight="241300"/>
  <slicer name="Ano 2" xr10:uid="{37A351EC-DB4F-44AC-A75B-53F281397456}" cache="Slicer_Ano" caption="Ano" style="SlicerStyleDark3" rowHeight="241300"/>
  <slicer name="Ano 5" xr10:uid="{92382731-BCC7-4E7C-9AB5-BE1184A2A50C}" cache="Slicer_Ano3" caption="Ano" style="SlicerStyleDark3"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iente" xr10:uid="{37A026A3-78AE-424F-809B-59E83CE5B063}" cache="Slicer_Cliente" caption="Cliente"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o 3" xr10:uid="{1AA285E6-972B-46B2-B09E-8A3690C7D724}" cache="Slicer_Ano1" caption="Ano" style="SlicerStyleDark3" rowHeight="241300"/>
  <slicer name="Tipo" xr10:uid="{153DED56-A09C-41F8-89E2-AB78F5C1A500}" cache="Slicer_Tipo" caption="Tipo" style="SlicerStyleDark3"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o 1" xr10:uid="{213E5D15-C5BB-4E2B-AB6C-2AB61C0BEDCE}" cache="Slicer_Ano1" caption="Ano"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230A4D-298D-4EBA-A1E8-0E3525B94AB5}" name="Tab_Fluxo" displayName="Tab_Fluxo" ref="C7:R10" totalsRowShown="0" headerRowDxfId="17">
  <autoFilter ref="C7:R10" xr:uid="{9998BA2E-074E-4842-A446-1021DA9966E8}"/>
  <tableColumns count="16">
    <tableColumn id="1" xr3:uid="{D59A5435-BABA-4699-BAEA-5D4213936985}" name="Data" dataDxfId="16"/>
    <tableColumn id="2" xr3:uid="{4C259924-9ABB-41D6-9EE6-83FDDCAE111E}" name="Tipo"/>
    <tableColumn id="3" xr3:uid="{C2906A17-6743-49DD-BF67-6C369BDC658C}" name="Categoria"/>
    <tableColumn id="4" xr3:uid="{724254C8-C5BA-43AA-A869-6D66EEEA4CB5}" name="Subcategoria"/>
    <tableColumn id="7" xr3:uid="{86BEF892-AC8B-4EC7-A4AB-B9819ABCC4F5}" name="Detalhamento(Campo Opcional)" dataDxfId="15"/>
    <tableColumn id="5" xr3:uid="{C21F5DC4-6F1C-40D4-AF4A-59BC2C0F2412}" name="Cliente"/>
    <tableColumn id="6" xr3:uid="{E6F92E88-7F1B-481D-B3D4-E1EB181CE651}" name="Projeto"/>
    <tableColumn id="14" xr3:uid="{2BD7D901-196A-48EE-893E-A5FDF13CF1FF}" name="Método de Pagto"/>
    <tableColumn id="18" xr3:uid="{A367CFE8-59A4-4A56-B4FD-F1C009C10B5F}" name="Produto"/>
    <tableColumn id="20" xr3:uid="{F5FF7DFC-EED9-41B7-9FEC-317087D948B6}" name="Quantidade"/>
    <tableColumn id="12" xr3:uid="{F87800CE-74C0-470E-B35F-7554ED53A94E}" name="Valor Unitário" dataDxfId="9"/>
    <tableColumn id="8" xr3:uid="{7E6CB1AA-532B-4F37-8F59-E6163C6BBAAB}" name="Valor Total" dataDxfId="14">
      <calculatedColumnFormula>IF(Tab_Fluxo[[#This Row],[Quantidade]]="",Tab_Fluxo[[#This Row],[Valor Unitário]],Tab_Fluxo[[#This Row],[Valor Unitário]]*Tab_Fluxo[[#This Row],[Quantidade]])</calculatedColumnFormula>
    </tableColumn>
    <tableColumn id="9" xr3:uid="{D52A8B76-E7BF-4BE5-8F8F-2E85F5E8129D}" name="Saldo" dataDxfId="13">
      <calculatedColumnFormula>O7+IF(D8="Entradas",N8,-N8)</calculatedColumnFormula>
    </tableColumn>
    <tableColumn id="10" xr3:uid="{0B9D2D4D-2192-4252-8AC3-D1C67E97A3AE}" name="Mês" dataDxfId="12">
      <calculatedColumnFormula>MONTH(Tab_Fluxo[[#This Row],[Data]])</calculatedColumnFormula>
    </tableColumn>
    <tableColumn id="11" xr3:uid="{C4BF8BE1-CF89-46DD-9F79-BF73D00D46EF}" name="Ano" dataDxfId="11">
      <calculatedColumnFormula>YEAR(Tab_Fluxo[[#This Row],[Data]])</calculatedColumnFormula>
    </tableColumn>
    <tableColumn id="13" xr3:uid="{20B2A138-597E-4FC7-8ACF-E62256F56342}" name="Valor (Aux)" dataDxfId="10">
      <calculatedColumnFormula>IF(Tab_Fluxo[[#This Row],[Tipo]]="Entradas",Tab_Fluxo[[#This Row],[Valor Total]],-Tab_Fluxo[[#This Row],[Valor Total]])</calculatedColumnFormula>
    </tableColumn>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D6CF0D-DC68-4A2F-B511-A125E9AB47E0}" name="Table5" displayName="Table5" ref="C7:G9" totalsRowShown="0" headerRowDxfId="87">
  <autoFilter ref="C7:G9" xr:uid="{8753B159-1207-412F-90F6-39A7FE1AF417}"/>
  <tableColumns count="5">
    <tableColumn id="2" xr3:uid="{19E23B1E-F0BE-4BE4-A547-33D7D931829E}" name="Data de Registro"/>
    <tableColumn id="1" xr3:uid="{E8B2A042-B3B8-4875-82A7-D6E355CF4B8A}" name="Operários"/>
    <tableColumn id="3" xr3:uid="{DBC5692E-9352-4DD3-B7EA-AD0ACD7B30D8}" name="Telefone"/>
    <tableColumn id="4" xr3:uid="{F26725D9-19BF-4596-96AE-2A2D058F0D6D}" name="Bairro"/>
    <tableColumn id="5" xr3:uid="{D0937D9F-69C7-4635-927D-EC9A175FD02D}" name="Endereço Completo"/>
  </tableColumns>
  <tableStyleInfo name="TableStyleDark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B01BA0-D865-4256-89D6-54D1EC658460}" name="Tab_Estoque" displayName="Tab_Estoque" ref="C7:K9" totalsRowShown="0" headerRowDxfId="86">
  <autoFilter ref="C7:K9" xr:uid="{C9A4EAA4-C20C-4400-A48A-730110458349}"/>
  <tableColumns count="9">
    <tableColumn id="1" xr3:uid="{2FA191EF-A4C1-4CFB-A563-60DDD391ED9A}" name="Produto" dataDxfId="85"/>
    <tableColumn id="2" xr3:uid="{33ACCD30-CCB2-4E38-A836-02A54BFD200F}" name="Quantidade no Estoque" dataDxfId="84">
      <calculatedColumnFormula>SUMIFS(Tab_Fluxo[Quantidade],Tab_Fluxo[Produto],Tab_Estoque[[#This Row],[Produto]],Tab_Fluxo[Tipo],"Saídas")-SUMIFS(Tab_Fluxo[Quantidade],Tab_Fluxo[Produto],Tab_Estoque[[#This Row],[Produto]],Tab_Fluxo[Tipo],"Entradas")</calculatedColumnFormula>
    </tableColumn>
    <tableColumn id="3" xr3:uid="{824A6CCB-EE1B-4D6B-A1D8-5DE512FF67EF}" name="Valor Unitário" dataDxfId="83"/>
    <tableColumn id="4" xr3:uid="{AD06D996-F6C6-4A5A-86F0-9240DCA37ECC}" name="Quantidade de Vendas" dataDxfId="82">
      <calculatedColumnFormula>SUMIFS(Tab_Fluxo[Quantidade],Tab_Fluxo[Produto],Tab_Estoque[[#This Row],[Produto]],Tab_Fluxo[Tipo],"Entradas")</calculatedColumnFormula>
    </tableColumn>
    <tableColumn id="6" xr3:uid="{1A8447E9-39A2-4ED0-BE9A-01C263E0858F}" name="Total Ganho" dataDxfId="81">
      <calculatedColumnFormula>SUMIFS(Tab_Fluxo[Valor Total],Tab_Fluxo[Produto],Tab_Estoque[[#This Row],[Produto]],Tab_Fluxo[Tipo],"Entradas")</calculatedColumnFormula>
    </tableColumn>
    <tableColumn id="7" xr3:uid="{E15B1977-28E4-431A-8D44-A58087584401}" name="Total Gasto" dataDxfId="80">
      <calculatedColumnFormula>SUMIFS(Tab_Fluxo[Valor Total],Tab_Fluxo[Produto],Tab_Estoque[[#This Row],[Produto]],Tab_Fluxo[Tipo],"Saídas")</calculatedColumnFormula>
    </tableColumn>
    <tableColumn id="8" xr3:uid="{33879868-0E84-4DE6-9D86-E03311E1775B}" name="Lucro" dataDxfId="79">
      <calculatedColumnFormula>Tab_Estoque[[#This Row],[Total Ganho]]-Tab_Estoque[[#This Row],[Total Gasto]]</calculatedColumnFormula>
    </tableColumn>
    <tableColumn id="9" xr3:uid="{F94B574E-75A9-4007-A0BF-DD7B4A453540}" name="Preço Médio" dataDxfId="78">
      <calculatedColumnFormula>Tab_Estoque[[#This Row],[Total Ganho]]/Tab_Estoque[[#This Row],[Quantidade de Vendas]]</calculatedColumnFormula>
    </tableColumn>
    <tableColumn id="5" xr3:uid="{49FD8E4F-BFD5-4D5B-A78E-4E5BDA0BF137}" name="Percentual de Lucro por Produto" dataDxfId="77">
      <calculatedColumnFormula>Tab_Estoque[[#This Row],[Lucro]]/Tab_Estoque[[#This Row],[Total Gasto]]</calculatedColumnFormula>
    </tableColumn>
  </tableColumns>
  <tableStyleInfo name="TableStyleDark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510990-0000-4077-AF86-1706ED5BF4B0}" name="Table2" displayName="Table2" ref="C7:AK13" totalsRowShown="0" headerRowDxfId="74">
  <autoFilter ref="C7:AK13" xr:uid="{42CB7738-9EAA-4E07-BB1D-086B1602F9DA}"/>
  <tableColumns count="35">
    <tableColumn id="27" xr3:uid="{55DD8836-E55B-466C-8F70-37DB0FF3EDE5}" name="Data de Registro"/>
    <tableColumn id="1" xr3:uid="{55D771A2-90B5-429D-B579-2FD2BF0B013A}" name="Cliente"/>
    <tableColumn id="32" xr3:uid="{0BE14873-22B0-4194-8A90-3F52EB56DDC3}" name="Endereço"/>
    <tableColumn id="2" xr3:uid="{9734D42D-7EEA-40AE-A657-9CE7BE51141B}" name="Bairro"/>
    <tableColumn id="34" xr3:uid="{71AF5680-31CB-4B2B-91E9-40ADDDC18D53}" name="Cidade"/>
    <tableColumn id="35" xr3:uid="{627A8CE4-EDB5-4ABB-90DB-E99E6A61323E}" name="Estado"/>
    <tableColumn id="3" xr3:uid="{F6154326-DFB5-401A-9246-001B9A3EE32B}" name="Número Tel"/>
    <tableColumn id="7" xr3:uid="{022AF474-0292-4F80-839C-62947A8CF0E9}" name="Data de Aniversário"/>
    <tableColumn id="33" xr3:uid="{533BBADA-51ED-4820-A16E-B6042C1432FB}" name="Aniversário" dataDxfId="73">
      <calculatedColumnFormula>_xlfn.IFS(AND(MONTH(Table2[[#This Row],[Data de Aniversário]])=MONTH($D$5),DAY(Table2[[#This Row],[Data de Aniversário]])=DAY($D$5)),"Hoje é o seu aniversário!",AND(MONTH(Table2[[#This Row],[Data de Aniversário]])=MONTH($D$5),DAY(Table2[[#This Row],[Data de Aniversário]])&lt;&gt;DAY($D$5)),"Seu aniversário é esse mês",AND(MONTH(Table2[[#This Row],[Data de Aniversário]])&lt;&gt;MONTH($D$5),DAY(Table2[[#This Row],[Data de Aniversário]])&lt;&gt;DAY($D$5)),"")</calculatedColumnFormula>
    </tableColumn>
    <tableColumn id="28" xr3:uid="{7990781D-AA5D-4C3F-92DE-429660A41334}" name="Total Ganho" dataDxfId="72">
      <calculatedColumnFormula>SUMIFS(Tab_Fluxo[Valor Total],Tab_Fluxo[Cliente],Table2[[#This Row],[Cliente]],Tab_Fluxo[Tipo],"Entradas")</calculatedColumnFormula>
    </tableColumn>
    <tableColumn id="29" xr3:uid="{B84D2E0F-7C52-4615-BDF0-9E6A46F2B598}" name="Total Gasto" dataDxfId="71">
      <calculatedColumnFormula>SUMIFS(Tab_Fluxo[Valor Total],Tab_Fluxo[Cliente],Table2[[#This Row],[Cliente]],Tab_Fluxo[Tipo],"Saídas")</calculatedColumnFormula>
    </tableColumn>
    <tableColumn id="30" xr3:uid="{F9A17B2E-2BC2-4A49-82F3-04593519AEFD}" name="Lucro" dataDxfId="70">
      <calculatedColumnFormula>Table2[[#This Row],[Total Ganho]]-Table2[[#This Row],[Total Gasto]]</calculatedColumnFormula>
    </tableColumn>
    <tableColumn id="4" xr3:uid="{29CF5547-370A-4512-92CA-C84EDD468991}" name="Score" dataDxfId="69">
      <calculatedColumnFormula>SUM(Table2[[#This Row],[Ponderado Tempo]:[Ponderado Pgto]])</calculatedColumnFormula>
    </tableColumn>
    <tableColumn id="31" xr3:uid="{A138DEB0-E13E-46AF-B176-E9AFCC558D3A}" name="-------"/>
    <tableColumn id="5" xr3:uid="{AEC9585B-26D4-409E-A262-73920381D5DD}" name="Compra" dataDxfId="68">
      <calculatedColumnFormula>SUMIFS(Tab_Fluxo[Valor (Aux)],Tab_Fluxo[Cliente],Table2[[#This Row],[Cliente]],Tab_Fluxo[Tipo],"Entradas")</calculatedColumnFormula>
    </tableColumn>
    <tableColumn id="11" xr3:uid="{D3ABCC71-E84A-47F9-8850-0FC04238841A}" name="Primeiro Registro" dataDxfId="67">
      <calculatedColumnFormula array="1">INDEX(Tab_Fluxo[Data],SMALL(IF(Tab_Fluxo[Cliente]=Table2[[#This Row],[Cliente]],ROW(Tab_Fluxo[Cliente])-8),1),1)</calculatedColumnFormula>
    </tableColumn>
    <tableColumn id="13" xr3:uid="{01EA654B-9592-4AD8-A15F-78130F0D410E}" name="Último Registro" dataDxfId="66">
      <calculatedColumnFormula array="1">INDEX(Tab_Fluxo[Data],LARGE(IF(Tab_Fluxo[Cliente]=Table2[[#This Row],[Cliente]],ROW(Tab_Fluxo[Cliente])-8),1),1)</calculatedColumnFormula>
    </tableColumn>
    <tableColumn id="6" xr3:uid="{85B73BAC-F250-448B-8970-AB2C3E00CBD4}" name="Tempo" dataDxfId="65">
      <calculatedColumnFormula>INT((PerfilClienteAux!$E$6-Table2[[#This Row],[Primeiro Registro]])/30)</calculatedColumnFormula>
    </tableColumn>
    <tableColumn id="12" xr3:uid="{1BFFF5C1-3CF4-4021-8278-04F6FFBDAB9C}" name="Nº de compras" dataDxfId="64">
      <calculatedColumnFormula>COUNTIFS(Tab_Fluxo[Tipo],"Entradas",Tab_Fluxo[Cliente],Table2[[#This Row],[Cliente]])</calculatedColumnFormula>
    </tableColumn>
    <tableColumn id="8" xr3:uid="{871DED3E-5D32-4771-BCE7-7F2CED482729}" name="Compra Média" dataDxfId="63">
      <calculatedColumnFormula>Table2[[#This Row],[Compra]]/Table2[[#This Row],[Nº de compras]]</calculatedColumnFormula>
    </tableColumn>
    <tableColumn id="9" xr3:uid="{4E38840B-FCAF-4836-82C1-AD230970EA3A}" name="Recência" dataDxfId="62">
      <calculatedColumnFormula>IF(INT((PerfilClienteAux!$E$6-Table2[[#This Row],[Último Registro]])/30)&lt;0,0,INT((PerfilClienteAux!$E$6-Table2[[#This Row],[Último Registro]])/30))</calculatedColumnFormula>
    </tableColumn>
    <tableColumn id="10" xr3:uid="{8516CBE3-E5BD-44A4-BF56-8D331E747FA0}" name="À Vista" dataDxfId="61">
      <calculatedColumnFormula>SUMIFS(Tab_Fluxo[Valor (Aux)],Tab_Fluxo[Cliente],Table2[[#This Row],[Cliente]],Tab_Fluxo[Método de Pagto],Table2[[#Headers],[À Vista]],Tab_Fluxo[Tipo],"Entradas")</calculatedColumnFormula>
    </tableColumn>
    <tableColumn id="14" xr3:uid="{5DC64E15-6425-43ED-8CF6-F34091949ACA}" name="Cartão" dataDxfId="60">
      <calculatedColumnFormula>SUMIFS(Tab_Fluxo[Valor (Aux)],Tab_Fluxo[Cliente],Table2[[#This Row],[Cliente]],Tab_Fluxo[Método de Pagto],Table2[[#Headers],[Cartão]],Tab_Fluxo[Tipo],"Entradas")</calculatedColumnFormula>
    </tableColumn>
    <tableColumn id="15" xr3:uid="{11F57B53-7B63-4290-AA4F-24619D4723AD}" name="Parcelado" dataDxfId="59">
      <calculatedColumnFormula>SUMIFS(Tab_Fluxo[Valor (Aux)],Tab_Fluxo[Cliente],Table2[[#This Row],[Cliente]],Tab_Fluxo[Método de Pagto],Table2[[#Headers],[Parcelado]],Tab_Fluxo[Tipo],"Entradas")</calculatedColumnFormula>
    </tableColumn>
    <tableColumn id="16" xr3:uid="{B2F54A72-654B-4671-9E9D-02C721462B1A}" name="Maior valor" dataDxfId="58">
      <calculatedColumnFormula>LARGE(Table2[[#This Row],[À Vista]:[Parcelado]],1)</calculatedColumnFormula>
    </tableColumn>
    <tableColumn id="17" xr3:uid="{2F639D4F-22B6-41F9-A1DB-BD3D07DC5A31}" name="Nota Pgto" dataDxfId="57">
      <calculatedColumnFormula>_xlfn.IFS(Table2[[#This Row],[Maior valor]]=Table2[[#This Row],[À Vista]],60,Table2[[#This Row],[Maior valor]]=Table2[[#This Row],[Cartão]],40,Table2[[#This Row],[Maior valor]]=Table2[[#This Row],[Parcelado]],20)</calculatedColumnFormula>
    </tableColumn>
    <tableColumn id="18" xr3:uid="{380F1F0C-630D-4980-9D13-C0439E4804C9}" name="Nota Tempo" dataDxfId="56">
      <calculatedColumnFormula>VLOOKUP(Table2[[#This Row],[Tempo]],PerfilClienteAux!$D$33:$F$37,3,TRUE)</calculatedColumnFormula>
    </tableColumn>
    <tableColumn id="19" xr3:uid="{CB7933AE-8288-4C93-9F77-32D6694CF62D}" name="Nota Compra" dataDxfId="55">
      <calculatedColumnFormula>VLOOKUP(Table2[[#This Row],[Compra]],PerfilClienteAux!$D$40:$F$45,3,TRUE)</calculatedColumnFormula>
    </tableColumn>
    <tableColumn id="20" xr3:uid="{E1362D1C-0540-4553-8230-202E56F48A9D}" name="Nota Compra Média" dataDxfId="54">
      <calculatedColumnFormula>VLOOKUP(Table2[[#This Row],[Compra Média]],PerfilClienteAux!$H$32:$J$37,3,TRUE)</calculatedColumnFormula>
    </tableColumn>
    <tableColumn id="21" xr3:uid="{8DDF98F3-7289-45EA-B141-AAB518223431}" name="Nota Recência" dataDxfId="53">
      <calculatedColumnFormula>VLOOKUP(Table2[[#This Row],[Recência]],PerfilClienteAux!$H$40:$J$45,3,TRUE)</calculatedColumnFormula>
    </tableColumn>
    <tableColumn id="22" xr3:uid="{74C78416-4C98-4639-B950-42830E6DB701}" name="Ponderado Tempo" dataDxfId="52">
      <calculatedColumnFormula>(Table2[[#This Row],[Nota Tempo]]*PerfilClienteAux!$O$19)/PerfilClienteAux!$O$24</calculatedColumnFormula>
    </tableColumn>
    <tableColumn id="23" xr3:uid="{B990D329-0F70-4478-B489-89064BEBD66A}" name="Ponderado Valor Compra" dataDxfId="51">
      <calculatedColumnFormula>(Table2[[#This Row],[Nota Compra]]*PerfilClienteAux!$O$20)/PerfilClienteAux!$O$24</calculatedColumnFormula>
    </tableColumn>
    <tableColumn id="24" xr3:uid="{6555ED9C-5F0B-44A7-A906-407BA7339414}" name="Ponderado Compra Média" dataDxfId="50">
      <calculatedColumnFormula>(Table2[[#This Row],[Nota Compra Média]]*PerfilClienteAux!$O$21)/PerfilClienteAux!$O$24</calculatedColumnFormula>
    </tableColumn>
    <tableColumn id="25" xr3:uid="{40C8517A-E2F8-4247-8B4C-E9F96C9B70A6}" name="Ponderado Recência" dataDxfId="49">
      <calculatedColumnFormula>(Table2[[#This Row],[Nota Recência]]*PerfilClienteAux!$O$22)/PerfilClienteAux!$O$24</calculatedColumnFormula>
    </tableColumn>
    <tableColumn id="26" xr3:uid="{8569E274-E261-475C-AB79-AEA1885D5D39}" name="Ponderado Pgto" dataDxfId="48">
      <calculatedColumnFormula>(Table2[[#This Row],[Nota Pgto]]*PerfilClienteAux!$O$23)/PerfilClienteAux!$O$24</calculatedColumnFormula>
    </tableColumn>
  </tableColumns>
  <tableStyleInfo name="TableStyleDark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440656-CD1C-468C-B992-2EF65FA72858}" name="Table3" displayName="Table3" ref="C7:K10" totalsRowShown="0" headerRowDxfId="28">
  <autoFilter ref="C7:K10" xr:uid="{A76290C9-B065-42D9-B831-43318A7640BA}"/>
  <tableColumns count="9">
    <tableColumn id="8" xr3:uid="{54C6F769-C8E5-4536-8299-A136ABC149EE}" name="Data de Registro"/>
    <tableColumn id="1" xr3:uid="{68DF476A-1112-4F3C-8840-89E3688ED5F5}" name="Projetos"/>
    <tableColumn id="9" xr3:uid="{BAAD0777-1C2D-4E20-BC05-BB067587607F}" name="Cliente"/>
    <tableColumn id="2" xr3:uid="{6EBB76F7-BBB4-48B9-8AC6-BA5912A9F1E0}" name="Data de Inicio"/>
    <tableColumn id="3" xr3:uid="{772A93C3-93E7-4B4A-8CD3-7DB8E38D0608}" name="Data de Conclusão"/>
    <tableColumn id="4" xr3:uid="{E6FAF58C-8843-4420-8130-DF40810015C3}" name="Status"/>
    <tableColumn id="5" xr3:uid="{BC94DC54-F06B-4B99-9E00-EF5FED1EEFEC}" name="Total Ganho" dataDxfId="27">
      <calculatedColumnFormula>SUMIFS(Tab_Fluxo[Valor Total],Tab_Fluxo[Projeto],Table3[[#This Row],[Projetos]],Tab_Fluxo[Tipo],"Entradas")</calculatedColumnFormula>
    </tableColumn>
    <tableColumn id="6" xr3:uid="{E88A0362-85D9-472A-A5DA-528922BF42DE}" name="Total Gasto" dataDxfId="26">
      <calculatedColumnFormula>SUMIFS(Tab_Fluxo[Valor Total],Tab_Fluxo[Projeto],Table3[[#This Row],[Projetos]],Tab_Fluxo[Tipo],"Saídas")</calculatedColumnFormula>
    </tableColumn>
    <tableColumn id="7" xr3:uid="{9EB96734-F72F-4837-BC59-BAEDEF35B23F}" name="Lucro" dataDxfId="25">
      <calculatedColumnFormula>Table3[[#This Row],[Total Ganho]]-Table3[[#This Row],[Total Gasto]]</calculatedColumnFormula>
    </tableColumn>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0.xml"/><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5.xml"/></Relationships>
</file>

<file path=xl/worksheets/_rels/sheet1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9.xml"/><Relationship Id="rId1" Type="http://schemas.openxmlformats.org/officeDocument/2006/relationships/pivotTable" Target="../pivotTables/pivotTable6.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ivotTable" Target="../pivotTables/pivotTable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ivotTable" Target="../pivotTables/pivotTable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31.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EDCA-9889-4699-B6E7-ECC84707986C}">
  <sheetPr codeName="Sheet24"/>
  <dimension ref="H1:K43"/>
  <sheetViews>
    <sheetView workbookViewId="0"/>
  </sheetViews>
  <sheetFormatPr defaultRowHeight="0" customHeight="1" zeroHeight="1" x14ac:dyDescent="0.25"/>
  <cols>
    <col min="1" max="7" width="9.140625" style="143" customWidth="1"/>
    <col min="8" max="8" width="33.140625" style="143" bestFit="1" customWidth="1"/>
    <col min="9" max="10" width="9.140625" style="143" customWidth="1"/>
    <col min="11" max="11" width="24" style="143" bestFit="1" customWidth="1"/>
    <col min="12" max="12" width="2.7109375" style="143" customWidth="1"/>
    <col min="13" max="14" width="9.140625" style="143" customWidth="1"/>
    <col min="15" max="15" width="2.7109375" style="143" customWidth="1"/>
    <col min="16" max="17" width="9.140625" style="143" customWidth="1"/>
    <col min="18" max="18" width="2.5703125" style="143" customWidth="1"/>
    <col min="19" max="25" width="9.140625" style="143" customWidth="1"/>
    <col min="26" max="16384" width="9.140625" style="143"/>
  </cols>
  <sheetData>
    <row r="1" spans="8:11" s="144" customFormat="1" ht="15" x14ac:dyDescent="0.25"/>
    <row r="2" spans="8:11" s="144" customFormat="1" ht="15" x14ac:dyDescent="0.25"/>
    <row r="3" spans="8:11" s="144" customFormat="1" ht="15" x14ac:dyDescent="0.25"/>
    <row r="4" spans="8:11" s="144" customFormat="1" ht="15" x14ac:dyDescent="0.25"/>
    <row r="5" spans="8:11" s="144" customFormat="1" ht="15" x14ac:dyDescent="0.25"/>
    <row r="6" spans="8:11" s="146" customFormat="1" ht="15.75" thickBot="1" x14ac:dyDescent="0.3"/>
    <row r="7" spans="8:11" ht="15" x14ac:dyDescent="0.25"/>
    <row r="8" spans="8:11" ht="15" x14ac:dyDescent="0.25"/>
    <row r="9" spans="8:11" ht="15" x14ac:dyDescent="0.25"/>
    <row r="10" spans="8:11" ht="15" x14ac:dyDescent="0.25"/>
    <row r="11" spans="8:11" ht="15" x14ac:dyDescent="0.25"/>
    <row r="12" spans="8:11" ht="15" x14ac:dyDescent="0.25"/>
    <row r="13" spans="8:11" ht="15" x14ac:dyDescent="0.25"/>
    <row r="14" spans="8:11" ht="18.75" x14ac:dyDescent="0.3">
      <c r="H14" s="147" t="s">
        <v>244</v>
      </c>
      <c r="K14" s="131" t="s">
        <v>267</v>
      </c>
    </row>
    <row r="15" spans="8:11" ht="15" x14ac:dyDescent="0.25"/>
    <row r="16" spans="8:11" ht="15" x14ac:dyDescent="0.25"/>
    <row r="17" spans="8:8" ht="15" x14ac:dyDescent="0.25"/>
    <row r="18" spans="8:8" ht="18.75" x14ac:dyDescent="0.3">
      <c r="H18" s="147" t="s">
        <v>249</v>
      </c>
    </row>
    <row r="19" spans="8:8" ht="15" x14ac:dyDescent="0.25"/>
    <row r="20" spans="8:8" ht="15" x14ac:dyDescent="0.25"/>
    <row r="21" spans="8:8" ht="15" x14ac:dyDescent="0.25"/>
    <row r="22" spans="8:8" ht="18.75" x14ac:dyDescent="0.3">
      <c r="H22" s="147" t="s">
        <v>250</v>
      </c>
    </row>
    <row r="23" spans="8:8" ht="15" x14ac:dyDescent="0.25"/>
    <row r="24" spans="8:8" ht="15" x14ac:dyDescent="0.25"/>
    <row r="25" spans="8:8" ht="15" x14ac:dyDescent="0.25"/>
    <row r="26" spans="8:8" ht="18.75" x14ac:dyDescent="0.3">
      <c r="H26" s="147" t="s">
        <v>266</v>
      </c>
    </row>
    <row r="27" spans="8:8" ht="15" x14ac:dyDescent="0.25"/>
    <row r="28" spans="8:8" ht="15" x14ac:dyDescent="0.25"/>
    <row r="29" spans="8:8" ht="15" x14ac:dyDescent="0.25"/>
    <row r="30" spans="8:8" ht="18.75" x14ac:dyDescent="0.3">
      <c r="H30" s="147" t="s">
        <v>243</v>
      </c>
    </row>
    <row r="31" spans="8:8" ht="15" x14ac:dyDescent="0.25"/>
    <row r="32" spans="8:8" ht="15" x14ac:dyDescent="0.25"/>
    <row r="33" s="145" customFormat="1" ht="15.75" thickBot="1" x14ac:dyDescent="0.3"/>
    <row r="34" s="144" customFormat="1" ht="15" x14ac:dyDescent="0.25"/>
    <row r="35" s="144" customFormat="1" ht="15" x14ac:dyDescent="0.25"/>
    <row r="36" s="144" customFormat="1" ht="15" x14ac:dyDescent="0.25"/>
    <row r="37" s="144" customFormat="1" ht="15" x14ac:dyDescent="0.25"/>
    <row r="38" s="144" customFormat="1" ht="15" x14ac:dyDescent="0.25"/>
    <row r="39" s="144" customFormat="1" ht="15" x14ac:dyDescent="0.25"/>
    <row r="40" s="144" customFormat="1" ht="15" x14ac:dyDescent="0.25"/>
    <row r="41" s="144" customFormat="1" ht="15" x14ac:dyDescent="0.25"/>
    <row r="42" s="144" customFormat="1" ht="15" x14ac:dyDescent="0.25"/>
    <row r="43" s="144" customFormat="1" 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0292A-854F-4259-8659-55348774886C}">
  <sheetPr codeName="Sheet2"/>
  <dimension ref="A1:AG10"/>
  <sheetViews>
    <sheetView showGridLines="0" tabSelected="1" zoomScale="90" zoomScaleNormal="90" workbookViewId="0">
      <selection activeCell="F17" sqref="F17"/>
    </sheetView>
  </sheetViews>
  <sheetFormatPr defaultRowHeight="15" x14ac:dyDescent="0.25"/>
  <cols>
    <col min="1" max="1" width="9.140625" style="120"/>
    <col min="2" max="2" width="9.140625" style="156"/>
    <col min="3" max="6" width="16.140625" customWidth="1"/>
    <col min="7" max="7" width="21.85546875" customWidth="1"/>
    <col min="8" max="8" width="22.42578125" bestFit="1" customWidth="1"/>
    <col min="9" max="9" width="20" customWidth="1"/>
    <col min="10" max="11" width="16.28515625" bestFit="1" customWidth="1"/>
    <col min="12" max="12" width="18.28515625" style="101" bestFit="1" customWidth="1"/>
    <col min="13" max="13" width="18.85546875" style="218" customWidth="1"/>
    <col min="14" max="14" width="22.28515625" style="102" customWidth="1"/>
    <col min="15" max="16" width="16.140625" customWidth="1"/>
    <col min="17" max="17" width="9.7109375" customWidth="1"/>
    <col min="18" max="18" width="11.5703125" customWidth="1"/>
    <col min="19" max="19" width="13.28515625" bestFit="1" customWidth="1"/>
    <col min="20" max="20" width="9.5703125" customWidth="1"/>
  </cols>
  <sheetData>
    <row r="1" spans="1:33" ht="15" customHeight="1" x14ac:dyDescent="0.25">
      <c r="B1" s="189" t="s">
        <v>13</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c r="AD1" s="189"/>
      <c r="AE1" s="189"/>
      <c r="AF1" s="189"/>
      <c r="AG1" s="189"/>
    </row>
    <row r="2" spans="1:33"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row>
    <row r="3" spans="1:33"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row>
    <row r="4" spans="1:33" s="157" customFormat="1" x14ac:dyDescent="0.25">
      <c r="A4" s="120"/>
      <c r="B4" s="153"/>
      <c r="M4" s="215"/>
      <c r="N4" s="158"/>
    </row>
    <row r="5" spans="1:33" s="157" customFormat="1" ht="15.75" x14ac:dyDescent="0.25">
      <c r="A5" s="120"/>
      <c r="B5" s="156"/>
      <c r="C5" s="184" t="s">
        <v>292</v>
      </c>
      <c r="D5" s="185" t="s">
        <v>294</v>
      </c>
      <c r="E5" s="185"/>
      <c r="M5" s="219" t="s">
        <v>0</v>
      </c>
      <c r="N5" s="172">
        <f>LOOKUP(2,1/(LEN(N8:N9949)&gt;0),N8:N9949)</f>
        <v>40</v>
      </c>
    </row>
    <row r="6" spans="1:33" s="105" customFormat="1" ht="16.5" thickBot="1" x14ac:dyDescent="0.3">
      <c r="A6" s="120"/>
      <c r="B6" s="155"/>
      <c r="C6" s="183" t="str">
        <f>HYPERLINK("#C"&amp;MATCH(TRUE,INDEX(ISBLANK(C8:C99949),0,0),0)+7,"Clique Aqui")</f>
        <v>Clique Aqui</v>
      </c>
      <c r="D6" s="186" t="s">
        <v>293</v>
      </c>
      <c r="E6" s="186"/>
      <c r="M6" s="220" t="s">
        <v>1</v>
      </c>
      <c r="N6" s="173">
        <v>0</v>
      </c>
    </row>
    <row r="7" spans="1:33" x14ac:dyDescent="0.25">
      <c r="C7" s="1" t="s">
        <v>2</v>
      </c>
      <c r="D7" s="1" t="s">
        <v>3</v>
      </c>
      <c r="E7" s="1" t="s">
        <v>4</v>
      </c>
      <c r="F7" s="1" t="s">
        <v>40</v>
      </c>
      <c r="G7" s="116" t="s">
        <v>301</v>
      </c>
      <c r="H7" s="1" t="s">
        <v>21</v>
      </c>
      <c r="I7" s="1" t="s">
        <v>41</v>
      </c>
      <c r="J7" s="1" t="s">
        <v>128</v>
      </c>
      <c r="K7" s="1" t="s">
        <v>197</v>
      </c>
      <c r="L7" s="1" t="s">
        <v>198</v>
      </c>
      <c r="M7" s="216" t="s">
        <v>199</v>
      </c>
      <c r="N7" s="1" t="s">
        <v>212</v>
      </c>
      <c r="O7" s="1" t="s">
        <v>6</v>
      </c>
      <c r="P7" s="1" t="s">
        <v>56</v>
      </c>
      <c r="Q7" s="5" t="s">
        <v>57</v>
      </c>
      <c r="R7" s="5" t="s">
        <v>75</v>
      </c>
    </row>
    <row r="8" spans="1:33" x14ac:dyDescent="0.25">
      <c r="C8" s="3">
        <v>44688</v>
      </c>
      <c r="D8" t="s">
        <v>7</v>
      </c>
      <c r="E8" t="s">
        <v>9</v>
      </c>
      <c r="F8" t="s">
        <v>33</v>
      </c>
      <c r="G8" s="102" t="s">
        <v>10</v>
      </c>
      <c r="J8" t="s">
        <v>107</v>
      </c>
      <c r="L8" s="101">
        <v>1</v>
      </c>
      <c r="M8" s="217">
        <v>300</v>
      </c>
      <c r="N8" s="4">
        <f>IF(Tab_Fluxo[[#This Row],[Quantidade]]="",Tab_Fluxo[[#This Row],[Valor Unitário]],Tab_Fluxo[[#This Row],[Valor Unitário]]*Tab_Fluxo[[#This Row],[Quantidade]])</f>
        <v>300</v>
      </c>
      <c r="O8" s="4">
        <f>N6+IF(D8="Entradas",N8,-N8)</f>
        <v>-300</v>
      </c>
      <c r="P8">
        <f>MONTH(Tab_Fluxo[[#This Row],[Data]])</f>
        <v>5</v>
      </c>
      <c r="Q8">
        <f>YEAR(Tab_Fluxo[[#This Row],[Data]])</f>
        <v>2022</v>
      </c>
      <c r="R8">
        <f>IF(Tab_Fluxo[[#This Row],[Tipo]]="Entradas",Tab_Fluxo[[#This Row],[Valor Total]],-Tab_Fluxo[[#This Row],[Valor Total]])</f>
        <v>-300</v>
      </c>
    </row>
    <row r="9" spans="1:33" x14ac:dyDescent="0.25">
      <c r="C9" s="3">
        <v>44689</v>
      </c>
      <c r="D9" t="s">
        <v>8</v>
      </c>
      <c r="E9" t="s">
        <v>282</v>
      </c>
      <c r="F9" t="s">
        <v>17</v>
      </c>
      <c r="G9" s="102"/>
      <c r="H9" t="s">
        <v>22</v>
      </c>
      <c r="I9" t="s">
        <v>11</v>
      </c>
      <c r="J9" t="s">
        <v>129</v>
      </c>
      <c r="L9" s="101">
        <v>1</v>
      </c>
      <c r="M9" s="217">
        <v>2000</v>
      </c>
      <c r="N9" s="4">
        <f>IF(Tab_Fluxo[[#This Row],[Quantidade]]="",Tab_Fluxo[[#This Row],[Valor Unitário]],Tab_Fluxo[[#This Row],[Valor Unitário]]*Tab_Fluxo[[#This Row],[Quantidade]])</f>
        <v>2000</v>
      </c>
      <c r="O9" s="4">
        <f>O8+IF(D9="Entradas",N9,-N9)</f>
        <v>1700</v>
      </c>
      <c r="P9">
        <f>MONTH(Tab_Fluxo[[#This Row],[Data]])</f>
        <v>5</v>
      </c>
      <c r="Q9">
        <f>YEAR(Tab_Fluxo[[#This Row],[Data]])</f>
        <v>2022</v>
      </c>
      <c r="R9">
        <f>IF(Tab_Fluxo[[#This Row],[Tipo]]="Entradas",Tab_Fluxo[[#This Row],[Valor Total]],-Tab_Fluxo[[#This Row],[Valor Total]])</f>
        <v>2000</v>
      </c>
    </row>
    <row r="10" spans="1:33" x14ac:dyDescent="0.25">
      <c r="C10" s="3">
        <v>44690</v>
      </c>
      <c r="D10" t="s">
        <v>8</v>
      </c>
      <c r="E10" t="s">
        <v>282</v>
      </c>
      <c r="F10" t="s">
        <v>19</v>
      </c>
      <c r="G10" s="102"/>
      <c r="H10" t="s">
        <v>24</v>
      </c>
      <c r="I10" t="s">
        <v>30</v>
      </c>
      <c r="J10" t="s">
        <v>129</v>
      </c>
      <c r="L10" s="101">
        <v>1</v>
      </c>
      <c r="M10" s="217">
        <v>40</v>
      </c>
      <c r="N10" s="4">
        <f>IF(Tab_Fluxo[[#This Row],[Quantidade]]="",Tab_Fluxo[[#This Row],[Valor Unitário]],Tab_Fluxo[[#This Row],[Valor Unitário]]*Tab_Fluxo[[#This Row],[Quantidade]])</f>
        <v>40</v>
      </c>
      <c r="O10" s="4">
        <f>O9+IF(D10="Entradas",N10,-N10)</f>
        <v>1740</v>
      </c>
      <c r="P10">
        <f>MONTH(Tab_Fluxo[[#This Row],[Data]])</f>
        <v>5</v>
      </c>
      <c r="Q10">
        <f>YEAR(Tab_Fluxo[[#This Row],[Data]])</f>
        <v>2022</v>
      </c>
      <c r="R10">
        <f>IF(Tab_Fluxo[[#This Row],[Tipo]]="Entradas",Tab_Fluxo[[#This Row],[Valor Total]],-Tab_Fluxo[[#This Row],[Valor Total]])</f>
        <v>40</v>
      </c>
    </row>
  </sheetData>
  <mergeCells count="2">
    <mergeCell ref="B1:AB3"/>
    <mergeCell ref="AC1:AG3"/>
  </mergeCells>
  <dataValidations count="6">
    <dataValidation type="list" allowBlank="1" showInputMessage="1" showErrorMessage="1" sqref="D8:D10" xr:uid="{3DAADE4A-F252-47A1-AC29-186E38A95DD5}">
      <formula1>"Entradas,Saídas"</formula1>
    </dataValidation>
    <dataValidation type="list" allowBlank="1" showInputMessage="1" showErrorMessage="1" sqref="H8:H10" xr:uid="{F5AD9F3F-283D-421D-9F9C-2F9DCCF7367F}">
      <formula1>Cliente</formula1>
    </dataValidation>
    <dataValidation type="list" allowBlank="1" showInputMessage="1" showErrorMessage="1" sqref="I8:I10" xr:uid="{0BBC3859-D682-41BB-825F-7D7983831593}">
      <formula1>Projetos</formula1>
    </dataValidation>
    <dataValidation type="list" allowBlank="1" showInputMessage="1" showErrorMessage="1" sqref="J8:J10" xr:uid="{46B90BA7-C736-43EA-9B2B-0FE01FF5BAF3}">
      <formula1>MetodosPgt</formula1>
    </dataValidation>
    <dataValidation type="list" allowBlank="1" showInputMessage="1" showErrorMessage="1" sqref="K8:K10" xr:uid="{93A84CE6-96DC-4546-AE40-D72231708055}">
      <formula1>Produtos</formula1>
    </dataValidation>
    <dataValidation type="list" allowBlank="1" showInputMessage="1" showErrorMessage="1" sqref="E8:G10" xr:uid="{165E2C19-3202-40F4-8C54-E63022B01E77}">
      <formula1>INDIRECT(D8)</formula1>
    </dataValidation>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159E-4BA4-4B00-8F58-264188CED767}">
  <sheetPr codeName="Sheet3"/>
  <dimension ref="A1:T64"/>
  <sheetViews>
    <sheetView workbookViewId="0"/>
  </sheetViews>
  <sheetFormatPr defaultRowHeight="15" x14ac:dyDescent="0.25"/>
  <cols>
    <col min="1" max="1" width="9.140625" style="120"/>
    <col min="3" max="3" width="20.7109375" bestFit="1" customWidth="1"/>
    <col min="5" max="5" width="14.140625" bestFit="1" customWidth="1"/>
    <col min="8" max="8" width="13.140625" bestFit="1" customWidth="1"/>
    <col min="11" max="11" width="17.42578125" bestFit="1" customWidth="1"/>
    <col min="13" max="13" width="21.42578125" bestFit="1" customWidth="1"/>
    <col min="14" max="14" width="19.5703125" bestFit="1" customWidth="1"/>
    <col min="17" max="17" width="19.5703125" bestFit="1" customWidth="1"/>
    <col min="20" max="20" width="17.28515625" bestFit="1" customWidth="1"/>
  </cols>
  <sheetData>
    <row r="1" spans="1:20" x14ac:dyDescent="0.25">
      <c r="A1" s="136"/>
    </row>
    <row r="2" spans="1:20" x14ac:dyDescent="0.25">
      <c r="A2" s="137"/>
      <c r="T2" t="s">
        <v>281</v>
      </c>
    </row>
    <row r="3" spans="1:20" ht="15.75" thickBot="1" x14ac:dyDescent="0.3">
      <c r="A3" s="138"/>
      <c r="C3" s="2" t="s">
        <v>7</v>
      </c>
      <c r="E3" s="2" t="s">
        <v>8</v>
      </c>
      <c r="H3" s="6" t="s">
        <v>282</v>
      </c>
      <c r="K3" s="6" t="s">
        <v>21</v>
      </c>
      <c r="N3" s="6" t="s">
        <v>28</v>
      </c>
      <c r="Q3" s="8" t="s">
        <v>126</v>
      </c>
      <c r="T3" s="2" t="s">
        <v>278</v>
      </c>
    </row>
    <row r="4" spans="1:20" x14ac:dyDescent="0.25">
      <c r="C4" t="s">
        <v>9</v>
      </c>
      <c r="E4" t="s">
        <v>282</v>
      </c>
      <c r="H4" t="s">
        <v>19</v>
      </c>
      <c r="K4" t="s">
        <v>39</v>
      </c>
      <c r="N4" t="s">
        <v>39</v>
      </c>
      <c r="Q4" t="s">
        <v>129</v>
      </c>
      <c r="T4" t="s">
        <v>280</v>
      </c>
    </row>
    <row r="5" spans="1:20" x14ac:dyDescent="0.25">
      <c r="C5" t="s">
        <v>38</v>
      </c>
      <c r="E5" t="s">
        <v>14</v>
      </c>
      <c r="H5" t="s">
        <v>18</v>
      </c>
      <c r="K5" t="s">
        <v>22</v>
      </c>
      <c r="N5" t="s">
        <v>11</v>
      </c>
      <c r="Q5" t="s">
        <v>107</v>
      </c>
      <c r="T5" t="s">
        <v>279</v>
      </c>
    </row>
    <row r="6" spans="1:20" x14ac:dyDescent="0.25">
      <c r="C6" t="s">
        <v>12</v>
      </c>
      <c r="H6" t="s">
        <v>17</v>
      </c>
      <c r="K6" t="s">
        <v>23</v>
      </c>
      <c r="N6" t="s">
        <v>29</v>
      </c>
      <c r="Q6" t="s">
        <v>127</v>
      </c>
    </row>
    <row r="7" spans="1:20" x14ac:dyDescent="0.25">
      <c r="C7" t="s">
        <v>80</v>
      </c>
      <c r="K7" t="s">
        <v>24</v>
      </c>
      <c r="N7" t="s">
        <v>30</v>
      </c>
    </row>
    <row r="8" spans="1:20" x14ac:dyDescent="0.25">
      <c r="C8" t="s">
        <v>20</v>
      </c>
      <c r="K8" t="s">
        <v>25</v>
      </c>
      <c r="N8" t="s">
        <v>31</v>
      </c>
    </row>
    <row r="9" spans="1:20" x14ac:dyDescent="0.25">
      <c r="C9" t="s">
        <v>43</v>
      </c>
      <c r="K9" t="s">
        <v>26</v>
      </c>
      <c r="N9" t="s">
        <v>32</v>
      </c>
    </row>
    <row r="10" spans="1:20" x14ac:dyDescent="0.25">
      <c r="C10" t="s">
        <v>78</v>
      </c>
      <c r="K10" t="s">
        <v>27</v>
      </c>
      <c r="N10" t="s">
        <v>44</v>
      </c>
    </row>
    <row r="11" spans="1:20" x14ac:dyDescent="0.25">
      <c r="C11" t="s">
        <v>79</v>
      </c>
      <c r="K11" t="s">
        <v>45</v>
      </c>
    </row>
    <row r="14" spans="1:20" x14ac:dyDescent="0.25">
      <c r="H14" s="6" t="s">
        <v>37</v>
      </c>
    </row>
    <row r="15" spans="1:20" x14ac:dyDescent="0.25">
      <c r="H15" t="s">
        <v>81</v>
      </c>
      <c r="M15" t="s">
        <v>220</v>
      </c>
    </row>
    <row r="16" spans="1:20" x14ac:dyDescent="0.25">
      <c r="H16" t="s">
        <v>82</v>
      </c>
      <c r="M16" s="2" t="s">
        <v>7</v>
      </c>
      <c r="O16" s="2" t="s">
        <v>8</v>
      </c>
    </row>
    <row r="17" spans="5:15" x14ac:dyDescent="0.25">
      <c r="M17" t="s">
        <v>189</v>
      </c>
      <c r="O17" t="s">
        <v>189</v>
      </c>
    </row>
    <row r="18" spans="5:15" x14ac:dyDescent="0.25">
      <c r="M18" t="s">
        <v>9</v>
      </c>
      <c r="O18" t="s">
        <v>282</v>
      </c>
    </row>
    <row r="19" spans="5:15" x14ac:dyDescent="0.25">
      <c r="M19" t="s">
        <v>38</v>
      </c>
      <c r="O19" t="s">
        <v>14</v>
      </c>
    </row>
    <row r="20" spans="5:15" x14ac:dyDescent="0.25">
      <c r="M20" t="s">
        <v>12</v>
      </c>
    </row>
    <row r="21" spans="5:15" x14ac:dyDescent="0.25">
      <c r="M21" t="s">
        <v>80</v>
      </c>
    </row>
    <row r="22" spans="5:15" x14ac:dyDescent="0.25">
      <c r="E22" s="6" t="s">
        <v>9</v>
      </c>
      <c r="M22" t="s">
        <v>20</v>
      </c>
    </row>
    <row r="23" spans="5:15" x14ac:dyDescent="0.25">
      <c r="E23" t="s">
        <v>33</v>
      </c>
      <c r="M23" t="s">
        <v>43</v>
      </c>
    </row>
    <row r="24" spans="5:15" x14ac:dyDescent="0.25">
      <c r="E24" t="s">
        <v>34</v>
      </c>
      <c r="M24" t="s">
        <v>78</v>
      </c>
    </row>
    <row r="25" spans="5:15" x14ac:dyDescent="0.25">
      <c r="E25" t="s">
        <v>35</v>
      </c>
      <c r="M25" t="s">
        <v>79</v>
      </c>
    </row>
    <row r="30" spans="5:15" x14ac:dyDescent="0.25">
      <c r="E30" s="6" t="s">
        <v>36</v>
      </c>
    </row>
    <row r="31" spans="5:15" x14ac:dyDescent="0.25">
      <c r="E31" t="s">
        <v>83</v>
      </c>
    </row>
    <row r="32" spans="5:15" x14ac:dyDescent="0.25">
      <c r="E32" t="s">
        <v>84</v>
      </c>
    </row>
    <row r="33" spans="5:5" x14ac:dyDescent="0.25">
      <c r="E33" t="s">
        <v>213</v>
      </c>
    </row>
    <row r="36" spans="5:5" x14ac:dyDescent="0.25">
      <c r="E36" s="6" t="s">
        <v>12</v>
      </c>
    </row>
    <row r="37" spans="5:5" x14ac:dyDescent="0.25">
      <c r="E37" s="7" t="s">
        <v>42</v>
      </c>
    </row>
    <row r="38" spans="5:5" x14ac:dyDescent="0.25">
      <c r="E38" t="s">
        <v>19</v>
      </c>
    </row>
    <row r="39" spans="5:5" x14ac:dyDescent="0.25">
      <c r="E39" t="s">
        <v>18</v>
      </c>
    </row>
    <row r="40" spans="5:5" x14ac:dyDescent="0.25">
      <c r="E40" t="s">
        <v>17</v>
      </c>
    </row>
    <row r="41" spans="5:5" x14ac:dyDescent="0.25">
      <c r="E41" t="s">
        <v>9</v>
      </c>
    </row>
    <row r="42" spans="5:5" x14ac:dyDescent="0.25">
      <c r="E42" t="s">
        <v>16</v>
      </c>
    </row>
    <row r="47" spans="5:5" x14ac:dyDescent="0.25">
      <c r="E47" s="6" t="s">
        <v>15</v>
      </c>
    </row>
    <row r="48" spans="5:5" x14ac:dyDescent="0.25">
      <c r="E48" t="s">
        <v>19</v>
      </c>
    </row>
    <row r="49" spans="5:5" x14ac:dyDescent="0.25">
      <c r="E49" t="s">
        <v>18</v>
      </c>
    </row>
    <row r="50" spans="5:5" x14ac:dyDescent="0.25">
      <c r="E50" t="s">
        <v>17</v>
      </c>
    </row>
    <row r="54" spans="5:5" x14ac:dyDescent="0.25">
      <c r="E54" s="6" t="s">
        <v>20</v>
      </c>
    </row>
    <row r="55" spans="5:5" x14ac:dyDescent="0.25">
      <c r="E55" t="s">
        <v>19</v>
      </c>
    </row>
    <row r="56" spans="5:5" x14ac:dyDescent="0.25">
      <c r="E56" t="s">
        <v>18</v>
      </c>
    </row>
    <row r="57" spans="5:5" x14ac:dyDescent="0.25">
      <c r="E57" t="s">
        <v>17</v>
      </c>
    </row>
    <row r="61" spans="5:5" x14ac:dyDescent="0.25">
      <c r="E61" s="6" t="s">
        <v>43</v>
      </c>
    </row>
    <row r="62" spans="5:5" x14ac:dyDescent="0.25">
      <c r="E62" t="s">
        <v>19</v>
      </c>
    </row>
    <row r="63" spans="5:5" x14ac:dyDescent="0.25">
      <c r="E63" t="s">
        <v>18</v>
      </c>
    </row>
    <row r="64" spans="5:5" x14ac:dyDescent="0.25">
      <c r="E64" t="s">
        <v>17</v>
      </c>
    </row>
  </sheetData>
  <conditionalFormatting sqref="E55:E57">
    <cfRule type="duplicateValues" dxfId="8" priority="2"/>
  </conditionalFormatting>
  <conditionalFormatting sqref="E62:E64">
    <cfRule type="duplicateValues" dxfId="7" priority="1"/>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F9B67-D124-4DA0-80B3-89E0C0258CDF}">
  <sheetPr codeName="Sheet4"/>
  <dimension ref="G1:S39"/>
  <sheetViews>
    <sheetView workbookViewId="0"/>
  </sheetViews>
  <sheetFormatPr defaultRowHeight="0" customHeight="1" zeroHeight="1" x14ac:dyDescent="0.25"/>
  <cols>
    <col min="1" max="6" width="9.140625" style="143" customWidth="1"/>
    <col min="7" max="7" width="22.5703125" style="143" bestFit="1" customWidth="1"/>
    <col min="8" max="9" width="9.140625" style="143" customWidth="1"/>
    <col min="10" max="10" width="26.140625" style="143" bestFit="1" customWidth="1"/>
    <col min="11" max="11" width="2.7109375" style="143" customWidth="1"/>
    <col min="12" max="12" width="9.140625" style="143" customWidth="1"/>
    <col min="13" max="13" width="24.7109375" style="143" bestFit="1" customWidth="1"/>
    <col min="14" max="14" width="2.7109375" style="143" customWidth="1"/>
    <col min="15" max="15" width="9.140625" style="143" customWidth="1"/>
    <col min="16" max="16" width="24.7109375" style="143" bestFit="1" customWidth="1"/>
    <col min="17" max="17" width="2.5703125" style="143" customWidth="1"/>
    <col min="18" max="18" width="9.140625" style="143" customWidth="1"/>
    <col min="19" max="19" width="24.7109375" style="143" bestFit="1" customWidth="1"/>
    <col min="20" max="24" width="9.140625" style="143" customWidth="1"/>
    <col min="25" max="16384" width="9.140625" style="143"/>
  </cols>
  <sheetData>
    <row r="1" spans="7:7" s="144" customFormat="1" ht="15" x14ac:dyDescent="0.25"/>
    <row r="2" spans="7:7" s="144" customFormat="1" ht="15" x14ac:dyDescent="0.25"/>
    <row r="3" spans="7:7" s="144" customFormat="1" ht="15" x14ac:dyDescent="0.25"/>
    <row r="4" spans="7:7" s="144" customFormat="1" ht="15" x14ac:dyDescent="0.25"/>
    <row r="5" spans="7:7" s="146" customFormat="1" ht="15.75" thickBot="1" x14ac:dyDescent="0.3"/>
    <row r="6" spans="7:7" ht="15" x14ac:dyDescent="0.25"/>
    <row r="7" spans="7:7" ht="15" x14ac:dyDescent="0.25"/>
    <row r="8" spans="7:7" ht="15" x14ac:dyDescent="0.25"/>
    <row r="9" spans="7:7" ht="15" x14ac:dyDescent="0.25"/>
    <row r="10" spans="7:7" ht="15" x14ac:dyDescent="0.25"/>
    <row r="11" spans="7:7" ht="15" x14ac:dyDescent="0.25"/>
    <row r="12" spans="7:7" ht="15" x14ac:dyDescent="0.25"/>
    <row r="13" spans="7:7" ht="15.75" x14ac:dyDescent="0.25">
      <c r="G13" s="131" t="s">
        <v>246</v>
      </c>
    </row>
    <row r="14" spans="7:7" ht="15" x14ac:dyDescent="0.25"/>
    <row r="15" spans="7:7" ht="15" x14ac:dyDescent="0.25"/>
    <row r="16" spans="7:7" ht="15" x14ac:dyDescent="0.25"/>
    <row r="17" spans="7:19" ht="15.75" x14ac:dyDescent="0.25">
      <c r="G17" s="131" t="s">
        <v>201</v>
      </c>
    </row>
    <row r="18" spans="7:19" ht="15" x14ac:dyDescent="0.25"/>
    <row r="19" spans="7:19" ht="15" x14ac:dyDescent="0.25"/>
    <row r="20" spans="7:19" ht="15" x14ac:dyDescent="0.25"/>
    <row r="21" spans="7:19" ht="15.75" x14ac:dyDescent="0.25">
      <c r="G21" s="131" t="s">
        <v>237</v>
      </c>
      <c r="J21" s="131" t="s">
        <v>268</v>
      </c>
      <c r="M21" s="131" t="s">
        <v>269</v>
      </c>
      <c r="P21" s="131" t="s">
        <v>270</v>
      </c>
      <c r="S21" s="131" t="s">
        <v>271</v>
      </c>
    </row>
    <row r="22" spans="7:19" ht="15" x14ac:dyDescent="0.25"/>
    <row r="23" spans="7:19" ht="15" x14ac:dyDescent="0.25"/>
    <row r="24" spans="7:19" ht="15" x14ac:dyDescent="0.25"/>
    <row r="25" spans="7:19" ht="15" x14ac:dyDescent="0.25"/>
    <row r="26" spans="7:19" ht="15" x14ac:dyDescent="0.25"/>
    <row r="27" spans="7:19" ht="15" x14ac:dyDescent="0.25"/>
    <row r="28" spans="7:19" ht="15" x14ac:dyDescent="0.25"/>
    <row r="29" spans="7:19" s="145" customFormat="1" ht="15.75" thickBot="1" x14ac:dyDescent="0.3"/>
    <row r="30" spans="7:19" s="144" customFormat="1" ht="15" x14ac:dyDescent="0.25"/>
    <row r="31" spans="7:19" s="144" customFormat="1" ht="15" x14ac:dyDescent="0.25"/>
    <row r="32" spans="7:19" s="144" customFormat="1" ht="15" x14ac:dyDescent="0.25"/>
    <row r="33" s="144" customFormat="1" ht="15" x14ac:dyDescent="0.25"/>
    <row r="34" s="144" customFormat="1" ht="15" x14ac:dyDescent="0.25"/>
    <row r="35" s="144" customFormat="1" ht="15" x14ac:dyDescent="0.25"/>
    <row r="36" s="144" customFormat="1" ht="15" x14ac:dyDescent="0.25"/>
    <row r="37" s="144" customFormat="1" ht="15" x14ac:dyDescent="0.25"/>
    <row r="38" s="144" customFormat="1" ht="15" x14ac:dyDescent="0.25"/>
    <row r="39" s="144" customFormat="1" 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56B11-ABC4-4D19-AB25-C744683BF322}">
  <sheetPr codeName="Sheet5"/>
  <dimension ref="A1:AF9"/>
  <sheetViews>
    <sheetView workbookViewId="0">
      <selection activeCell="F19" sqref="F19"/>
    </sheetView>
  </sheetViews>
  <sheetFormatPr defaultRowHeight="15" x14ac:dyDescent="0.25"/>
  <cols>
    <col min="1" max="1" width="9.140625" style="120"/>
    <col min="2" max="2" width="9.140625" style="156"/>
    <col min="3" max="3" width="26" customWidth="1"/>
    <col min="4" max="4" width="26.140625" bestFit="1" customWidth="1"/>
    <col min="5" max="5" width="17.7109375" customWidth="1"/>
    <col min="6" max="6" width="13.28515625" customWidth="1"/>
    <col min="7" max="7" width="21" bestFit="1" customWidth="1"/>
  </cols>
  <sheetData>
    <row r="1" spans="1:32" s="174" customFormat="1" ht="15" customHeight="1" x14ac:dyDescent="0.25">
      <c r="A1" s="136"/>
      <c r="B1" s="191" t="s">
        <v>246</v>
      </c>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row>
    <row r="2" spans="1:32" s="174" customFormat="1" ht="15" customHeight="1" x14ac:dyDescent="0.25">
      <c r="A2" s="137"/>
      <c r="B2" s="191"/>
      <c r="C2" s="192"/>
      <c r="D2" s="192"/>
      <c r="E2" s="192"/>
      <c r="F2" s="192"/>
      <c r="G2" s="192"/>
      <c r="H2" s="192"/>
      <c r="I2" s="192"/>
      <c r="J2" s="192"/>
      <c r="K2" s="192"/>
      <c r="L2" s="192"/>
      <c r="M2" s="192"/>
      <c r="N2" s="192"/>
      <c r="O2" s="192"/>
      <c r="P2" s="192"/>
      <c r="Q2" s="192"/>
      <c r="R2" s="192"/>
      <c r="S2" s="192"/>
      <c r="T2" s="192"/>
      <c r="U2" s="192"/>
      <c r="V2" s="192"/>
      <c r="W2" s="192"/>
      <c r="X2" s="192"/>
      <c r="Y2" s="192"/>
      <c r="Z2" s="192"/>
      <c r="AA2" s="192"/>
      <c r="AB2" s="192"/>
      <c r="AC2" s="192"/>
      <c r="AD2" s="192"/>
      <c r="AE2" s="192"/>
      <c r="AF2" s="192"/>
    </row>
    <row r="3" spans="1:32" s="174" customFormat="1" ht="15" customHeight="1" thickBot="1" x14ac:dyDescent="0.3">
      <c r="A3" s="138"/>
      <c r="B3" s="193"/>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row>
    <row r="4" spans="1:32" s="12" customFormat="1" x14ac:dyDescent="0.25">
      <c r="A4" s="120"/>
      <c r="B4" s="153"/>
      <c r="C4" s="13"/>
      <c r="D4" s="13"/>
      <c r="E4" s="13"/>
      <c r="F4" s="117"/>
      <c r="G4" s="117"/>
      <c r="H4" s="117"/>
      <c r="I4" s="117"/>
      <c r="J4" s="13"/>
      <c r="K4" s="13"/>
      <c r="L4" s="13"/>
      <c r="M4" s="13"/>
      <c r="N4" s="13"/>
      <c r="O4" s="13"/>
      <c r="P4" s="13"/>
      <c r="Q4" s="13"/>
      <c r="R4" s="13"/>
      <c r="Y4" s="14"/>
      <c r="Z4" s="14"/>
      <c r="AA4" s="14"/>
    </row>
    <row r="5" spans="1:32" s="12" customFormat="1" x14ac:dyDescent="0.25">
      <c r="A5" s="120"/>
      <c r="B5" s="154"/>
      <c r="C5" s="13"/>
      <c r="D5" s="13"/>
      <c r="E5" s="13"/>
      <c r="F5" s="117"/>
      <c r="G5" s="117"/>
      <c r="H5" s="117"/>
      <c r="I5" s="117"/>
      <c r="J5" s="13"/>
      <c r="K5" s="13"/>
      <c r="L5" s="13"/>
      <c r="M5" s="13"/>
      <c r="N5" s="13"/>
      <c r="O5" s="13"/>
      <c r="P5" s="13"/>
      <c r="Q5" s="13"/>
      <c r="R5" s="13"/>
      <c r="Y5" s="14"/>
      <c r="Z5" s="14"/>
      <c r="AA5" s="14"/>
    </row>
    <row r="6" spans="1:32" s="105" customFormat="1" ht="15.75" thickBot="1" x14ac:dyDescent="0.3">
      <c r="A6" s="120"/>
      <c r="B6" s="155"/>
      <c r="C6" s="159"/>
      <c r="P6" s="106"/>
      <c r="Q6" s="106"/>
      <c r="R6" s="106"/>
      <c r="Y6" s="161"/>
      <c r="Z6" s="161"/>
      <c r="AA6" s="161"/>
    </row>
    <row r="7" spans="1:32" x14ac:dyDescent="0.25">
      <c r="C7" s="8" t="s">
        <v>221</v>
      </c>
      <c r="D7" s="8" t="s">
        <v>74</v>
      </c>
      <c r="E7" s="8" t="s">
        <v>228</v>
      </c>
      <c r="F7" s="8" t="s">
        <v>85</v>
      </c>
      <c r="G7" s="8" t="s">
        <v>241</v>
      </c>
    </row>
    <row r="8" spans="1:32" x14ac:dyDescent="0.25">
      <c r="D8" t="s">
        <v>226</v>
      </c>
    </row>
    <row r="9" spans="1:32" x14ac:dyDescent="0.25">
      <c r="D9" t="s">
        <v>227</v>
      </c>
    </row>
  </sheetData>
  <mergeCells count="2">
    <mergeCell ref="B1:AA3"/>
    <mergeCell ref="AB1:AF3"/>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FA25-1492-4AA0-ABEC-C211E86888FD}">
  <sheetPr codeName="Sheet6"/>
  <dimension ref="A1:AF20"/>
  <sheetViews>
    <sheetView showGridLines="0" zoomScale="90" zoomScaleNormal="90" workbookViewId="0">
      <selection activeCell="F20" sqref="F20"/>
    </sheetView>
  </sheetViews>
  <sheetFormatPr defaultRowHeight="15" x14ac:dyDescent="0.25"/>
  <cols>
    <col min="1" max="1" width="9.140625" style="120"/>
    <col min="2" max="2" width="9.140625" style="156" customWidth="1"/>
    <col min="3" max="3" width="23.42578125" style="9" customWidth="1"/>
    <col min="4" max="4" width="24.42578125" style="9" bestFit="1" customWidth="1"/>
    <col min="5" max="5" width="18.140625" style="9" customWidth="1"/>
    <col min="6" max="6" width="23.85546875" style="9" bestFit="1" customWidth="1"/>
    <col min="7" max="10" width="23.85546875" style="4" customWidth="1"/>
    <col min="11" max="11" width="32.7109375" style="9" bestFit="1" customWidth="1"/>
    <col min="12" max="19" width="15.7109375" style="9" customWidth="1"/>
    <col min="21" max="21" width="5.140625" customWidth="1"/>
  </cols>
  <sheetData>
    <row r="1" spans="1:32" ht="15" customHeight="1" x14ac:dyDescent="0.25">
      <c r="B1" s="189" t="s">
        <v>252</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c r="AD1" s="189"/>
      <c r="AE1" s="189"/>
      <c r="AF1" s="189"/>
    </row>
    <row r="2" spans="1:32"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row>
    <row r="3" spans="1:32" s="170" customFormat="1" ht="15" customHeight="1" thickBot="1" x14ac:dyDescent="0.3">
      <c r="A3" s="169"/>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row>
    <row r="4" spans="1:32" x14ac:dyDescent="0.25">
      <c r="C4" s="13"/>
      <c r="D4" s="13"/>
      <c r="E4" s="13"/>
      <c r="F4" s="13"/>
      <c r="G4" s="117"/>
      <c r="H4" s="117"/>
      <c r="I4" s="117"/>
      <c r="J4" s="117"/>
      <c r="K4" s="13"/>
      <c r="L4" s="13"/>
      <c r="M4" s="13"/>
      <c r="N4" s="13"/>
      <c r="O4" s="13"/>
      <c r="P4" s="13"/>
      <c r="Q4" s="13"/>
      <c r="R4" s="13"/>
      <c r="S4" s="13"/>
      <c r="T4" s="12"/>
      <c r="U4" s="12"/>
      <c r="V4" s="12"/>
      <c r="W4" s="12"/>
      <c r="X4" s="12"/>
      <c r="Y4" s="12"/>
      <c r="Z4" s="14"/>
      <c r="AA4" s="14"/>
      <c r="AB4" s="14"/>
    </row>
    <row r="5" spans="1:32" x14ac:dyDescent="0.25">
      <c r="C5" s="13"/>
      <c r="D5" s="13"/>
      <c r="E5" s="13"/>
      <c r="F5" s="13"/>
      <c r="G5" s="117"/>
      <c r="H5" s="117"/>
      <c r="I5" s="117"/>
      <c r="J5" s="117"/>
      <c r="K5" s="13"/>
      <c r="L5" s="13"/>
      <c r="M5" s="13"/>
      <c r="N5" s="13"/>
      <c r="O5" s="13"/>
      <c r="P5" s="13"/>
      <c r="Q5" s="13"/>
      <c r="R5" s="13"/>
      <c r="S5" s="13"/>
      <c r="T5" s="12"/>
      <c r="U5" s="12"/>
      <c r="V5" s="12"/>
      <c r="W5" s="12"/>
      <c r="X5" s="12"/>
      <c r="Y5" s="12"/>
      <c r="Z5" s="14"/>
      <c r="AA5" s="14"/>
      <c r="AB5" s="14"/>
    </row>
    <row r="6" spans="1:32" ht="15.75" thickBot="1" x14ac:dyDescent="0.3">
      <c r="B6" s="155"/>
      <c r="C6" s="105"/>
      <c r="D6" s="105"/>
      <c r="E6" s="105"/>
      <c r="F6" s="105"/>
      <c r="G6" s="105"/>
      <c r="H6" s="105"/>
      <c r="I6" s="105"/>
      <c r="J6" s="105"/>
      <c r="K6" s="105"/>
      <c r="L6" s="105"/>
      <c r="M6" s="105"/>
      <c r="N6" s="105"/>
      <c r="O6" s="105"/>
      <c r="P6" s="105"/>
      <c r="Q6" s="13"/>
      <c r="R6" s="13"/>
      <c r="S6" s="13"/>
      <c r="T6" s="12"/>
      <c r="U6" s="12"/>
      <c r="V6" s="12"/>
      <c r="W6" s="12"/>
      <c r="X6" s="12"/>
      <c r="Y6" s="12"/>
      <c r="Z6" s="14"/>
      <c r="AA6" s="14"/>
      <c r="AB6" s="14"/>
    </row>
    <row r="7" spans="1:32" x14ac:dyDescent="0.25">
      <c r="C7" s="9" t="s">
        <v>197</v>
      </c>
      <c r="D7" s="9" t="s">
        <v>283</v>
      </c>
      <c r="E7" s="9" t="s">
        <v>199</v>
      </c>
      <c r="F7" s="9" t="s">
        <v>204</v>
      </c>
      <c r="G7" s="4" t="s">
        <v>208</v>
      </c>
      <c r="H7" s="4" t="s">
        <v>209</v>
      </c>
      <c r="I7" s="4" t="s">
        <v>210</v>
      </c>
      <c r="J7" s="4" t="s">
        <v>211</v>
      </c>
      <c r="K7" s="9" t="s">
        <v>205</v>
      </c>
      <c r="T7" s="9"/>
      <c r="U7" s="9"/>
    </row>
    <row r="8" spans="1:32" x14ac:dyDescent="0.25">
      <c r="C8" s="9" t="s">
        <v>200</v>
      </c>
      <c r="D8" s="9">
        <f>SUMIFS(Tab_Fluxo[Quantidade],Tab_Fluxo[Produto],Tab_Estoque[[#This Row],[Produto]],Tab_Fluxo[Tipo],"Saídas")-SUMIFS(Tab_Fluxo[Quantidade],Tab_Fluxo[Produto],Tab_Estoque[[#This Row],[Produto]],Tab_Fluxo[Tipo],"Entradas")</f>
        <v>0</v>
      </c>
      <c r="F8" s="9">
        <f>SUMIFS(Tab_Fluxo[Quantidade],Tab_Fluxo[Produto],Tab_Estoque[[#This Row],[Produto]],Tab_Fluxo[Tipo],"Entradas")</f>
        <v>0</v>
      </c>
      <c r="G8" s="4">
        <f>SUMIFS(Tab_Fluxo[Valor Total],Tab_Fluxo[Produto],Tab_Estoque[[#This Row],[Produto]],Tab_Fluxo[Tipo],"Entradas")</f>
        <v>0</v>
      </c>
      <c r="H8" s="4">
        <f>SUMIFS(Tab_Fluxo[Valor Total],Tab_Fluxo[Produto],Tab_Estoque[[#This Row],[Produto]],Tab_Fluxo[Tipo],"Saídas")</f>
        <v>0</v>
      </c>
      <c r="I8" s="4">
        <f>Tab_Estoque[[#This Row],[Total Ganho]]-Tab_Estoque[[#This Row],[Total Gasto]]</f>
        <v>0</v>
      </c>
      <c r="J8" s="4" t="e">
        <f>Tab_Estoque[[#This Row],[Total Ganho]]/Tab_Estoque[[#This Row],[Quantidade de Vendas]]</f>
        <v>#DIV/0!</v>
      </c>
      <c r="K8" s="118" t="e">
        <f>Tab_Estoque[[#This Row],[Lucro]]/Tab_Estoque[[#This Row],[Total Gasto]]</f>
        <v>#DIV/0!</v>
      </c>
      <c r="T8" s="9"/>
      <c r="U8" s="9"/>
    </row>
    <row r="9" spans="1:32" x14ac:dyDescent="0.25">
      <c r="C9" s="9" t="s">
        <v>202</v>
      </c>
      <c r="D9" s="9">
        <f>SUMIFS(Tab_Fluxo[Quantidade],Tab_Fluxo[Produto],Tab_Estoque[[#This Row],[Produto]],Tab_Fluxo[Tipo],"Saídas")-SUMIFS(Tab_Fluxo[Quantidade],Tab_Fluxo[Produto],Tab_Estoque[[#This Row],[Produto]],Tab_Fluxo[Tipo],"Entradas")</f>
        <v>0</v>
      </c>
      <c r="F9" s="9">
        <f>SUMIFS(Tab_Fluxo[Quantidade],Tab_Fluxo[Produto],Tab_Estoque[[#This Row],[Produto]],Tab_Fluxo[Tipo],"Entradas")</f>
        <v>0</v>
      </c>
      <c r="G9" s="4">
        <f>SUMIFS(Tab_Fluxo[Valor Total],Tab_Fluxo[Produto],Tab_Estoque[[#This Row],[Produto]],Tab_Fluxo[Tipo],"Entradas")</f>
        <v>0</v>
      </c>
      <c r="H9" s="4">
        <f>SUMIFS(Tab_Fluxo[Valor Total],Tab_Fluxo[Produto],Tab_Estoque[[#This Row],[Produto]],Tab_Fluxo[Tipo],"Saídas")</f>
        <v>0</v>
      </c>
      <c r="I9" s="4">
        <f>Tab_Estoque[[#This Row],[Total Ganho]]-Tab_Estoque[[#This Row],[Total Gasto]]</f>
        <v>0</v>
      </c>
      <c r="J9" s="4" t="e">
        <f>Tab_Estoque[[#This Row],[Total Ganho]]/Tab_Estoque[[#This Row],[Quantidade de Vendas]]</f>
        <v>#DIV/0!</v>
      </c>
      <c r="K9" s="118" t="e">
        <f>Tab_Estoque[[#This Row],[Lucro]]/Tab_Estoque[[#This Row],[Total Gasto]]</f>
        <v>#DIV/0!</v>
      </c>
      <c r="T9" s="9"/>
      <c r="U9" s="9"/>
    </row>
    <row r="10" spans="1:32" x14ac:dyDescent="0.25">
      <c r="T10" s="9"/>
      <c r="U10" s="9"/>
    </row>
    <row r="11" spans="1:32" x14ac:dyDescent="0.25">
      <c r="T11" s="9"/>
      <c r="U11" s="9"/>
    </row>
    <row r="12" spans="1:32" x14ac:dyDescent="0.25">
      <c r="T12" s="9"/>
      <c r="U12" s="9"/>
    </row>
    <row r="13" spans="1:32" x14ac:dyDescent="0.25">
      <c r="T13" s="9"/>
      <c r="U13" s="9"/>
    </row>
    <row r="14" spans="1:32" x14ac:dyDescent="0.25">
      <c r="T14" s="9"/>
      <c r="U14" s="9"/>
    </row>
    <row r="15" spans="1:32" x14ac:dyDescent="0.25">
      <c r="T15" s="9"/>
      <c r="U15" s="9"/>
    </row>
    <row r="16" spans="1:32" x14ac:dyDescent="0.25">
      <c r="T16" s="9"/>
      <c r="U16" s="9"/>
    </row>
    <row r="17" spans="20:21" x14ac:dyDescent="0.25">
      <c r="T17" s="9"/>
      <c r="U17" s="9"/>
    </row>
    <row r="18" spans="20:21" x14ac:dyDescent="0.25">
      <c r="T18" s="9"/>
      <c r="U18" s="9"/>
    </row>
    <row r="19" spans="20:21" x14ac:dyDescent="0.25">
      <c r="T19" s="9"/>
      <c r="U19" s="9"/>
    </row>
    <row r="20" spans="20:21" x14ac:dyDescent="0.25">
      <c r="T20" s="9"/>
      <c r="U20" s="9"/>
    </row>
  </sheetData>
  <mergeCells count="2">
    <mergeCell ref="B1:AB3"/>
    <mergeCell ref="AC1:AF3"/>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E99BA-9AC0-4DF2-A8C7-30DAAE17FC8F}">
  <sheetPr codeName="Sheet7"/>
  <dimension ref="A1:AH37"/>
  <sheetViews>
    <sheetView showGridLines="0" workbookViewId="0"/>
  </sheetViews>
  <sheetFormatPr defaultRowHeight="15" x14ac:dyDescent="0.25"/>
  <cols>
    <col min="1" max="1" width="9.140625" style="120"/>
    <col min="2" max="2" width="9.140625" style="156" customWidth="1"/>
    <col min="3" max="3" width="5.42578125" customWidth="1"/>
    <col min="4" max="4" width="23.42578125" style="9" customWidth="1"/>
    <col min="5" max="5" width="22.42578125" style="9" customWidth="1"/>
    <col min="6" max="6" width="2.42578125" style="9" customWidth="1"/>
    <col min="7" max="7" width="18.140625" style="9" customWidth="1"/>
    <col min="8" max="8" width="23.85546875" style="9" bestFit="1" customWidth="1"/>
    <col min="9" max="9" width="2.28515625" style="4" customWidth="1"/>
    <col min="10" max="12" width="23.85546875" style="4" customWidth="1"/>
    <col min="13" max="13" width="32.7109375" style="9" bestFit="1" customWidth="1"/>
    <col min="14" max="21" width="15.7109375" style="9" customWidth="1"/>
    <col min="23" max="23" width="5.140625" customWidth="1"/>
  </cols>
  <sheetData>
    <row r="1" spans="1:34" ht="15" customHeight="1" x14ac:dyDescent="0.25">
      <c r="B1" s="189" t="s">
        <v>237</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c r="AD1" s="189"/>
      <c r="AE1" s="189"/>
      <c r="AF1" s="189"/>
      <c r="AG1" s="189"/>
      <c r="AH1" s="189"/>
    </row>
    <row r="2" spans="1:34"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row>
    <row r="3" spans="1:34"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row>
    <row r="4" spans="1:34" x14ac:dyDescent="0.25">
      <c r="B4" s="153"/>
      <c r="C4" s="12"/>
      <c r="D4" s="13"/>
      <c r="E4" s="13"/>
      <c r="F4" s="13"/>
      <c r="G4" s="13"/>
      <c r="H4" s="13"/>
      <c r="I4" s="117"/>
      <c r="J4" s="117"/>
      <c r="K4" s="117"/>
      <c r="L4" s="117"/>
      <c r="M4" s="13"/>
      <c r="N4" s="13"/>
      <c r="O4" s="13"/>
      <c r="P4" s="13"/>
      <c r="Q4" s="13"/>
      <c r="R4" s="13"/>
      <c r="S4" s="13"/>
      <c r="T4" s="13"/>
      <c r="U4" s="13"/>
      <c r="V4" s="12"/>
      <c r="W4" s="12"/>
      <c r="X4" s="12"/>
      <c r="Y4" s="12"/>
      <c r="Z4" s="12"/>
      <c r="AA4" s="12"/>
      <c r="AB4" s="14"/>
      <c r="AC4" s="14"/>
      <c r="AD4" s="14"/>
    </row>
    <row r="5" spans="1:34" x14ac:dyDescent="0.25">
      <c r="C5" s="12"/>
      <c r="D5" s="13"/>
      <c r="E5" s="13"/>
      <c r="F5" s="13"/>
      <c r="G5" s="13"/>
      <c r="H5" s="13"/>
      <c r="I5" s="117"/>
      <c r="J5" s="117"/>
      <c r="K5" s="117"/>
      <c r="L5" s="117"/>
      <c r="M5" s="13"/>
      <c r="N5" s="13"/>
      <c r="O5" s="13"/>
      <c r="P5" s="13"/>
      <c r="Q5" s="13"/>
      <c r="R5" s="13"/>
      <c r="S5" s="13"/>
      <c r="T5" s="13"/>
      <c r="U5" s="13"/>
      <c r="V5" s="12"/>
      <c r="W5" s="12"/>
      <c r="X5" s="12"/>
      <c r="Y5" s="12"/>
      <c r="Z5" s="12"/>
      <c r="AA5" s="12"/>
      <c r="AB5" s="14"/>
      <c r="AC5" s="14"/>
      <c r="AD5" s="14"/>
    </row>
    <row r="6" spans="1:34" s="162" customFormat="1" ht="15.75" thickBot="1" x14ac:dyDescent="0.3">
      <c r="A6" s="120"/>
      <c r="B6" s="155"/>
      <c r="C6" s="105"/>
      <c r="D6" s="106"/>
      <c r="E6" s="106"/>
      <c r="F6" s="106"/>
      <c r="G6" s="106"/>
      <c r="H6" s="106"/>
      <c r="I6" s="160"/>
      <c r="J6" s="160"/>
      <c r="K6" s="160"/>
      <c r="L6" s="160"/>
      <c r="M6" s="106"/>
      <c r="N6" s="106"/>
      <c r="O6" s="106"/>
      <c r="P6" s="106"/>
      <c r="Q6" s="106"/>
      <c r="R6" s="106"/>
      <c r="S6" s="106"/>
      <c r="T6" s="106"/>
      <c r="U6" s="106"/>
      <c r="V6" s="105"/>
      <c r="W6" s="105"/>
      <c r="X6" s="105"/>
      <c r="Y6" s="105"/>
      <c r="Z6" s="105"/>
      <c r="AA6" s="105"/>
      <c r="AB6" s="161"/>
      <c r="AC6" s="161"/>
      <c r="AD6" s="161"/>
    </row>
    <row r="8" spans="1:34" ht="16.5" thickBot="1" x14ac:dyDescent="0.3">
      <c r="D8" s="113" t="s">
        <v>193</v>
      </c>
      <c r="E8" s="113"/>
      <c r="F8"/>
      <c r="G8" s="113" t="s">
        <v>286</v>
      </c>
      <c r="H8" s="113"/>
      <c r="I8"/>
      <c r="J8" s="113" t="s">
        <v>238</v>
      </c>
      <c r="K8" s="113"/>
      <c r="L8" s="113"/>
      <c r="M8" s="113"/>
      <c r="N8" s="148" t="s">
        <v>284</v>
      </c>
      <c r="O8" s="132"/>
      <c r="P8"/>
      <c r="Q8"/>
      <c r="R8"/>
      <c r="S8"/>
      <c r="T8"/>
      <c r="U8"/>
    </row>
    <row r="9" spans="1:34" ht="18.75" x14ac:dyDescent="0.3">
      <c r="D9" s="107" t="s">
        <v>264</v>
      </c>
      <c r="E9" s="111">
        <f>SUM(Tab_Estoque[Total Ganho])</f>
        <v>0</v>
      </c>
      <c r="G9"/>
      <c r="H9"/>
      <c r="I9"/>
      <c r="J9"/>
      <c r="K9"/>
      <c r="L9"/>
      <c r="M9"/>
      <c r="N9" s="132"/>
      <c r="O9" s="132"/>
      <c r="P9"/>
      <c r="Q9"/>
      <c r="R9"/>
      <c r="S9"/>
      <c r="T9"/>
      <c r="U9"/>
    </row>
    <row r="10" spans="1:34" ht="18.75" x14ac:dyDescent="0.3">
      <c r="D10" s="107" t="s">
        <v>265</v>
      </c>
      <c r="E10" s="111" t="e">
        <f>Tab_Estoque[Total Gasto]</f>
        <v>#VALUE!</v>
      </c>
      <c r="G10"/>
      <c r="H10"/>
      <c r="I10"/>
      <c r="J10"/>
      <c r="K10"/>
      <c r="L10"/>
      <c r="M10"/>
      <c r="N10" s="132"/>
      <c r="O10" s="132"/>
      <c r="P10"/>
      <c r="Q10"/>
      <c r="R10"/>
      <c r="S10"/>
      <c r="T10"/>
      <c r="U10"/>
    </row>
    <row r="11" spans="1:34" ht="18.75" x14ac:dyDescent="0.3">
      <c r="D11" s="107" t="s">
        <v>210</v>
      </c>
      <c r="E11" s="111" t="e">
        <f>E9-E10</f>
        <v>#VALUE!</v>
      </c>
      <c r="G11"/>
      <c r="H11"/>
      <c r="I11"/>
      <c r="J11"/>
      <c r="K11"/>
      <c r="L11"/>
      <c r="M11"/>
      <c r="N11" s="132"/>
      <c r="O11" s="132"/>
      <c r="P11"/>
      <c r="Q11"/>
      <c r="R11"/>
      <c r="S11"/>
      <c r="T11"/>
      <c r="U11"/>
    </row>
    <row r="12" spans="1:34" x14ac:dyDescent="0.25">
      <c r="E12"/>
      <c r="F12"/>
      <c r="G12"/>
      <c r="H12"/>
      <c r="I12"/>
      <c r="J12"/>
      <c r="K12"/>
      <c r="L12"/>
      <c r="M12"/>
      <c r="N12" s="132"/>
      <c r="O12" s="132"/>
      <c r="P12"/>
      <c r="Q12"/>
      <c r="R12"/>
      <c r="S12"/>
      <c r="T12"/>
      <c r="U12"/>
    </row>
    <row r="13" spans="1:34" x14ac:dyDescent="0.25">
      <c r="D13"/>
      <c r="E13"/>
      <c r="F13"/>
      <c r="G13"/>
      <c r="H13"/>
      <c r="I13"/>
      <c r="J13"/>
      <c r="K13"/>
      <c r="L13"/>
      <c r="M13"/>
      <c r="N13" s="132"/>
      <c r="O13" s="132"/>
      <c r="P13"/>
      <c r="Q13"/>
      <c r="R13"/>
      <c r="S13"/>
      <c r="T13"/>
      <c r="U13"/>
    </row>
    <row r="14" spans="1:34" x14ac:dyDescent="0.25">
      <c r="D14"/>
      <c r="E14"/>
      <c r="F14"/>
      <c r="G14"/>
      <c r="H14"/>
      <c r="J14"/>
      <c r="N14" s="133"/>
      <c r="O14" s="132"/>
      <c r="P14"/>
      <c r="Q14"/>
      <c r="R14"/>
      <c r="S14"/>
      <c r="T14"/>
      <c r="U14"/>
    </row>
    <row r="15" spans="1:34" ht="16.5" thickBot="1" x14ac:dyDescent="0.3">
      <c r="D15" s="113" t="s">
        <v>240</v>
      </c>
      <c r="E15" s="113"/>
      <c r="F15"/>
      <c r="G15"/>
      <c r="H15"/>
      <c r="J15"/>
      <c r="N15" s="133"/>
      <c r="O15" s="132"/>
      <c r="P15"/>
      <c r="Q15"/>
      <c r="R15"/>
      <c r="S15"/>
      <c r="T15"/>
      <c r="U15"/>
    </row>
    <row r="16" spans="1:34" x14ac:dyDescent="0.25">
      <c r="D16"/>
      <c r="E16"/>
      <c r="F16"/>
      <c r="G16"/>
      <c r="H16"/>
      <c r="J16"/>
      <c r="N16" s="133"/>
      <c r="O16" s="132"/>
      <c r="P16"/>
      <c r="Q16"/>
      <c r="R16"/>
      <c r="S16"/>
      <c r="T16"/>
      <c r="U16"/>
    </row>
    <row r="17" spans="4:21" x14ac:dyDescent="0.25">
      <c r="D17"/>
      <c r="E17"/>
      <c r="F17"/>
      <c r="G17"/>
      <c r="H17"/>
      <c r="J17"/>
      <c r="N17" s="133"/>
      <c r="O17" s="132"/>
      <c r="P17"/>
      <c r="Q17"/>
      <c r="R17"/>
      <c r="S17"/>
      <c r="T17"/>
      <c r="U17"/>
    </row>
    <row r="18" spans="4:21" x14ac:dyDescent="0.25">
      <c r="D18"/>
      <c r="J18"/>
      <c r="N18" s="133"/>
      <c r="O18" s="132"/>
      <c r="P18"/>
      <c r="Q18"/>
      <c r="R18"/>
      <c r="S18"/>
      <c r="T18"/>
      <c r="U18"/>
    </row>
    <row r="19" spans="4:21" x14ac:dyDescent="0.25">
      <c r="E19"/>
      <c r="F19"/>
      <c r="G19"/>
      <c r="H19"/>
      <c r="J19"/>
      <c r="N19" s="133"/>
      <c r="O19" s="132"/>
      <c r="P19"/>
      <c r="Q19"/>
      <c r="R19"/>
      <c r="S19"/>
      <c r="T19"/>
      <c r="U19"/>
    </row>
    <row r="20" spans="4:21" ht="8.25" customHeight="1" x14ac:dyDescent="0.25">
      <c r="D20"/>
      <c r="E20"/>
      <c r="F20"/>
      <c r="G20" s="4"/>
      <c r="H20"/>
      <c r="I20"/>
      <c r="J20"/>
      <c r="K20"/>
      <c r="L20"/>
      <c r="M20"/>
      <c r="N20"/>
      <c r="O20"/>
      <c r="P20"/>
      <c r="Q20"/>
      <c r="R20"/>
      <c r="S20"/>
      <c r="T20"/>
      <c r="U20"/>
    </row>
    <row r="21" spans="4:21" ht="9.75" customHeight="1" x14ac:dyDescent="0.25">
      <c r="D21"/>
      <c r="E21"/>
      <c r="F21"/>
      <c r="I21"/>
      <c r="J21"/>
      <c r="K21"/>
      <c r="L21"/>
      <c r="M21"/>
      <c r="N21"/>
      <c r="O21"/>
      <c r="P21"/>
      <c r="Q21"/>
      <c r="R21"/>
      <c r="S21"/>
      <c r="T21"/>
      <c r="U21"/>
    </row>
    <row r="22" spans="4:21" ht="16.5" thickBot="1" x14ac:dyDescent="0.3">
      <c r="D22"/>
      <c r="E22"/>
      <c r="F22"/>
      <c r="G22" s="113" t="s">
        <v>232</v>
      </c>
      <c r="H22" s="113"/>
      <c r="I22"/>
      <c r="J22" s="113" t="s">
        <v>239</v>
      </c>
      <c r="K22" s="113"/>
      <c r="L22" s="113"/>
      <c r="M22" s="113"/>
      <c r="N22" s="148" t="s">
        <v>285</v>
      </c>
      <c r="O22" s="132"/>
      <c r="P22"/>
      <c r="Q22"/>
      <c r="R22"/>
      <c r="S22"/>
      <c r="T22"/>
      <c r="U22"/>
    </row>
    <row r="23" spans="4:21" x14ac:dyDescent="0.25">
      <c r="D23"/>
      <c r="E23"/>
      <c r="F23"/>
      <c r="G23" s="4"/>
      <c r="H23"/>
      <c r="I23"/>
      <c r="J23"/>
      <c r="K23"/>
      <c r="L23"/>
      <c r="M23"/>
      <c r="N23" s="132"/>
      <c r="O23" s="132"/>
      <c r="P23"/>
      <c r="Q23"/>
      <c r="R23"/>
      <c r="S23"/>
      <c r="T23"/>
      <c r="U23"/>
    </row>
    <row r="24" spans="4:21" x14ac:dyDescent="0.25">
      <c r="D24"/>
      <c r="E24"/>
      <c r="F24"/>
      <c r="G24" s="4"/>
      <c r="H24"/>
      <c r="I24"/>
      <c r="J24"/>
      <c r="K24"/>
      <c r="L24"/>
      <c r="M24"/>
      <c r="N24" s="132"/>
      <c r="O24" s="132"/>
      <c r="P24"/>
      <c r="Q24"/>
      <c r="R24"/>
      <c r="S24"/>
      <c r="T24"/>
      <c r="U24"/>
    </row>
    <row r="25" spans="4:21" x14ac:dyDescent="0.25">
      <c r="D25"/>
      <c r="E25"/>
      <c r="F25"/>
      <c r="G25"/>
      <c r="H25"/>
      <c r="I25"/>
      <c r="J25"/>
      <c r="K25"/>
      <c r="L25"/>
      <c r="M25"/>
      <c r="N25" s="132"/>
      <c r="O25" s="132"/>
      <c r="P25"/>
      <c r="Q25"/>
      <c r="R25"/>
      <c r="S25"/>
      <c r="T25"/>
      <c r="U25"/>
    </row>
    <row r="26" spans="4:21" x14ac:dyDescent="0.25">
      <c r="D26"/>
      <c r="E26"/>
      <c r="F26"/>
      <c r="G26"/>
      <c r="H26"/>
      <c r="I26"/>
      <c r="J26"/>
      <c r="K26"/>
      <c r="L26"/>
      <c r="M26"/>
      <c r="N26" s="132"/>
      <c r="O26" s="132"/>
      <c r="P26"/>
      <c r="Q26"/>
      <c r="R26"/>
      <c r="S26"/>
      <c r="T26"/>
      <c r="U26"/>
    </row>
    <row r="27" spans="4:21" x14ac:dyDescent="0.25">
      <c r="D27"/>
      <c r="E27"/>
      <c r="F27"/>
      <c r="G27"/>
      <c r="H27"/>
      <c r="I27"/>
      <c r="J27"/>
      <c r="K27"/>
      <c r="L27"/>
      <c r="M27"/>
      <c r="N27" s="132"/>
      <c r="O27" s="132"/>
      <c r="P27"/>
      <c r="Q27"/>
      <c r="R27"/>
      <c r="S27"/>
      <c r="T27"/>
      <c r="U27"/>
    </row>
    <row r="28" spans="4:21" x14ac:dyDescent="0.25">
      <c r="D28"/>
      <c r="E28"/>
      <c r="F28"/>
      <c r="G28"/>
      <c r="H28"/>
      <c r="I28"/>
      <c r="J28"/>
      <c r="K28"/>
      <c r="L28"/>
      <c r="M28"/>
      <c r="N28" s="132"/>
      <c r="O28" s="132"/>
      <c r="P28"/>
      <c r="Q28"/>
      <c r="R28"/>
      <c r="S28"/>
      <c r="T28"/>
      <c r="U28"/>
    </row>
    <row r="29" spans="4:21" x14ac:dyDescent="0.25">
      <c r="D29"/>
      <c r="E29"/>
      <c r="F29"/>
      <c r="G29"/>
      <c r="H29"/>
      <c r="I29"/>
      <c r="J29"/>
      <c r="K29"/>
      <c r="L29"/>
      <c r="M29"/>
      <c r="N29" s="132"/>
      <c r="O29" s="132"/>
      <c r="P29"/>
      <c r="Q29"/>
      <c r="R29"/>
      <c r="S29"/>
      <c r="T29" t="s">
        <v>236</v>
      </c>
      <c r="U29"/>
    </row>
    <row r="30" spans="4:21" x14ac:dyDescent="0.25">
      <c r="D30"/>
      <c r="E30"/>
      <c r="F30"/>
      <c r="G30"/>
      <c r="H30"/>
      <c r="I30"/>
      <c r="J30"/>
      <c r="K30"/>
      <c r="L30"/>
      <c r="M30"/>
      <c r="N30" s="132"/>
      <c r="O30" s="132"/>
      <c r="P30"/>
      <c r="Q30"/>
      <c r="R30"/>
      <c r="S30"/>
      <c r="T30"/>
      <c r="U30"/>
    </row>
    <row r="31" spans="4:21" x14ac:dyDescent="0.25">
      <c r="D31"/>
      <c r="E31"/>
      <c r="F31"/>
      <c r="G31"/>
      <c r="H31"/>
      <c r="I31"/>
      <c r="J31"/>
      <c r="K31"/>
      <c r="L31"/>
      <c r="M31"/>
      <c r="N31" s="132"/>
      <c r="O31" s="132"/>
      <c r="P31"/>
      <c r="Q31"/>
      <c r="R31"/>
      <c r="S31"/>
      <c r="T31"/>
      <c r="U31"/>
    </row>
    <row r="32" spans="4:21" x14ac:dyDescent="0.25">
      <c r="D32"/>
      <c r="E32"/>
      <c r="F32"/>
      <c r="G32"/>
      <c r="H32"/>
      <c r="I32"/>
      <c r="J32"/>
      <c r="K32"/>
      <c r="L32"/>
      <c r="M32"/>
      <c r="N32" s="132"/>
      <c r="O32" s="132"/>
      <c r="P32"/>
      <c r="Q32"/>
      <c r="R32"/>
      <c r="S32"/>
      <c r="T32"/>
      <c r="U32"/>
    </row>
    <row r="33" spans="4:21" x14ac:dyDescent="0.25">
      <c r="D33"/>
      <c r="E33"/>
      <c r="F33"/>
      <c r="G33"/>
      <c r="H33"/>
      <c r="I33"/>
      <c r="J33"/>
      <c r="K33"/>
      <c r="L33"/>
      <c r="M33"/>
      <c r="N33" s="132"/>
      <c r="O33" s="132"/>
      <c r="P33"/>
      <c r="Q33"/>
      <c r="R33"/>
      <c r="S33"/>
      <c r="T33"/>
      <c r="U33"/>
    </row>
    <row r="34" spans="4:21" x14ac:dyDescent="0.25">
      <c r="D34"/>
      <c r="E34"/>
      <c r="F34"/>
      <c r="G34"/>
      <c r="H34"/>
      <c r="I34"/>
      <c r="J34"/>
      <c r="K34"/>
      <c r="L34"/>
      <c r="M34"/>
      <c r="N34"/>
      <c r="O34"/>
      <c r="P34"/>
      <c r="Q34"/>
      <c r="R34"/>
      <c r="S34"/>
      <c r="T34"/>
      <c r="U34"/>
    </row>
    <row r="35" spans="4:21" x14ac:dyDescent="0.25">
      <c r="D35"/>
      <c r="E35"/>
      <c r="F35"/>
      <c r="G35"/>
      <c r="H35"/>
      <c r="I35"/>
      <c r="J35"/>
      <c r="K35"/>
      <c r="L35"/>
      <c r="M35"/>
      <c r="N35"/>
      <c r="O35"/>
      <c r="P35"/>
      <c r="Q35"/>
      <c r="R35"/>
      <c r="S35"/>
      <c r="T35"/>
      <c r="U35"/>
    </row>
    <row r="36" spans="4:21" x14ac:dyDescent="0.25">
      <c r="D36"/>
      <c r="E36"/>
      <c r="F36"/>
      <c r="G36"/>
      <c r="H36"/>
      <c r="I36"/>
      <c r="J36"/>
      <c r="K36"/>
      <c r="L36"/>
      <c r="M36"/>
      <c r="N36"/>
      <c r="O36"/>
      <c r="P36"/>
      <c r="Q36"/>
      <c r="R36"/>
      <c r="S36"/>
      <c r="T36"/>
      <c r="U36"/>
    </row>
    <row r="37" spans="4:21" x14ac:dyDescent="0.25">
      <c r="D37"/>
      <c r="E37"/>
      <c r="F37"/>
      <c r="G37"/>
      <c r="H37"/>
      <c r="I37"/>
      <c r="J37"/>
      <c r="K37"/>
      <c r="L37"/>
      <c r="M37"/>
      <c r="N37"/>
      <c r="O37"/>
      <c r="P37"/>
      <c r="Q37"/>
      <c r="R37"/>
      <c r="S37"/>
      <c r="T37"/>
      <c r="U37"/>
    </row>
  </sheetData>
  <mergeCells count="2">
    <mergeCell ref="B1:AC3"/>
    <mergeCell ref="AD1:AH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5A55-A592-4B37-AA58-FAC1238152F5}">
  <sheetPr codeName="Sheet8"/>
  <dimension ref="A1:AB16"/>
  <sheetViews>
    <sheetView workbookViewId="0">
      <selection activeCell="J11" sqref="J11"/>
    </sheetView>
  </sheetViews>
  <sheetFormatPr defaultRowHeight="15" x14ac:dyDescent="0.25"/>
  <cols>
    <col min="1" max="1" width="9.140625" style="120"/>
    <col min="2" max="2" width="9.140625" style="156"/>
    <col min="5" max="6" width="16.140625" bestFit="1" customWidth="1"/>
    <col min="8" max="8" width="16.140625" bestFit="1" customWidth="1"/>
    <col min="10" max="10" width="16.140625" bestFit="1" customWidth="1"/>
    <col min="11" max="11" width="22.28515625" customWidth="1"/>
    <col min="12" max="12" width="15.85546875" bestFit="1" customWidth="1"/>
  </cols>
  <sheetData>
    <row r="1" spans="1:28" x14ac:dyDescent="0.25">
      <c r="B1" s="189" t="s">
        <v>251</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row>
    <row r="2" spans="1:28"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row>
    <row r="3" spans="1:28"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row>
    <row r="4" spans="1:28" s="157" customFormat="1" ht="15" customHeight="1" x14ac:dyDescent="0.25">
      <c r="A4" s="120"/>
      <c r="B4" s="156"/>
    </row>
    <row r="5" spans="1:28" s="157" customFormat="1" ht="15.75" customHeight="1" x14ac:dyDescent="0.25">
      <c r="A5" s="120"/>
      <c r="B5" s="156"/>
    </row>
    <row r="6" spans="1:28" s="105" customFormat="1" ht="15.75" thickBot="1" x14ac:dyDescent="0.3">
      <c r="A6" s="120"/>
      <c r="B6" s="155"/>
    </row>
    <row r="8" spans="1:28" x14ac:dyDescent="0.25">
      <c r="E8" s="157" t="s">
        <v>233</v>
      </c>
    </row>
    <row r="9" spans="1:28" x14ac:dyDescent="0.25">
      <c r="E9" t="s">
        <v>234</v>
      </c>
    </row>
    <row r="10" spans="1:28" x14ac:dyDescent="0.25">
      <c r="E10" t="s">
        <v>235</v>
      </c>
    </row>
    <row r="11" spans="1:28" x14ac:dyDescent="0.25">
      <c r="E11" t="s">
        <v>231</v>
      </c>
      <c r="J11" t="s">
        <v>232</v>
      </c>
    </row>
    <row r="12" spans="1:28" x14ac:dyDescent="0.25">
      <c r="E12">
        <v>5</v>
      </c>
      <c r="F12" t="str">
        <f>IF(ISNA(INDEX(Tab_Estoque[Produto],H12,1)),"-",INDEX(Tab_Estoque[Produto],H12,1))</f>
        <v>Camera Intelbras</v>
      </c>
      <c r="G12">
        <f>IF(ISNUMBER(LARGE(Tab_Estoque[Quantidade de Vendas],E12)),LARGE(Tab_Estoque[Quantidade de Vendas],E12),0)</f>
        <v>0</v>
      </c>
      <c r="H12">
        <f>MATCH(G12,Tab_Estoque[Quantidade de Vendas],0)</f>
        <v>1</v>
      </c>
      <c r="J12">
        <v>5</v>
      </c>
      <c r="K12" t="str">
        <f>IF(ISNA(INDEX(Tab_Estoque[Produto],M12,1)),"-",INDEX(Tab_Estoque[Produto],M12,1))</f>
        <v>Camera Intelbras</v>
      </c>
      <c r="L12" s="4">
        <f>IF(ISNUMBER(LARGE(Tab_Estoque[Lucro],J12)),LARGE(Tab_Estoque[Lucro],J12),0)</f>
        <v>0</v>
      </c>
      <c r="M12">
        <f>MATCH(L12,Tab_Estoque[Lucro],0)</f>
        <v>1</v>
      </c>
    </row>
    <row r="13" spans="1:28" x14ac:dyDescent="0.25">
      <c r="E13">
        <v>4</v>
      </c>
      <c r="F13" t="str">
        <f>IF(ISNA(INDEX(Tab_Estoque[Produto],H13,1)),"-",INDEX(Tab_Estoque[Produto],H13,1))</f>
        <v>Camera Intelbras</v>
      </c>
      <c r="G13">
        <f>IF(ISNUMBER(LARGE(Tab_Estoque[Quantidade de Vendas],E13)),LARGE(Tab_Estoque[Quantidade de Vendas],E13),0)</f>
        <v>0</v>
      </c>
      <c r="H13">
        <f>MATCH(G13,Tab_Estoque[Quantidade de Vendas],0)</f>
        <v>1</v>
      </c>
      <c r="J13">
        <v>4</v>
      </c>
      <c r="K13" t="str">
        <f>IF(ISNA(INDEX(Tab_Estoque[Produto],M13,1)),"-",INDEX(Tab_Estoque[Produto],M13,1))</f>
        <v>Camera Intelbras</v>
      </c>
      <c r="L13" s="4">
        <f>IF(ISNUMBER(LARGE(Tab_Estoque[Lucro],J13)),LARGE(Tab_Estoque[Lucro],J13),0)</f>
        <v>0</v>
      </c>
      <c r="M13">
        <f>MATCH(L13,Tab_Estoque[Lucro],0)</f>
        <v>1</v>
      </c>
    </row>
    <row r="14" spans="1:28" x14ac:dyDescent="0.25">
      <c r="E14">
        <v>3</v>
      </c>
      <c r="F14" t="str">
        <f>IF(ISNA(INDEX(Tab_Estoque[Produto],H14,1)),"-",INDEX(Tab_Estoque[Produto],H14,1))</f>
        <v>Camera Intelbras</v>
      </c>
      <c r="G14">
        <f>IF(ISNUMBER(LARGE(Tab_Estoque[Quantidade de Vendas],E14)),LARGE(Tab_Estoque[Quantidade de Vendas],E14),0)</f>
        <v>0</v>
      </c>
      <c r="H14">
        <f>MATCH(G14,Tab_Estoque[Quantidade de Vendas],0)</f>
        <v>1</v>
      </c>
      <c r="J14">
        <v>3</v>
      </c>
      <c r="K14" t="str">
        <f>IF(ISNA(INDEX(Tab_Estoque[Produto],M14,1)),"-",INDEX(Tab_Estoque[Produto],M14,1))</f>
        <v>Camera Intelbras</v>
      </c>
      <c r="L14" s="4">
        <f>IF(ISNUMBER(LARGE(Tab_Estoque[Lucro],J14)),LARGE(Tab_Estoque[Lucro],J14),0)</f>
        <v>0</v>
      </c>
      <c r="M14">
        <f>MATCH(L14,Tab_Estoque[Lucro],0)</f>
        <v>1</v>
      </c>
    </row>
    <row r="15" spans="1:28" x14ac:dyDescent="0.25">
      <c r="E15">
        <v>2</v>
      </c>
      <c r="F15" t="str">
        <f>IF(ISNA(INDEX(Tab_Estoque[Produto],H15,1)),"-",INDEX(Tab_Estoque[Produto],H15,1))</f>
        <v>Camera Intelbras</v>
      </c>
      <c r="G15">
        <f>IF(ISNUMBER(LARGE(Tab_Estoque[Quantidade de Vendas],E15)),LARGE(Tab_Estoque[Quantidade de Vendas],E15),0)</f>
        <v>0</v>
      </c>
      <c r="H15">
        <f>MATCH(G15,Tab_Estoque[Quantidade de Vendas],0)</f>
        <v>1</v>
      </c>
      <c r="J15">
        <v>2</v>
      </c>
      <c r="K15" t="str">
        <f>IF(ISNA(INDEX(Tab_Estoque[Produto],M15,1)),"-",INDEX(Tab_Estoque[Produto],M15,1))</f>
        <v>Camera Intelbras</v>
      </c>
      <c r="L15" s="4">
        <f>IF(ISNUMBER(LARGE(Tab_Estoque[Lucro],J15)),LARGE(Tab_Estoque[Lucro],J15),0)</f>
        <v>0</v>
      </c>
      <c r="M15">
        <f>MATCH(L15,Tab_Estoque[Lucro],0)</f>
        <v>1</v>
      </c>
    </row>
    <row r="16" spans="1:28" x14ac:dyDescent="0.25">
      <c r="E16">
        <v>1</v>
      </c>
      <c r="F16" t="str">
        <f>IF(ISNA(INDEX(Tab_Estoque[Produto],H16,1)),"-",INDEX(Tab_Estoque[Produto],H16,1))</f>
        <v>Camera Intelbras</v>
      </c>
      <c r="G16">
        <f>IF(ISNUMBER(LARGE(Tab_Estoque[Quantidade de Vendas],E16)),LARGE(Tab_Estoque[Quantidade de Vendas],E16),0)</f>
        <v>0</v>
      </c>
      <c r="H16">
        <f>MATCH(G16,Tab_Estoque[Quantidade de Vendas],0)</f>
        <v>1</v>
      </c>
      <c r="J16">
        <v>1</v>
      </c>
      <c r="K16" t="str">
        <f>IF(ISNA(INDEX(Tab_Estoque[Produto],M16,1)),"-",INDEX(Tab_Estoque[Produto],M16,1))</f>
        <v>Camera Intelbras</v>
      </c>
      <c r="L16" s="4">
        <f>IF(ISNUMBER(LARGE(Tab_Estoque[Lucro],J16)),LARGE(Tab_Estoque[Lucro],J16),0)</f>
        <v>0</v>
      </c>
      <c r="M16">
        <f>MATCH(L16,Tab_Estoque[Lucro],0)</f>
        <v>1</v>
      </c>
    </row>
  </sheetData>
  <mergeCells count="1">
    <mergeCell ref="B1:AB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6CDA-949A-4DE8-8F77-44C7E392BD74}">
  <sheetPr codeName="Sheet9"/>
  <dimension ref="A1:AA14"/>
  <sheetViews>
    <sheetView workbookViewId="0">
      <selection activeCell="D10" sqref="D10"/>
    </sheetView>
  </sheetViews>
  <sheetFormatPr defaultRowHeight="15" x14ac:dyDescent="0.25"/>
  <cols>
    <col min="1" max="1" width="9.140625" style="120"/>
    <col min="2" max="2" width="9.140625" style="156" customWidth="1"/>
    <col min="3" max="3" width="16.140625" bestFit="1" customWidth="1"/>
    <col min="4" max="4" width="28.28515625" bestFit="1" customWidth="1"/>
    <col min="5" max="5" width="15.85546875" bestFit="1" customWidth="1"/>
  </cols>
  <sheetData>
    <row r="1" spans="1:27" x14ac:dyDescent="0.25">
      <c r="B1" s="189" t="s">
        <v>253</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row>
    <row r="2" spans="1:27"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row>
    <row r="3" spans="1:27"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row>
    <row r="4" spans="1:27" s="157" customFormat="1" x14ac:dyDescent="0.25">
      <c r="A4" s="120"/>
      <c r="B4" s="153"/>
    </row>
    <row r="5" spans="1:27" s="157" customFormat="1" x14ac:dyDescent="0.25">
      <c r="A5" s="120"/>
      <c r="B5" s="156"/>
    </row>
    <row r="6" spans="1:27" s="105" customFormat="1" ht="15.75" thickBot="1" x14ac:dyDescent="0.3">
      <c r="A6" s="120"/>
      <c r="B6" s="155"/>
    </row>
    <row r="7" spans="1:27" x14ac:dyDescent="0.25">
      <c r="C7" s="10" t="s">
        <v>52</v>
      </c>
      <c r="D7" t="s">
        <v>217</v>
      </c>
      <c r="E7" t="s">
        <v>218</v>
      </c>
    </row>
    <row r="8" spans="1:27" x14ac:dyDescent="0.25">
      <c r="C8" s="11" t="s">
        <v>203</v>
      </c>
      <c r="D8" s="9">
        <v>16</v>
      </c>
      <c r="E8" s="4">
        <v>1807100</v>
      </c>
    </row>
    <row r="9" spans="1:27" x14ac:dyDescent="0.25">
      <c r="C9" s="11" t="s">
        <v>202</v>
      </c>
      <c r="D9" s="9">
        <v>26</v>
      </c>
      <c r="E9" s="4">
        <v>111400</v>
      </c>
    </row>
    <row r="10" spans="1:27" x14ac:dyDescent="0.25">
      <c r="C10" s="11" t="s">
        <v>200</v>
      </c>
      <c r="D10" s="9">
        <v>6</v>
      </c>
      <c r="E10" s="4">
        <v>987500</v>
      </c>
    </row>
    <row r="11" spans="1:27" x14ac:dyDescent="0.25">
      <c r="C11" s="11" t="s">
        <v>214</v>
      </c>
      <c r="D11" s="9">
        <v>1</v>
      </c>
      <c r="E11" s="4">
        <v>2000</v>
      </c>
    </row>
    <row r="12" spans="1:27" x14ac:dyDescent="0.25">
      <c r="C12" s="11" t="s">
        <v>215</v>
      </c>
      <c r="D12" s="9">
        <v>0</v>
      </c>
      <c r="E12" s="4">
        <v>-300</v>
      </c>
    </row>
    <row r="13" spans="1:27" x14ac:dyDescent="0.25">
      <c r="C13" s="11" t="s">
        <v>219</v>
      </c>
      <c r="D13" s="9">
        <v>1</v>
      </c>
      <c r="E13" s="4">
        <v>30</v>
      </c>
    </row>
    <row r="14" spans="1:27" x14ac:dyDescent="0.25">
      <c r="C14" s="11" t="s">
        <v>54</v>
      </c>
      <c r="D14" s="9">
        <v>50</v>
      </c>
      <c r="E14" s="4">
        <v>2907730</v>
      </c>
    </row>
  </sheetData>
  <mergeCells count="1">
    <mergeCell ref="B1:AA3"/>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EC41-A0CB-4923-AF67-DF342363C202}">
  <sheetPr codeName="Sheet10"/>
  <dimension ref="A1:AB10"/>
  <sheetViews>
    <sheetView workbookViewId="0">
      <selection activeCell="D9" sqref="D9"/>
    </sheetView>
  </sheetViews>
  <sheetFormatPr defaultRowHeight="15" x14ac:dyDescent="0.25"/>
  <cols>
    <col min="1" max="1" width="9.140625" style="120"/>
    <col min="2" max="2" width="9.140625" style="156" customWidth="1"/>
    <col min="3" max="3" width="13.140625" bestFit="1" customWidth="1"/>
    <col min="4" max="4" width="17.85546875" bestFit="1" customWidth="1"/>
    <col min="5" max="5" width="13.7109375" bestFit="1" customWidth="1"/>
    <col min="6" max="7" width="15.140625" bestFit="1" customWidth="1"/>
    <col min="8" max="8" width="7.28515625" bestFit="1" customWidth="1"/>
    <col min="9" max="9" width="11.28515625" bestFit="1" customWidth="1"/>
  </cols>
  <sheetData>
    <row r="1" spans="1:28" x14ac:dyDescent="0.25">
      <c r="B1" s="189" t="s">
        <v>254</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row>
    <row r="2" spans="1:28"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row>
    <row r="3" spans="1:28"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row>
    <row r="4" spans="1:28" s="157" customFormat="1" x14ac:dyDescent="0.25">
      <c r="A4" s="120"/>
      <c r="B4" s="153"/>
    </row>
    <row r="5" spans="1:28" s="157" customFormat="1" x14ac:dyDescent="0.25">
      <c r="A5" s="120"/>
      <c r="B5" s="156"/>
    </row>
    <row r="6" spans="1:28" s="105" customFormat="1" ht="15.75" thickBot="1" x14ac:dyDescent="0.3">
      <c r="A6" s="120"/>
      <c r="B6" s="155"/>
    </row>
    <row r="7" spans="1:28" x14ac:dyDescent="0.25">
      <c r="C7" s="10" t="s">
        <v>52</v>
      </c>
      <c r="D7" t="s">
        <v>76</v>
      </c>
    </row>
    <row r="8" spans="1:28" x14ac:dyDescent="0.25">
      <c r="C8" s="11">
        <v>2021</v>
      </c>
      <c r="D8" s="9">
        <v>3000</v>
      </c>
    </row>
    <row r="9" spans="1:28" x14ac:dyDescent="0.25">
      <c r="C9" s="11">
        <v>2022</v>
      </c>
      <c r="D9" s="9">
        <v>108400</v>
      </c>
    </row>
    <row r="10" spans="1:28" x14ac:dyDescent="0.25">
      <c r="C10" s="11" t="s">
        <v>54</v>
      </c>
      <c r="D10" s="9">
        <v>111400</v>
      </c>
    </row>
  </sheetData>
  <mergeCells count="1">
    <mergeCell ref="B1:AB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07B8D-37CB-41EB-AB90-DD7C9241C87E}">
  <sheetPr codeName="Sheet11"/>
  <dimension ref="A1:AB13"/>
  <sheetViews>
    <sheetView workbookViewId="0">
      <selection activeCell="D11" sqref="D11"/>
    </sheetView>
  </sheetViews>
  <sheetFormatPr defaultRowHeight="15" x14ac:dyDescent="0.25"/>
  <cols>
    <col min="1" max="1" width="9.140625" style="120"/>
    <col min="2" max="2" width="9.140625" style="156" customWidth="1"/>
    <col min="3" max="3" width="17.85546875" bestFit="1" customWidth="1"/>
    <col min="4" max="4" width="16.28515625" bestFit="1" customWidth="1"/>
    <col min="5" max="6" width="15.85546875" bestFit="1" customWidth="1"/>
    <col min="7" max="7" width="15.140625" bestFit="1" customWidth="1"/>
    <col min="8" max="8" width="12.140625" bestFit="1" customWidth="1"/>
    <col min="9" max="9" width="15.85546875" bestFit="1" customWidth="1"/>
    <col min="10" max="10" width="12.7109375" bestFit="1" customWidth="1"/>
    <col min="11" max="11" width="16.140625" bestFit="1" customWidth="1"/>
    <col min="12" max="12" width="13.7109375" bestFit="1" customWidth="1"/>
    <col min="13" max="14" width="15.140625" bestFit="1" customWidth="1"/>
    <col min="15" max="15" width="10.5703125" bestFit="1" customWidth="1"/>
    <col min="16" max="16" width="13.28515625" bestFit="1" customWidth="1"/>
    <col min="17" max="18" width="15.85546875" bestFit="1" customWidth="1"/>
  </cols>
  <sheetData>
    <row r="1" spans="1:28" x14ac:dyDescent="0.25">
      <c r="B1" s="189" t="s">
        <v>255</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row>
    <row r="2" spans="1:28"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row>
    <row r="3" spans="1:28"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row>
    <row r="4" spans="1:28" s="157" customFormat="1" x14ac:dyDescent="0.25">
      <c r="A4" s="120"/>
      <c r="B4" s="153"/>
    </row>
    <row r="5" spans="1:28" s="157" customFormat="1" x14ac:dyDescent="0.25">
      <c r="A5" s="120"/>
      <c r="B5" s="156"/>
    </row>
    <row r="6" spans="1:28" s="105" customFormat="1" ht="15.75" thickBot="1" x14ac:dyDescent="0.3">
      <c r="A6" s="120"/>
      <c r="B6" s="155"/>
    </row>
    <row r="7" spans="1:28" x14ac:dyDescent="0.25">
      <c r="C7" s="10" t="s">
        <v>76</v>
      </c>
      <c r="D7" s="10" t="s">
        <v>55</v>
      </c>
    </row>
    <row r="8" spans="1:28" x14ac:dyDescent="0.25">
      <c r="C8" s="10" t="s">
        <v>52</v>
      </c>
      <c r="D8" t="s">
        <v>38</v>
      </c>
      <c r="E8" t="s">
        <v>14</v>
      </c>
      <c r="F8" t="s">
        <v>54</v>
      </c>
    </row>
    <row r="9" spans="1:28" x14ac:dyDescent="0.25">
      <c r="C9" s="11">
        <v>2020</v>
      </c>
      <c r="D9" s="4">
        <v>-120</v>
      </c>
      <c r="E9" s="4"/>
      <c r="F9" s="4">
        <v>-120</v>
      </c>
    </row>
    <row r="10" spans="1:28" x14ac:dyDescent="0.25">
      <c r="C10" s="11">
        <v>2021</v>
      </c>
      <c r="D10" s="4"/>
      <c r="E10" s="4">
        <v>5000</v>
      </c>
      <c r="F10" s="4">
        <v>5000</v>
      </c>
    </row>
    <row r="11" spans="1:28" x14ac:dyDescent="0.25">
      <c r="C11" s="11">
        <v>2022</v>
      </c>
      <c r="D11" s="4">
        <v>-22080</v>
      </c>
      <c r="E11" s="4">
        <v>2922050</v>
      </c>
      <c r="F11" s="4">
        <v>2899970</v>
      </c>
    </row>
    <row r="12" spans="1:28" x14ac:dyDescent="0.25">
      <c r="C12" s="11">
        <v>2023</v>
      </c>
      <c r="D12" s="4"/>
      <c r="E12" s="4">
        <v>3000</v>
      </c>
      <c r="F12" s="4">
        <v>3000</v>
      </c>
    </row>
    <row r="13" spans="1:28" x14ac:dyDescent="0.25">
      <c r="C13" s="11" t="s">
        <v>54</v>
      </c>
      <c r="D13" s="4">
        <v>-22200</v>
      </c>
      <c r="E13" s="4">
        <v>2930050</v>
      </c>
      <c r="F13" s="4">
        <v>2907850</v>
      </c>
    </row>
  </sheetData>
  <mergeCells count="1">
    <mergeCell ref="B1:AB3"/>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82EB5-816D-45AD-80E9-9FC3351F351E}">
  <sheetPr codeName="Sheet12"/>
  <dimension ref="G1:M39"/>
  <sheetViews>
    <sheetView workbookViewId="0"/>
  </sheetViews>
  <sheetFormatPr defaultRowHeight="0" customHeight="1" zeroHeight="1" x14ac:dyDescent="0.25"/>
  <cols>
    <col min="1" max="6" width="9.140625" style="143" customWidth="1"/>
    <col min="7" max="7" width="30.7109375" style="143" bestFit="1" customWidth="1"/>
    <col min="8" max="9" width="9.140625" style="143" customWidth="1"/>
    <col min="10" max="10" width="26.140625" style="143" bestFit="1" customWidth="1"/>
    <col min="11" max="11" width="2.7109375" style="143" customWidth="1"/>
    <col min="12" max="12" width="9.140625" style="143" customWidth="1"/>
    <col min="13" max="13" width="22.42578125" style="143" bestFit="1" customWidth="1"/>
    <col min="14" max="14" width="2.7109375" style="143" customWidth="1"/>
    <col min="15" max="16" width="9.140625" style="143" customWidth="1"/>
    <col min="17" max="17" width="2.5703125" style="143" customWidth="1"/>
    <col min="18" max="24" width="9.140625" style="143" customWidth="1"/>
    <col min="25" max="16384" width="9.140625" style="143"/>
  </cols>
  <sheetData>
    <row r="1" spans="7:10" s="144" customFormat="1" ht="15" x14ac:dyDescent="0.25"/>
    <row r="2" spans="7:10" s="144" customFormat="1" ht="15" x14ac:dyDescent="0.25"/>
    <row r="3" spans="7:10" s="144" customFormat="1" ht="15" x14ac:dyDescent="0.25"/>
    <row r="4" spans="7:10" s="144" customFormat="1" ht="15" x14ac:dyDescent="0.25"/>
    <row r="5" spans="7:10" s="146" customFormat="1" ht="15.75" thickBot="1" x14ac:dyDescent="0.3"/>
    <row r="6" spans="7:10" ht="15" x14ac:dyDescent="0.25"/>
    <row r="7" spans="7:10" ht="15" x14ac:dyDescent="0.25"/>
    <row r="8" spans="7:10" ht="15" x14ac:dyDescent="0.25"/>
    <row r="9" spans="7:10" ht="15" x14ac:dyDescent="0.25"/>
    <row r="10" spans="7:10" ht="15" x14ac:dyDescent="0.25"/>
    <row r="11" spans="7:10" ht="15" x14ac:dyDescent="0.25"/>
    <row r="12" spans="7:10" ht="15" x14ac:dyDescent="0.25"/>
    <row r="13" spans="7:10" ht="15.75" x14ac:dyDescent="0.25">
      <c r="G13" s="131" t="s">
        <v>206</v>
      </c>
      <c r="J13" s="131" t="s">
        <v>268</v>
      </c>
    </row>
    <row r="14" spans="7:10" ht="15" x14ac:dyDescent="0.25"/>
    <row r="15" spans="7:10" ht="15" x14ac:dyDescent="0.25"/>
    <row r="16" spans="7:10" ht="15" x14ac:dyDescent="0.25"/>
    <row r="17" spans="7:13" ht="15.75" x14ac:dyDescent="0.25">
      <c r="G17" s="131" t="s">
        <v>119</v>
      </c>
      <c r="J17" s="131" t="s">
        <v>272</v>
      </c>
    </row>
    <row r="18" spans="7:13" ht="15" x14ac:dyDescent="0.25"/>
    <row r="19" spans="7:13" ht="15" x14ac:dyDescent="0.25"/>
    <row r="20" spans="7:13" ht="15" x14ac:dyDescent="0.25"/>
    <row r="21" spans="7:13" ht="15.75" x14ac:dyDescent="0.25">
      <c r="G21" s="131" t="s">
        <v>275</v>
      </c>
      <c r="J21" s="131" t="s">
        <v>272</v>
      </c>
      <c r="M21" s="131" t="s">
        <v>273</v>
      </c>
    </row>
    <row r="22" spans="7:13" ht="15" x14ac:dyDescent="0.25"/>
    <row r="23" spans="7:13" ht="15" x14ac:dyDescent="0.25"/>
    <row r="24" spans="7:13" ht="15" x14ac:dyDescent="0.25"/>
    <row r="25" spans="7:13" ht="15.75" x14ac:dyDescent="0.25">
      <c r="G25" s="131" t="s">
        <v>87</v>
      </c>
    </row>
    <row r="26" spans="7:13" ht="15" x14ac:dyDescent="0.25"/>
    <row r="27" spans="7:13" ht="15" x14ac:dyDescent="0.25"/>
    <row r="28" spans="7:13" ht="15" x14ac:dyDescent="0.25"/>
    <row r="29" spans="7:13" s="145" customFormat="1" ht="15.75" thickBot="1" x14ac:dyDescent="0.3"/>
    <row r="30" spans="7:13" s="144" customFormat="1" ht="15" x14ac:dyDescent="0.25"/>
    <row r="31" spans="7:13" s="144" customFormat="1" ht="15" x14ac:dyDescent="0.25"/>
    <row r="32" spans="7:13" s="144" customFormat="1" ht="15" x14ac:dyDescent="0.25"/>
    <row r="33" s="144" customFormat="1" ht="15" x14ac:dyDescent="0.25"/>
    <row r="34" s="144" customFormat="1" ht="15" x14ac:dyDescent="0.25"/>
    <row r="35" s="144" customFormat="1" ht="15" x14ac:dyDescent="0.25"/>
    <row r="36" s="144" customFormat="1" ht="15" x14ac:dyDescent="0.25"/>
    <row r="37" s="144" customFormat="1" ht="15" x14ac:dyDescent="0.25"/>
    <row r="38" s="144" customFormat="1" ht="15" x14ac:dyDescent="0.25"/>
    <row r="39" s="144" customFormat="1" ht="1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436C1-CE9D-4FF0-B1C0-EC448FB146FB}">
  <sheetPr codeName="Sheet13"/>
  <dimension ref="A1:AK13"/>
  <sheetViews>
    <sheetView workbookViewId="0">
      <selection activeCell="E18" sqref="E18"/>
    </sheetView>
  </sheetViews>
  <sheetFormatPr defaultRowHeight="15" x14ac:dyDescent="0.25"/>
  <cols>
    <col min="1" max="1" width="9.140625" style="120"/>
    <col min="2" max="2" width="9.140625" style="156" customWidth="1"/>
    <col min="3" max="3" width="17.42578125" bestFit="1" customWidth="1"/>
    <col min="4" max="4" width="17.42578125" customWidth="1"/>
    <col min="5" max="9" width="14.85546875" customWidth="1"/>
    <col min="10" max="10" width="23.85546875" customWidth="1"/>
    <col min="11" max="11" width="26.5703125" customWidth="1"/>
    <col min="12" max="14" width="23.85546875" customWidth="1"/>
    <col min="16" max="16" width="22.5703125" customWidth="1"/>
    <col min="17" max="17" width="13.5703125" customWidth="1"/>
    <col min="18" max="18" width="18.85546875" bestFit="1" customWidth="1"/>
    <col min="19" max="19" width="18.85546875" customWidth="1"/>
    <col min="20" max="20" width="17.28515625" bestFit="1" customWidth="1"/>
    <col min="21" max="21" width="16.42578125" bestFit="1" customWidth="1"/>
    <col min="22" max="22" width="19.85546875" bestFit="1" customWidth="1"/>
    <col min="23" max="23" width="16.42578125" bestFit="1" customWidth="1"/>
    <col min="24" max="24" width="9.140625" bestFit="1" customWidth="1"/>
    <col min="25" max="25" width="9" bestFit="1" customWidth="1"/>
    <col min="26" max="26" width="12" bestFit="1" customWidth="1"/>
    <col min="28" max="28" width="12" bestFit="1" customWidth="1"/>
    <col min="29" max="29" width="14.140625" bestFit="1" customWidth="1"/>
    <col min="30" max="30" width="14.85546875" bestFit="1" customWidth="1"/>
    <col min="31" max="31" width="21.28515625" bestFit="1" customWidth="1"/>
    <col min="32" max="32" width="16" bestFit="1" customWidth="1"/>
    <col min="33" max="33" width="19.85546875" bestFit="1" customWidth="1"/>
    <col min="34" max="34" width="24.7109375" bestFit="1" customWidth="1"/>
    <col min="35" max="35" width="26.85546875" bestFit="1" customWidth="1"/>
    <col min="36" max="37" width="17.5703125" bestFit="1" customWidth="1"/>
  </cols>
  <sheetData>
    <row r="1" spans="1:37" ht="15" customHeight="1" x14ac:dyDescent="0.25">
      <c r="B1" s="189" t="s">
        <v>206</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c r="AD1" s="189"/>
      <c r="AE1" s="189"/>
      <c r="AF1" s="189"/>
      <c r="AG1" s="189"/>
      <c r="AH1" s="189"/>
      <c r="AI1" s="189"/>
      <c r="AJ1" s="189"/>
      <c r="AK1" s="189"/>
    </row>
    <row r="2" spans="1:37"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row>
    <row r="3" spans="1:37"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190"/>
    </row>
    <row r="4" spans="1:37" s="157" customFormat="1" ht="15.75" thickBot="1" x14ac:dyDescent="0.3">
      <c r="A4" s="120"/>
      <c r="B4" s="153"/>
    </row>
    <row r="5" spans="1:37" s="157" customFormat="1" ht="15.75" thickBot="1" x14ac:dyDescent="0.3">
      <c r="A5" s="120"/>
      <c r="B5" s="156"/>
      <c r="C5" s="187" t="s">
        <v>296</v>
      </c>
      <c r="D5" s="188">
        <f ca="1">TODAY()</f>
        <v>44718</v>
      </c>
      <c r="G5" s="166"/>
      <c r="H5" s="166"/>
    </row>
    <row r="6" spans="1:37" s="105" customFormat="1" ht="15.75" thickBot="1" x14ac:dyDescent="0.3">
      <c r="A6" s="120"/>
      <c r="B6" s="155"/>
    </row>
    <row r="7" spans="1:37" x14ac:dyDescent="0.25">
      <c r="C7" s="6" t="s">
        <v>221</v>
      </c>
      <c r="D7" s="6" t="s">
        <v>21</v>
      </c>
      <c r="E7" s="6" t="s">
        <v>230</v>
      </c>
      <c r="F7" s="6" t="s">
        <v>85</v>
      </c>
      <c r="G7" s="6" t="s">
        <v>297</v>
      </c>
      <c r="H7" s="6" t="s">
        <v>298</v>
      </c>
      <c r="I7" s="6" t="s">
        <v>222</v>
      </c>
      <c r="J7" s="6" t="s">
        <v>216</v>
      </c>
      <c r="K7" s="6" t="s">
        <v>295</v>
      </c>
      <c r="L7" s="6" t="s">
        <v>208</v>
      </c>
      <c r="M7" s="6" t="s">
        <v>209</v>
      </c>
      <c r="N7" s="6" t="s">
        <v>210</v>
      </c>
      <c r="O7" s="6" t="s">
        <v>87</v>
      </c>
      <c r="P7" s="130" t="s">
        <v>229</v>
      </c>
      <c r="Q7" s="6" t="s">
        <v>89</v>
      </c>
      <c r="R7" s="6" t="s">
        <v>124</v>
      </c>
      <c r="S7" s="6" t="s">
        <v>125</v>
      </c>
      <c r="T7" s="6" t="s">
        <v>100</v>
      </c>
      <c r="U7" s="6" t="s">
        <v>177</v>
      </c>
      <c r="V7" s="6" t="s">
        <v>90</v>
      </c>
      <c r="W7" s="6" t="s">
        <v>103</v>
      </c>
      <c r="X7" s="6" t="s">
        <v>129</v>
      </c>
      <c r="Y7" s="6" t="s">
        <v>107</v>
      </c>
      <c r="Z7" s="6" t="s">
        <v>127</v>
      </c>
      <c r="AA7" s="6" t="s">
        <v>117</v>
      </c>
      <c r="AB7" s="6" t="s">
        <v>178</v>
      </c>
      <c r="AC7" s="6" t="s">
        <v>179</v>
      </c>
      <c r="AD7" s="6" t="s">
        <v>180</v>
      </c>
      <c r="AE7" s="6" t="s">
        <v>181</v>
      </c>
      <c r="AF7" s="6" t="s">
        <v>182</v>
      </c>
      <c r="AG7" s="6" t="s">
        <v>183</v>
      </c>
      <c r="AH7" s="6" t="s">
        <v>184</v>
      </c>
      <c r="AI7" s="6" t="s">
        <v>185</v>
      </c>
      <c r="AJ7" s="6" t="s">
        <v>187</v>
      </c>
      <c r="AK7" s="6" t="s">
        <v>186</v>
      </c>
    </row>
    <row r="8" spans="1:37" x14ac:dyDescent="0.25">
      <c r="D8" t="s">
        <v>22</v>
      </c>
      <c r="J8" s="171">
        <v>44718</v>
      </c>
      <c r="K8" s="9" t="str">
        <f ca="1">_xlfn.IFS(AND(MONTH(Table2[[#This Row],[Data de Aniversário]])=MONTH($D$5),DAY(Table2[[#This Row],[Data de Aniversário]])=DAY($D$5)),"Hoje é o seu aniversário!",AND(MONTH(Table2[[#This Row],[Data de Aniversário]])=MONTH($D$5),DAY(Table2[[#This Row],[Data de Aniversário]])&lt;&gt;DAY($D$5)),"Seu aniversário é esse mês",AND(MONTH(Table2[[#This Row],[Data de Aniversário]])&lt;&gt;MONTH($D$5),DAY(Table2[[#This Row],[Data de Aniversário]])&lt;&gt;DAY($D$5)),"")</f>
        <v>Hoje é o seu aniversário!</v>
      </c>
      <c r="L8" s="4">
        <f>SUMIFS(Tab_Fluxo[Valor Total],Tab_Fluxo[Cliente],Table2[[#This Row],[Cliente]],Tab_Fluxo[Tipo],"Entradas")</f>
        <v>2000</v>
      </c>
      <c r="M8" s="4">
        <f>SUMIFS(Tab_Fluxo[Valor Total],Tab_Fluxo[Cliente],Table2[[#This Row],[Cliente]],Tab_Fluxo[Tipo],"Saídas")</f>
        <v>0</v>
      </c>
      <c r="N8" s="4">
        <f>Table2[[#This Row],[Total Ganho]]-Table2[[#This Row],[Total Gasto]]</f>
        <v>2000</v>
      </c>
      <c r="O8">
        <f ca="1">SUM(Table2[[#This Row],[Ponderado Tempo]:[Ponderado Pgto]])</f>
        <v>55</v>
      </c>
      <c r="Q8">
        <f>SUMIFS(Tab_Fluxo[Valor (Aux)],Tab_Fluxo[Cliente],Table2[[#This Row],[Cliente]],Tab_Fluxo[Tipo],"Entradas")</f>
        <v>2000</v>
      </c>
      <c r="R8" s="3">
        <f t="array" ref="R8">INDEX(Tab_Fluxo[Data],SMALL(IF(Tab_Fluxo[Cliente]=Table2[[#This Row],[Cliente]],ROW(Tab_Fluxo[Cliente])-8),1),1)</f>
        <v>44688</v>
      </c>
      <c r="S8" s="3">
        <f t="array" ref="S8">INDEX(Tab_Fluxo[Data],LARGE(IF(Tab_Fluxo[Cliente]=Table2[[#This Row],[Cliente]],ROW(Tab_Fluxo[Cliente])-8),1),1)</f>
        <v>44688</v>
      </c>
      <c r="T8">
        <f ca="1">INT((PerfilClienteAux!$E$6-Table2[[#This Row],[Primeiro Registro]])/30)</f>
        <v>1</v>
      </c>
      <c r="U8">
        <f>COUNTIFS(Tab_Fluxo[Tipo],"Entradas",Tab_Fluxo[Cliente],Table2[[#This Row],[Cliente]])</f>
        <v>1</v>
      </c>
      <c r="V8" s="100">
        <f>Table2[[#This Row],[Compra]]/Table2[[#This Row],[Nº de compras]]</f>
        <v>2000</v>
      </c>
      <c r="W8">
        <f ca="1">IF(INT((PerfilClienteAux!$E$6-Table2[[#This Row],[Último Registro]])/30)&lt;0,0,INT((PerfilClienteAux!$E$6-Table2[[#This Row],[Último Registro]])/30))</f>
        <v>1</v>
      </c>
      <c r="X8">
        <f>SUMIFS(Tab_Fluxo[Valor (Aux)],Tab_Fluxo[Cliente],Table2[[#This Row],[Cliente]],Tab_Fluxo[Método de Pagto],Table2[[#Headers],[À Vista]],Tab_Fluxo[Tipo],"Entradas")</f>
        <v>2000</v>
      </c>
      <c r="Y8" s="9">
        <f>SUMIFS(Tab_Fluxo[Valor (Aux)],Tab_Fluxo[Cliente],Table2[[#This Row],[Cliente]],Tab_Fluxo[Método de Pagto],Table2[[#Headers],[Cartão]],Tab_Fluxo[Tipo],"Entradas")</f>
        <v>0</v>
      </c>
      <c r="Z8" s="9">
        <f>SUMIFS(Tab_Fluxo[Valor (Aux)],Tab_Fluxo[Cliente],Table2[[#This Row],[Cliente]],Tab_Fluxo[Método de Pagto],Table2[[#Headers],[Parcelado]],Tab_Fluxo[Tipo],"Entradas")</f>
        <v>0</v>
      </c>
      <c r="AA8" s="9">
        <f>LARGE(Table2[[#This Row],[À Vista]:[Parcelado]],1)</f>
        <v>2000</v>
      </c>
      <c r="AB8" s="9">
        <f>_xlfn.IFS(Table2[[#This Row],[Maior valor]]=Table2[[#This Row],[À Vista]],60,Table2[[#This Row],[Maior valor]]=Table2[[#This Row],[Cartão]],40,Table2[[#This Row],[Maior valor]]=Table2[[#This Row],[Parcelado]],20)</f>
        <v>60</v>
      </c>
      <c r="AC8" s="9">
        <f ca="1">VLOOKUP(Table2[[#This Row],[Tempo]],PerfilClienteAux!$D$33:$F$37,3,TRUE)</f>
        <v>20</v>
      </c>
      <c r="AD8" s="9">
        <f>VLOOKUP(Table2[[#This Row],[Compra]],PerfilClienteAux!$D$40:$F$45,3,TRUE)</f>
        <v>40</v>
      </c>
      <c r="AE8" s="9">
        <f>VLOOKUP(Table2[[#This Row],[Compra Média]],PerfilClienteAux!$H$32:$J$37,3,TRUE)</f>
        <v>80</v>
      </c>
      <c r="AF8" s="9">
        <f ca="1">VLOOKUP(Table2[[#This Row],[Recência]],PerfilClienteAux!$H$40:$J$45,3,TRUE)</f>
        <v>100</v>
      </c>
      <c r="AG8" s="9">
        <f ca="1">(Table2[[#This Row],[Nota Tempo]]*PerfilClienteAux!$O$19)/PerfilClienteAux!$O$24</f>
        <v>4</v>
      </c>
      <c r="AH8" s="9">
        <f>(Table2[[#This Row],[Nota Compra]]*PerfilClienteAux!$O$20)/PerfilClienteAux!$O$24</f>
        <v>14</v>
      </c>
      <c r="AI8" s="9">
        <f>(Table2[[#This Row],[Nota Compra Média]]*PerfilClienteAux!$O$21)/PerfilClienteAux!$O$24</f>
        <v>16</v>
      </c>
      <c r="AJ8" s="9">
        <f ca="1">(Table2[[#This Row],[Nota Recência]]*PerfilClienteAux!$O$22)/PerfilClienteAux!$O$24</f>
        <v>15</v>
      </c>
      <c r="AK8" s="9">
        <f>(Table2[[#This Row],[Nota Pgto]]*PerfilClienteAux!$O$23)/PerfilClienteAux!$O$24</f>
        <v>6</v>
      </c>
    </row>
    <row r="9" spans="1:37" x14ac:dyDescent="0.25">
      <c r="D9" t="s">
        <v>23</v>
      </c>
      <c r="J9" s="171">
        <v>44614</v>
      </c>
      <c r="K9" s="9" t="str">
        <f ca="1">_xlfn.IFS(AND(MONTH(Table2[[#This Row],[Data de Aniversário]])=MONTH($D$5),DAY(Table2[[#This Row],[Data de Aniversário]])=DAY($D$5)),"Hoje é o seu aniversário!",AND(MONTH(Table2[[#This Row],[Data de Aniversário]])=MONTH($D$5),DAY(Table2[[#This Row],[Data de Aniversário]])&lt;&gt;DAY($D$5)),"Seu aniversário é esse mês",AND(MONTH(Table2[[#This Row],[Data de Aniversário]])&lt;&gt;MONTH($D$5),DAY(Table2[[#This Row],[Data de Aniversário]])&lt;&gt;DAY($D$5)),"")</f>
        <v/>
      </c>
      <c r="L9" s="4">
        <f>SUMIFS(Tab_Fluxo[Valor Total],Tab_Fluxo[Cliente],Table2[[#This Row],[Cliente]],Tab_Fluxo[Tipo],"Entradas")</f>
        <v>0</v>
      </c>
      <c r="M9" s="4">
        <f>SUMIFS(Tab_Fluxo[Valor Total],Tab_Fluxo[Cliente],Table2[[#This Row],[Cliente]],Tab_Fluxo[Tipo],"Saídas")</f>
        <v>0</v>
      </c>
      <c r="N9" s="4">
        <f>Table2[[#This Row],[Total Ganho]]-Table2[[#This Row],[Total Gasto]]</f>
        <v>0</v>
      </c>
      <c r="O9" t="e">
        <f ca="1">SUM(Table2[[#This Row],[Ponderado Tempo]:[Ponderado Pgto]])</f>
        <v>#NUM!</v>
      </c>
      <c r="Q9">
        <f>SUMIFS(Tab_Fluxo[Valor (Aux)],Tab_Fluxo[Cliente],Table2[[#This Row],[Cliente]],Tab_Fluxo[Tipo],"Entradas")</f>
        <v>0</v>
      </c>
      <c r="R9" s="3" t="e">
        <f t="array" ref="R9">INDEX(Tab_Fluxo[Data],SMALL(IF(Tab_Fluxo[Cliente]=Table2[[#This Row],[Cliente]],ROW(Tab_Fluxo[Cliente])-8),1),1)</f>
        <v>#NUM!</v>
      </c>
      <c r="S9" s="3" t="e">
        <f t="array" ref="S9">INDEX(Tab_Fluxo[Data],LARGE(IF(Tab_Fluxo[Cliente]=Table2[[#This Row],[Cliente]],ROW(Tab_Fluxo[Cliente])-8),1),1)</f>
        <v>#NUM!</v>
      </c>
      <c r="T9" t="e">
        <f ca="1">INT((PerfilClienteAux!$E$6-Table2[[#This Row],[Primeiro Registro]])/30)</f>
        <v>#NUM!</v>
      </c>
      <c r="U9">
        <f>COUNTIFS(Tab_Fluxo[Tipo],"Entradas",Tab_Fluxo[Cliente],Table2[[#This Row],[Cliente]])</f>
        <v>0</v>
      </c>
      <c r="V9" s="100" t="e">
        <f>Table2[[#This Row],[Compra]]/Table2[[#This Row],[Nº de compras]]</f>
        <v>#DIV/0!</v>
      </c>
      <c r="W9" t="e">
        <f ca="1">IF(INT((PerfilClienteAux!$E$6-Table2[[#This Row],[Último Registro]])/30)&lt;0,0,INT((PerfilClienteAux!$E$6-Table2[[#This Row],[Último Registro]])/30))</f>
        <v>#NUM!</v>
      </c>
      <c r="X9">
        <f>SUMIFS(Tab_Fluxo[Valor (Aux)],Tab_Fluxo[Cliente],Table2[[#This Row],[Cliente]],Tab_Fluxo[Método de Pagto],Table2[[#Headers],[À Vista]],Tab_Fluxo[Tipo],"Entradas")</f>
        <v>0</v>
      </c>
      <c r="Y9" s="9">
        <f>SUMIFS(Tab_Fluxo[Valor (Aux)],Tab_Fluxo[Cliente],Table2[[#This Row],[Cliente]],Tab_Fluxo[Método de Pagto],Table2[[#Headers],[Cartão]],Tab_Fluxo[Tipo],"Entradas")</f>
        <v>0</v>
      </c>
      <c r="Z9" s="9">
        <f>SUMIFS(Tab_Fluxo[Valor (Aux)],Tab_Fluxo[Cliente],Table2[[#This Row],[Cliente]],Tab_Fluxo[Método de Pagto],Table2[[#Headers],[Parcelado]],Tab_Fluxo[Tipo],"Entradas")</f>
        <v>0</v>
      </c>
      <c r="AA9" s="9">
        <f>LARGE(Table2[[#This Row],[À Vista]:[Parcelado]],1)</f>
        <v>0</v>
      </c>
      <c r="AB9" s="9">
        <f>_xlfn.IFS(Table2[[#This Row],[Maior valor]]=Table2[[#This Row],[À Vista]],60,Table2[[#This Row],[Maior valor]]=Table2[[#This Row],[Cartão]],40,Table2[[#This Row],[Maior valor]]=Table2[[#This Row],[Parcelado]],20)</f>
        <v>60</v>
      </c>
      <c r="AC9" s="9" t="e">
        <f ca="1">VLOOKUP(Table2[[#This Row],[Tempo]],PerfilClienteAux!$D$33:$F$37,3,TRUE)</f>
        <v>#NUM!</v>
      </c>
      <c r="AD9" s="9">
        <f>VLOOKUP(Table2[[#This Row],[Compra]],PerfilClienteAux!$D$40:$F$45,3,TRUE)</f>
        <v>20</v>
      </c>
      <c r="AE9" s="9" t="e">
        <f>VLOOKUP(Table2[[#This Row],[Compra Média]],PerfilClienteAux!$H$32:$J$37,3,TRUE)</f>
        <v>#DIV/0!</v>
      </c>
      <c r="AF9" s="9" t="e">
        <f ca="1">VLOOKUP(Table2[[#This Row],[Recência]],PerfilClienteAux!$H$40:$J$45,3,TRUE)</f>
        <v>#NUM!</v>
      </c>
      <c r="AG9" s="9" t="e">
        <f ca="1">(Table2[[#This Row],[Nota Tempo]]*PerfilClienteAux!$O$19)/PerfilClienteAux!$O$24</f>
        <v>#NUM!</v>
      </c>
      <c r="AH9" s="9">
        <f>(Table2[[#This Row],[Nota Compra]]*PerfilClienteAux!$O$20)/PerfilClienteAux!$O$24</f>
        <v>7</v>
      </c>
      <c r="AI9" s="9" t="e">
        <f>(Table2[[#This Row],[Nota Compra Média]]*PerfilClienteAux!$O$21)/PerfilClienteAux!$O$24</f>
        <v>#DIV/0!</v>
      </c>
      <c r="AJ9" s="9" t="e">
        <f ca="1">(Table2[[#This Row],[Nota Recência]]*PerfilClienteAux!$O$22)/PerfilClienteAux!$O$24</f>
        <v>#NUM!</v>
      </c>
      <c r="AK9" s="9">
        <f>(Table2[[#This Row],[Nota Pgto]]*PerfilClienteAux!$O$23)/PerfilClienteAux!$O$24</f>
        <v>6</v>
      </c>
    </row>
    <row r="10" spans="1:37" x14ac:dyDescent="0.25">
      <c r="D10" t="s">
        <v>24</v>
      </c>
      <c r="J10" s="171">
        <v>44640</v>
      </c>
      <c r="K10" s="9" t="str">
        <f ca="1">_xlfn.IFS(AND(MONTH(Table2[[#This Row],[Data de Aniversário]])=MONTH($D$5),DAY(Table2[[#This Row],[Data de Aniversário]])=DAY($D$5)),"Hoje é o seu aniversário!",AND(MONTH(Table2[[#This Row],[Data de Aniversário]])=MONTH($D$5),DAY(Table2[[#This Row],[Data de Aniversário]])&lt;&gt;DAY($D$5)),"Seu aniversário é esse mês",AND(MONTH(Table2[[#This Row],[Data de Aniversário]])&lt;&gt;MONTH($D$5),DAY(Table2[[#This Row],[Data de Aniversário]])&lt;&gt;DAY($D$5)),"")</f>
        <v/>
      </c>
      <c r="L10" s="4">
        <f>SUMIFS(Tab_Fluxo[Valor Total],Tab_Fluxo[Cliente],Table2[[#This Row],[Cliente]],Tab_Fluxo[Tipo],"Entradas")</f>
        <v>40</v>
      </c>
      <c r="M10" s="4">
        <f>SUMIFS(Tab_Fluxo[Valor Total],Tab_Fluxo[Cliente],Table2[[#This Row],[Cliente]],Tab_Fluxo[Tipo],"Saídas")</f>
        <v>0</v>
      </c>
      <c r="N10" s="4">
        <f>Table2[[#This Row],[Total Ganho]]-Table2[[#This Row],[Total Gasto]]</f>
        <v>40</v>
      </c>
      <c r="O10">
        <f ca="1">SUM(Table2[[#This Row],[Ponderado Tempo]:[Ponderado Pgto]])</f>
        <v>36</v>
      </c>
      <c r="Q10">
        <f>SUMIFS(Tab_Fluxo[Valor (Aux)],Tab_Fluxo[Cliente],Table2[[#This Row],[Cliente]],Tab_Fluxo[Tipo],"Entradas")</f>
        <v>40</v>
      </c>
      <c r="R10" s="3">
        <f t="array" ref="R10">INDEX(Tab_Fluxo[Data],SMALL(IF(Tab_Fluxo[Cliente]=Table2[[#This Row],[Cliente]],ROW(Tab_Fluxo[Cliente])-8),1),1)</f>
        <v>44689</v>
      </c>
      <c r="S10" s="3">
        <f t="array" ref="S10">INDEX(Tab_Fluxo[Data],LARGE(IF(Tab_Fluxo[Cliente]=Table2[[#This Row],[Cliente]],ROW(Tab_Fluxo[Cliente])-8),1),1)</f>
        <v>44689</v>
      </c>
      <c r="T10">
        <f ca="1">INT((PerfilClienteAux!$E$6-Table2[[#This Row],[Primeiro Registro]])/30)</f>
        <v>0</v>
      </c>
      <c r="U10">
        <f>COUNTIFS(Tab_Fluxo[Tipo],"Entradas",Tab_Fluxo[Cliente],Table2[[#This Row],[Cliente]])</f>
        <v>1</v>
      </c>
      <c r="V10" s="100">
        <f>Table2[[#This Row],[Compra]]/Table2[[#This Row],[Nº de compras]]</f>
        <v>40</v>
      </c>
      <c r="W10">
        <f ca="1">IF(INT((PerfilClienteAux!$E$6-Table2[[#This Row],[Último Registro]])/30)&lt;0,0,INT((PerfilClienteAux!$E$6-Table2[[#This Row],[Último Registro]])/30))</f>
        <v>0</v>
      </c>
      <c r="X10">
        <f>SUMIFS(Tab_Fluxo[Valor (Aux)],Tab_Fluxo[Cliente],Table2[[#This Row],[Cliente]],Tab_Fluxo[Método de Pagto],Table2[[#Headers],[À Vista]],Tab_Fluxo[Tipo],"Entradas")</f>
        <v>40</v>
      </c>
      <c r="Y10" s="9">
        <f>SUMIFS(Tab_Fluxo[Valor (Aux)],Tab_Fluxo[Cliente],Table2[[#This Row],[Cliente]],Tab_Fluxo[Método de Pagto],Table2[[#Headers],[Cartão]],Tab_Fluxo[Tipo],"Entradas")</f>
        <v>0</v>
      </c>
      <c r="Z10" s="9">
        <f>SUMIFS(Tab_Fluxo[Valor (Aux)],Tab_Fluxo[Cliente],Table2[[#This Row],[Cliente]],Tab_Fluxo[Método de Pagto],Table2[[#Headers],[Parcelado]],Tab_Fluxo[Tipo],"Entradas")</f>
        <v>0</v>
      </c>
      <c r="AA10" s="9">
        <f>LARGE(Table2[[#This Row],[À Vista]:[Parcelado]],1)</f>
        <v>40</v>
      </c>
      <c r="AB10" s="9">
        <f>_xlfn.IFS(Table2[[#This Row],[Maior valor]]=Table2[[#This Row],[À Vista]],60,Table2[[#This Row],[Maior valor]]=Table2[[#This Row],[Cartão]],40,Table2[[#This Row],[Maior valor]]=Table2[[#This Row],[Parcelado]],20)</f>
        <v>60</v>
      </c>
      <c r="AC10" s="9">
        <f ca="1">VLOOKUP(Table2[[#This Row],[Tempo]],PerfilClienteAux!$D$33:$F$37,3,TRUE)</f>
        <v>20</v>
      </c>
      <c r="AD10" s="9">
        <f>VLOOKUP(Table2[[#This Row],[Compra]],PerfilClienteAux!$D$40:$F$45,3,TRUE)</f>
        <v>20</v>
      </c>
      <c r="AE10" s="9">
        <f>VLOOKUP(Table2[[#This Row],[Compra Média]],PerfilClienteAux!$H$32:$J$37,3,TRUE)</f>
        <v>20</v>
      </c>
      <c r="AF10" s="9">
        <f ca="1">VLOOKUP(Table2[[#This Row],[Recência]],PerfilClienteAux!$H$40:$J$45,3,TRUE)</f>
        <v>100</v>
      </c>
      <c r="AG10" s="9">
        <f ca="1">(Table2[[#This Row],[Nota Tempo]]*PerfilClienteAux!$O$19)/PerfilClienteAux!$O$24</f>
        <v>4</v>
      </c>
      <c r="AH10" s="9">
        <f>(Table2[[#This Row],[Nota Compra]]*PerfilClienteAux!$O$20)/PerfilClienteAux!$O$24</f>
        <v>7</v>
      </c>
      <c r="AI10" s="9">
        <f>(Table2[[#This Row],[Nota Compra Média]]*PerfilClienteAux!$O$21)/PerfilClienteAux!$O$24</f>
        <v>4</v>
      </c>
      <c r="AJ10" s="9">
        <f ca="1">(Table2[[#This Row],[Nota Recência]]*PerfilClienteAux!$O$22)/PerfilClienteAux!$O$24</f>
        <v>15</v>
      </c>
      <c r="AK10" s="9">
        <f>(Table2[[#This Row],[Nota Pgto]]*PerfilClienteAux!$O$23)/PerfilClienteAux!$O$24</f>
        <v>6</v>
      </c>
    </row>
    <row r="11" spans="1:37" x14ac:dyDescent="0.25">
      <c r="D11" t="s">
        <v>25</v>
      </c>
      <c r="J11" s="171">
        <v>44671</v>
      </c>
      <c r="K11" s="9" t="str">
        <f ca="1">_xlfn.IFS(AND(MONTH(Table2[[#This Row],[Data de Aniversário]])=MONTH($D$5),DAY(Table2[[#This Row],[Data de Aniversário]])=DAY($D$5)),"Hoje é o seu aniversário!",AND(MONTH(Table2[[#This Row],[Data de Aniversário]])=MONTH($D$5),DAY(Table2[[#This Row],[Data de Aniversário]])&lt;&gt;DAY($D$5)),"Seu aniversário é esse mês",AND(MONTH(Table2[[#This Row],[Data de Aniversário]])&lt;&gt;MONTH($D$5),DAY(Table2[[#This Row],[Data de Aniversário]])&lt;&gt;DAY($D$5)),"")</f>
        <v/>
      </c>
      <c r="L11" s="4">
        <f>SUMIFS(Tab_Fluxo[Valor Total],Tab_Fluxo[Cliente],Table2[[#This Row],[Cliente]],Tab_Fluxo[Tipo],"Entradas")</f>
        <v>0</v>
      </c>
      <c r="M11" s="4">
        <f>SUMIFS(Tab_Fluxo[Valor Total],Tab_Fluxo[Cliente],Table2[[#This Row],[Cliente]],Tab_Fluxo[Tipo],"Saídas")</f>
        <v>0</v>
      </c>
      <c r="N11" s="4">
        <f>Table2[[#This Row],[Total Ganho]]-Table2[[#This Row],[Total Gasto]]</f>
        <v>0</v>
      </c>
      <c r="O11" t="e">
        <f ca="1">SUM(Table2[[#This Row],[Ponderado Tempo]:[Ponderado Pgto]])</f>
        <v>#NUM!</v>
      </c>
      <c r="Q11">
        <f>SUMIFS(Tab_Fluxo[Valor (Aux)],Tab_Fluxo[Cliente],Table2[[#This Row],[Cliente]],Tab_Fluxo[Tipo],"Entradas")</f>
        <v>0</v>
      </c>
      <c r="R11" s="3" t="e">
        <f t="array" ref="R11">INDEX(Tab_Fluxo[Data],SMALL(IF(Tab_Fluxo[Cliente]=Table2[[#This Row],[Cliente]],ROW(Tab_Fluxo[Cliente])-8),1),1)</f>
        <v>#NUM!</v>
      </c>
      <c r="S11" s="3" t="e">
        <f t="array" ref="S11">INDEX(Tab_Fluxo[Data],LARGE(IF(Tab_Fluxo[Cliente]=Table2[[#This Row],[Cliente]],ROW(Tab_Fluxo[Cliente])-8),1),1)</f>
        <v>#NUM!</v>
      </c>
      <c r="T11" t="e">
        <f ca="1">INT((PerfilClienteAux!$E$6-Table2[[#This Row],[Primeiro Registro]])/30)</f>
        <v>#NUM!</v>
      </c>
      <c r="U11">
        <f>COUNTIFS(Tab_Fluxo[Tipo],"Entradas",Tab_Fluxo[Cliente],Table2[[#This Row],[Cliente]])</f>
        <v>0</v>
      </c>
      <c r="V11" s="100" t="e">
        <f>Table2[[#This Row],[Compra]]/Table2[[#This Row],[Nº de compras]]</f>
        <v>#DIV/0!</v>
      </c>
      <c r="W11" t="e">
        <f ca="1">IF(INT((PerfilClienteAux!$E$6-Table2[[#This Row],[Último Registro]])/30)&lt;0,0,INT((PerfilClienteAux!$E$6-Table2[[#This Row],[Último Registro]])/30))</f>
        <v>#NUM!</v>
      </c>
      <c r="X11">
        <f>SUMIFS(Tab_Fluxo[Valor (Aux)],Tab_Fluxo[Cliente],Table2[[#This Row],[Cliente]],Tab_Fluxo[Método de Pagto],Table2[[#Headers],[À Vista]],Tab_Fluxo[Tipo],"Entradas")</f>
        <v>0</v>
      </c>
      <c r="Y11" s="9">
        <f>SUMIFS(Tab_Fluxo[Valor (Aux)],Tab_Fluxo[Cliente],Table2[[#This Row],[Cliente]],Tab_Fluxo[Método de Pagto],Table2[[#Headers],[Cartão]],Tab_Fluxo[Tipo],"Entradas")</f>
        <v>0</v>
      </c>
      <c r="Z11" s="9">
        <f>SUMIFS(Tab_Fluxo[Valor (Aux)],Tab_Fluxo[Cliente],Table2[[#This Row],[Cliente]],Tab_Fluxo[Método de Pagto],Table2[[#Headers],[Parcelado]],Tab_Fluxo[Tipo],"Entradas")</f>
        <v>0</v>
      </c>
      <c r="AA11" s="9">
        <f>LARGE(Table2[[#This Row],[À Vista]:[Parcelado]],1)</f>
        <v>0</v>
      </c>
      <c r="AB11" s="9">
        <f>_xlfn.IFS(Table2[[#This Row],[Maior valor]]=Table2[[#This Row],[À Vista]],60,Table2[[#This Row],[Maior valor]]=Table2[[#This Row],[Cartão]],40,Table2[[#This Row],[Maior valor]]=Table2[[#This Row],[Parcelado]],20)</f>
        <v>60</v>
      </c>
      <c r="AC11" s="9" t="e">
        <f ca="1">VLOOKUP(Table2[[#This Row],[Tempo]],PerfilClienteAux!$D$33:$F$37,3,TRUE)</f>
        <v>#NUM!</v>
      </c>
      <c r="AD11" s="9">
        <f>VLOOKUP(Table2[[#This Row],[Compra]],PerfilClienteAux!$D$40:$F$45,3,TRUE)</f>
        <v>20</v>
      </c>
      <c r="AE11" s="9" t="e">
        <f>VLOOKUP(Table2[[#This Row],[Compra Média]],PerfilClienteAux!$H$32:$J$37,3,TRUE)</f>
        <v>#DIV/0!</v>
      </c>
      <c r="AF11" s="9" t="e">
        <f ca="1">VLOOKUP(Table2[[#This Row],[Recência]],PerfilClienteAux!$H$40:$J$45,3,TRUE)</f>
        <v>#NUM!</v>
      </c>
      <c r="AG11" s="9" t="e">
        <f ca="1">(Table2[[#This Row],[Nota Tempo]]*PerfilClienteAux!$O$19)/PerfilClienteAux!$O$24</f>
        <v>#NUM!</v>
      </c>
      <c r="AH11" s="9">
        <f>(Table2[[#This Row],[Nota Compra]]*PerfilClienteAux!$O$20)/PerfilClienteAux!$O$24</f>
        <v>7</v>
      </c>
      <c r="AI11" s="9" t="e">
        <f>(Table2[[#This Row],[Nota Compra Média]]*PerfilClienteAux!$O$21)/PerfilClienteAux!$O$24</f>
        <v>#DIV/0!</v>
      </c>
      <c r="AJ11" s="9" t="e">
        <f ca="1">(Table2[[#This Row],[Nota Recência]]*PerfilClienteAux!$O$22)/PerfilClienteAux!$O$24</f>
        <v>#NUM!</v>
      </c>
      <c r="AK11" s="9">
        <f>(Table2[[#This Row],[Nota Pgto]]*PerfilClienteAux!$O$23)/PerfilClienteAux!$O$24</f>
        <v>6</v>
      </c>
    </row>
    <row r="12" spans="1:37" x14ac:dyDescent="0.25">
      <c r="D12" t="s">
        <v>26</v>
      </c>
      <c r="J12" s="171">
        <v>44718</v>
      </c>
      <c r="K12" s="9" t="str">
        <f ca="1">_xlfn.IFS(AND(MONTH(Table2[[#This Row],[Data de Aniversário]])=MONTH($D$5),DAY(Table2[[#This Row],[Data de Aniversário]])=DAY($D$5)),"Hoje é o seu aniversário!",AND(MONTH(Table2[[#This Row],[Data de Aniversário]])=MONTH($D$5),DAY(Table2[[#This Row],[Data de Aniversário]])&lt;&gt;DAY($D$5)),"Seu aniversário é esse mês",AND(MONTH(Table2[[#This Row],[Data de Aniversário]])&lt;&gt;MONTH($D$5),DAY(Table2[[#This Row],[Data de Aniversário]])&lt;&gt;DAY($D$5)),"")</f>
        <v>Hoje é o seu aniversário!</v>
      </c>
      <c r="L12" s="4">
        <f>SUMIFS(Tab_Fluxo[Valor Total],Tab_Fluxo[Cliente],Table2[[#This Row],[Cliente]],Tab_Fluxo[Tipo],"Entradas")</f>
        <v>0</v>
      </c>
      <c r="M12" s="4">
        <f>SUMIFS(Tab_Fluxo[Valor Total],Tab_Fluxo[Cliente],Table2[[#This Row],[Cliente]],Tab_Fluxo[Tipo],"Saídas")</f>
        <v>0</v>
      </c>
      <c r="N12" s="4">
        <f>Table2[[#This Row],[Total Ganho]]-Table2[[#This Row],[Total Gasto]]</f>
        <v>0</v>
      </c>
      <c r="O12" t="e">
        <f ca="1">SUM(Table2[[#This Row],[Ponderado Tempo]:[Ponderado Pgto]])</f>
        <v>#NUM!</v>
      </c>
      <c r="Q12">
        <f>SUMIFS(Tab_Fluxo[Valor (Aux)],Tab_Fluxo[Cliente],Table2[[#This Row],[Cliente]],Tab_Fluxo[Tipo],"Entradas")</f>
        <v>0</v>
      </c>
      <c r="R12" s="3" t="e">
        <f t="array" ref="R12">INDEX(Tab_Fluxo[Data],SMALL(IF(Tab_Fluxo[Cliente]=Table2[[#This Row],[Cliente]],ROW(Tab_Fluxo[Cliente])-8),1),1)</f>
        <v>#NUM!</v>
      </c>
      <c r="S12" s="3" t="e">
        <f t="array" ref="S12">INDEX(Tab_Fluxo[Data],LARGE(IF(Tab_Fluxo[Cliente]=Table2[[#This Row],[Cliente]],ROW(Tab_Fluxo[Cliente])-8),1),1)</f>
        <v>#NUM!</v>
      </c>
      <c r="T12" t="e">
        <f ca="1">INT((PerfilClienteAux!$E$6-Table2[[#This Row],[Primeiro Registro]])/30)</f>
        <v>#NUM!</v>
      </c>
      <c r="U12">
        <f>COUNTIFS(Tab_Fluxo[Tipo],"Entradas",Tab_Fluxo[Cliente],Table2[[#This Row],[Cliente]])</f>
        <v>0</v>
      </c>
      <c r="V12" s="100" t="e">
        <f>Table2[[#This Row],[Compra]]/Table2[[#This Row],[Nº de compras]]</f>
        <v>#DIV/0!</v>
      </c>
      <c r="W12" t="e">
        <f ca="1">IF(INT((PerfilClienteAux!$E$6-Table2[[#This Row],[Último Registro]])/30)&lt;0,0,INT((PerfilClienteAux!$E$6-Table2[[#This Row],[Último Registro]])/30))</f>
        <v>#NUM!</v>
      </c>
      <c r="X12">
        <f>SUMIFS(Tab_Fluxo[Valor (Aux)],Tab_Fluxo[Cliente],Table2[[#This Row],[Cliente]],Tab_Fluxo[Método de Pagto],Table2[[#Headers],[À Vista]],Tab_Fluxo[Tipo],"Entradas")</f>
        <v>0</v>
      </c>
      <c r="Y12" s="9">
        <f>SUMIFS(Tab_Fluxo[Valor (Aux)],Tab_Fluxo[Cliente],Table2[[#This Row],[Cliente]],Tab_Fluxo[Método de Pagto],Table2[[#Headers],[Cartão]],Tab_Fluxo[Tipo],"Entradas")</f>
        <v>0</v>
      </c>
      <c r="Z12" s="9">
        <f>SUMIFS(Tab_Fluxo[Valor (Aux)],Tab_Fluxo[Cliente],Table2[[#This Row],[Cliente]],Tab_Fluxo[Método de Pagto],Table2[[#Headers],[Parcelado]],Tab_Fluxo[Tipo],"Entradas")</f>
        <v>0</v>
      </c>
      <c r="AA12" s="9">
        <f>LARGE(Table2[[#This Row],[À Vista]:[Parcelado]],1)</f>
        <v>0</v>
      </c>
      <c r="AB12" s="9">
        <f>_xlfn.IFS(Table2[[#This Row],[Maior valor]]=Table2[[#This Row],[À Vista]],60,Table2[[#This Row],[Maior valor]]=Table2[[#This Row],[Cartão]],40,Table2[[#This Row],[Maior valor]]=Table2[[#This Row],[Parcelado]],20)</f>
        <v>60</v>
      </c>
      <c r="AC12" s="9" t="e">
        <f ca="1">VLOOKUP(Table2[[#This Row],[Tempo]],PerfilClienteAux!$D$33:$F$37,3,TRUE)</f>
        <v>#NUM!</v>
      </c>
      <c r="AD12" s="9">
        <f>VLOOKUP(Table2[[#This Row],[Compra]],PerfilClienteAux!$D$40:$F$45,3,TRUE)</f>
        <v>20</v>
      </c>
      <c r="AE12" s="9" t="e">
        <f>VLOOKUP(Table2[[#This Row],[Compra Média]],PerfilClienteAux!$H$32:$J$37,3,TRUE)</f>
        <v>#DIV/0!</v>
      </c>
      <c r="AF12" s="9" t="e">
        <f ca="1">VLOOKUP(Table2[[#This Row],[Recência]],PerfilClienteAux!$H$40:$J$45,3,TRUE)</f>
        <v>#NUM!</v>
      </c>
      <c r="AG12" s="9" t="e">
        <f ca="1">(Table2[[#This Row],[Nota Tempo]]*PerfilClienteAux!$O$19)/PerfilClienteAux!$O$24</f>
        <v>#NUM!</v>
      </c>
      <c r="AH12" s="9">
        <f>(Table2[[#This Row],[Nota Compra]]*PerfilClienteAux!$O$20)/PerfilClienteAux!$O$24</f>
        <v>7</v>
      </c>
      <c r="AI12" s="9" t="e">
        <f>(Table2[[#This Row],[Nota Compra Média]]*PerfilClienteAux!$O$21)/PerfilClienteAux!$O$24</f>
        <v>#DIV/0!</v>
      </c>
      <c r="AJ12" s="9" t="e">
        <f ca="1">(Table2[[#This Row],[Nota Recência]]*PerfilClienteAux!$O$22)/PerfilClienteAux!$O$24</f>
        <v>#NUM!</v>
      </c>
      <c r="AK12" s="9">
        <f>(Table2[[#This Row],[Nota Pgto]]*PerfilClienteAux!$O$23)/PerfilClienteAux!$O$24</f>
        <v>6</v>
      </c>
    </row>
    <row r="13" spans="1:37" x14ac:dyDescent="0.25">
      <c r="D13" t="s">
        <v>27</v>
      </c>
      <c r="J13" s="171">
        <v>44732</v>
      </c>
      <c r="K13" s="9" t="str">
        <f ca="1">_xlfn.IFS(AND(MONTH(Table2[[#This Row],[Data de Aniversário]])=MONTH($D$5),DAY(Table2[[#This Row],[Data de Aniversário]])=DAY($D$5)),"Hoje é o seu aniversário!",AND(MONTH(Table2[[#This Row],[Data de Aniversário]])=MONTH($D$5),DAY(Table2[[#This Row],[Data de Aniversário]])&lt;&gt;DAY($D$5)),"Seu aniversário é esse mês",AND(MONTH(Table2[[#This Row],[Data de Aniversário]])&lt;&gt;MONTH($D$5),DAY(Table2[[#This Row],[Data de Aniversário]])&lt;&gt;DAY($D$5)),"")</f>
        <v>Seu aniversário é esse mês</v>
      </c>
      <c r="L13" s="4">
        <f>SUMIFS(Tab_Fluxo[Valor Total],Tab_Fluxo[Cliente],Table2[[#This Row],[Cliente]],Tab_Fluxo[Tipo],"Entradas")</f>
        <v>0</v>
      </c>
      <c r="M13" s="4">
        <f>SUMIFS(Tab_Fluxo[Valor Total],Tab_Fluxo[Cliente],Table2[[#This Row],[Cliente]],Tab_Fluxo[Tipo],"Saídas")</f>
        <v>0</v>
      </c>
      <c r="N13" s="4">
        <f>Table2[[#This Row],[Total Ganho]]-Table2[[#This Row],[Total Gasto]]</f>
        <v>0</v>
      </c>
      <c r="O13" t="e">
        <f ca="1">SUM(Table2[[#This Row],[Ponderado Tempo]:[Ponderado Pgto]])</f>
        <v>#NUM!</v>
      </c>
      <c r="Q13">
        <f>SUMIFS(Tab_Fluxo[Valor (Aux)],Tab_Fluxo[Cliente],Table2[[#This Row],[Cliente]],Tab_Fluxo[Tipo],"Entradas")</f>
        <v>0</v>
      </c>
      <c r="R13" s="3" t="e">
        <f t="array" ref="R13">INDEX(Tab_Fluxo[Data],SMALL(IF(Tab_Fluxo[Cliente]=Table2[[#This Row],[Cliente]],ROW(Tab_Fluxo[Cliente])-8),1),1)</f>
        <v>#NUM!</v>
      </c>
      <c r="S13" s="3" t="e">
        <f t="array" ref="S13">INDEX(Tab_Fluxo[Data],LARGE(IF(Tab_Fluxo[Cliente]=Table2[[#This Row],[Cliente]],ROW(Tab_Fluxo[Cliente])-8),1),1)</f>
        <v>#NUM!</v>
      </c>
      <c r="T13" t="e">
        <f ca="1">INT((PerfilClienteAux!$E$6-Table2[[#This Row],[Primeiro Registro]])/30)</f>
        <v>#NUM!</v>
      </c>
      <c r="U13">
        <f>COUNTIFS(Tab_Fluxo[Tipo],"Entradas",Tab_Fluxo[Cliente],Table2[[#This Row],[Cliente]])</f>
        <v>0</v>
      </c>
      <c r="V13" s="100" t="e">
        <f>Table2[[#This Row],[Compra]]/Table2[[#This Row],[Nº de compras]]</f>
        <v>#DIV/0!</v>
      </c>
      <c r="W13" t="e">
        <f ca="1">IF(INT((PerfilClienteAux!$E$6-Table2[[#This Row],[Último Registro]])/30)&lt;0,0,INT((PerfilClienteAux!$E$6-Table2[[#This Row],[Último Registro]])/30))</f>
        <v>#NUM!</v>
      </c>
      <c r="X13">
        <f>SUMIFS(Tab_Fluxo[Valor (Aux)],Tab_Fluxo[Cliente],Table2[[#This Row],[Cliente]],Tab_Fluxo[Método de Pagto],Table2[[#Headers],[À Vista]],Tab_Fluxo[Tipo],"Entradas")</f>
        <v>0</v>
      </c>
      <c r="Y13" s="9">
        <f>SUMIFS(Tab_Fluxo[Valor (Aux)],Tab_Fluxo[Cliente],Table2[[#This Row],[Cliente]],Tab_Fluxo[Método de Pagto],Table2[[#Headers],[Cartão]],Tab_Fluxo[Tipo],"Entradas")</f>
        <v>0</v>
      </c>
      <c r="Z13" s="9">
        <f>SUMIFS(Tab_Fluxo[Valor (Aux)],Tab_Fluxo[Cliente],Table2[[#This Row],[Cliente]],Tab_Fluxo[Método de Pagto],Table2[[#Headers],[Parcelado]],Tab_Fluxo[Tipo],"Entradas")</f>
        <v>0</v>
      </c>
      <c r="AA13" s="9">
        <f>LARGE(Table2[[#This Row],[À Vista]:[Parcelado]],1)</f>
        <v>0</v>
      </c>
      <c r="AB13" s="9">
        <f>_xlfn.IFS(Table2[[#This Row],[Maior valor]]=Table2[[#This Row],[À Vista]],60,Table2[[#This Row],[Maior valor]]=Table2[[#This Row],[Cartão]],40,Table2[[#This Row],[Maior valor]]=Table2[[#This Row],[Parcelado]],20)</f>
        <v>60</v>
      </c>
      <c r="AC13" s="9" t="e">
        <f ca="1">VLOOKUP(Table2[[#This Row],[Tempo]],PerfilClienteAux!$D$33:$F$37,3,TRUE)</f>
        <v>#NUM!</v>
      </c>
      <c r="AD13" s="9">
        <f>VLOOKUP(Table2[[#This Row],[Compra]],PerfilClienteAux!$D$40:$F$45,3,TRUE)</f>
        <v>20</v>
      </c>
      <c r="AE13" s="9" t="e">
        <f>VLOOKUP(Table2[[#This Row],[Compra Média]],PerfilClienteAux!$H$32:$J$37,3,TRUE)</f>
        <v>#DIV/0!</v>
      </c>
      <c r="AF13" s="9" t="e">
        <f ca="1">VLOOKUP(Table2[[#This Row],[Recência]],PerfilClienteAux!$H$40:$J$45,3,TRUE)</f>
        <v>#NUM!</v>
      </c>
      <c r="AG13" s="9" t="e">
        <f ca="1">(Table2[[#This Row],[Nota Tempo]]*PerfilClienteAux!$O$19)/PerfilClienteAux!$O$24</f>
        <v>#NUM!</v>
      </c>
      <c r="AH13" s="9">
        <f>(Table2[[#This Row],[Nota Compra]]*PerfilClienteAux!$O$20)/PerfilClienteAux!$O$24</f>
        <v>7</v>
      </c>
      <c r="AI13" s="9" t="e">
        <f>(Table2[[#This Row],[Nota Compra Média]]*PerfilClienteAux!$O$21)/PerfilClienteAux!$O$24</f>
        <v>#DIV/0!</v>
      </c>
      <c r="AJ13" s="9" t="e">
        <f ca="1">(Table2[[#This Row],[Nota Recência]]*PerfilClienteAux!$O$22)/PerfilClienteAux!$O$24</f>
        <v>#NUM!</v>
      </c>
      <c r="AK13" s="9">
        <f>(Table2[[#This Row],[Nota Pgto]]*PerfilClienteAux!$O$23)/PerfilClienteAux!$O$24</f>
        <v>6</v>
      </c>
    </row>
  </sheetData>
  <mergeCells count="2">
    <mergeCell ref="B1:AE3"/>
    <mergeCell ref="AF1:AK3"/>
  </mergeCells>
  <conditionalFormatting sqref="K8:K13">
    <cfRule type="containsText" dxfId="6" priority="2" operator="containsText" text="Hoje é o seu aniversário!">
      <formula>NOT(ISERROR(SEARCH("Hoje é o seu aniversário!",K8)))</formula>
    </cfRule>
  </conditionalFormatting>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6F40-BC53-4968-8215-94B427E8C63E}">
  <sheetPr codeName="Sheet14"/>
  <dimension ref="A1:AC22"/>
  <sheetViews>
    <sheetView showGridLines="0" zoomScale="90" zoomScaleNormal="90" workbookViewId="0"/>
  </sheetViews>
  <sheetFormatPr defaultRowHeight="15" x14ac:dyDescent="0.25"/>
  <cols>
    <col min="1" max="1" width="9.140625" style="120"/>
    <col min="2" max="2" width="9.140625" style="156" customWidth="1"/>
    <col min="3" max="3" width="9.140625" style="164" customWidth="1"/>
    <col min="4" max="4" width="23.7109375" style="9" customWidth="1"/>
    <col min="5" max="5" width="24.85546875" style="9" customWidth="1"/>
    <col min="6" max="6" width="4.5703125" style="9" customWidth="1"/>
    <col min="7" max="12" width="15.7109375" style="9" customWidth="1"/>
    <col min="13" max="13" width="5.140625" style="9" customWidth="1"/>
    <col min="14" max="14" width="30.5703125" style="9" bestFit="1" customWidth="1"/>
    <col min="15" max="16" width="15.7109375" style="9" customWidth="1"/>
    <col min="18" max="18" width="5.140625" customWidth="1"/>
  </cols>
  <sheetData>
    <row r="1" spans="2:29" ht="15" customHeight="1" x14ac:dyDescent="0.25">
      <c r="B1" s="189" t="s">
        <v>119</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row>
    <row r="2" spans="2:29"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row>
    <row r="3" spans="2:29"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row>
    <row r="4" spans="2:29" x14ac:dyDescent="0.25">
      <c r="B4" s="153"/>
      <c r="C4" s="157"/>
      <c r="D4" s="13"/>
      <c r="E4" s="13"/>
      <c r="F4" s="13"/>
      <c r="G4" s="13"/>
      <c r="H4" s="13"/>
      <c r="I4" s="13"/>
      <c r="J4" s="13"/>
      <c r="K4" s="13"/>
      <c r="L4" s="13"/>
      <c r="M4" s="13"/>
      <c r="N4" s="13"/>
      <c r="O4" s="13"/>
      <c r="P4" s="13"/>
      <c r="Q4" s="12"/>
      <c r="R4" s="12"/>
      <c r="S4" s="12"/>
      <c r="T4" s="12"/>
      <c r="U4" s="12"/>
      <c r="V4" s="12"/>
      <c r="W4" s="14"/>
      <c r="X4" s="14"/>
      <c r="Y4" s="14"/>
    </row>
    <row r="5" spans="2:29" ht="15.75" thickBot="1" x14ac:dyDescent="0.3">
      <c r="C5" s="157"/>
      <c r="D5" s="13"/>
      <c r="E5" s="13"/>
      <c r="F5" s="13"/>
      <c r="G5" s="13"/>
      <c r="H5" s="13"/>
      <c r="I5" s="13"/>
      <c r="J5" s="13"/>
      <c r="K5" s="13"/>
      <c r="L5" s="13"/>
      <c r="M5" s="13"/>
      <c r="N5" s="13"/>
      <c r="O5" s="13"/>
      <c r="P5" s="13"/>
      <c r="Q5" s="12"/>
      <c r="R5" s="12"/>
      <c r="S5" s="12"/>
      <c r="T5" s="12"/>
      <c r="U5" s="12"/>
      <c r="V5" s="12"/>
      <c r="W5" s="14"/>
      <c r="X5" s="14"/>
      <c r="Y5" s="14"/>
    </row>
    <row r="6" spans="2:29" ht="16.5" thickBot="1" x14ac:dyDescent="0.3">
      <c r="C6" s="157"/>
      <c r="D6" s="163" t="s">
        <v>21</v>
      </c>
      <c r="E6" s="125" t="s">
        <v>50</v>
      </c>
      <c r="F6" s="125"/>
      <c r="G6" s="127" t="s">
        <v>87</v>
      </c>
      <c r="H6" s="128" t="s">
        <v>86</v>
      </c>
      <c r="I6" s="13"/>
      <c r="J6" s="13"/>
      <c r="K6" s="13"/>
      <c r="L6" s="13"/>
      <c r="M6" s="13"/>
      <c r="N6" s="13"/>
      <c r="O6" s="13"/>
      <c r="P6" s="13"/>
      <c r="Q6" s="12"/>
      <c r="R6" s="12"/>
      <c r="S6" s="12"/>
      <c r="T6" s="12"/>
      <c r="U6" s="12"/>
      <c r="V6" s="12"/>
      <c r="W6" s="14"/>
      <c r="X6" s="14"/>
      <c r="Y6" s="14"/>
    </row>
    <row r="7" spans="2:29" ht="19.5" thickBot="1" x14ac:dyDescent="0.35">
      <c r="C7" s="157"/>
      <c r="D7" s="163" t="s">
        <v>57</v>
      </c>
      <c r="E7" s="126">
        <f ca="1">TODAY()</f>
        <v>44718</v>
      </c>
      <c r="F7" s="126"/>
      <c r="G7" s="124" t="e">
        <f ca="1">PerfilClienteAux!Q24</f>
        <v>#NUM!</v>
      </c>
      <c r="H7" s="129" t="e">
        <f ca="1">PerfilClienteAux!O27</f>
        <v>#NUM!</v>
      </c>
      <c r="I7" s="13"/>
      <c r="J7" s="13"/>
      <c r="K7" s="13"/>
      <c r="L7" s="13"/>
      <c r="M7" s="13"/>
      <c r="N7" s="13"/>
      <c r="O7" s="13"/>
      <c r="P7" s="13"/>
      <c r="Q7" s="12"/>
      <c r="R7" s="12"/>
      <c r="S7" s="12"/>
      <c r="T7" s="12"/>
      <c r="U7" s="12"/>
      <c r="V7" s="12"/>
      <c r="W7" s="14"/>
      <c r="X7" s="14"/>
      <c r="Y7" s="14"/>
    </row>
    <row r="8" spans="2:29" x14ac:dyDescent="0.25">
      <c r="C8" s="157"/>
      <c r="D8" s="12"/>
      <c r="E8" s="12"/>
      <c r="F8" s="12"/>
      <c r="G8" s="13"/>
      <c r="H8" s="13"/>
      <c r="I8" s="13"/>
      <c r="J8" s="13"/>
      <c r="K8" s="13"/>
      <c r="L8" s="13"/>
      <c r="M8" s="13"/>
      <c r="N8" s="13"/>
      <c r="O8" s="13"/>
      <c r="P8" s="13"/>
      <c r="Q8" s="12"/>
      <c r="R8" s="12"/>
      <c r="S8" s="12"/>
      <c r="T8" s="12"/>
      <c r="U8" s="12"/>
      <c r="V8" s="12"/>
      <c r="W8" s="14"/>
      <c r="X8" s="14"/>
      <c r="Y8" s="14"/>
    </row>
    <row r="9" spans="2:29" ht="15.75" thickBot="1" x14ac:dyDescent="0.3">
      <c r="B9" s="155"/>
      <c r="C9" s="105"/>
      <c r="D9" s="106"/>
      <c r="E9" s="106"/>
      <c r="F9" s="106"/>
      <c r="G9" s="106"/>
      <c r="H9" s="106"/>
      <c r="I9" s="106"/>
      <c r="J9" s="106"/>
      <c r="K9" s="106"/>
      <c r="L9" s="106"/>
      <c r="M9" s="106"/>
      <c r="N9" s="106"/>
      <c r="O9" s="106"/>
      <c r="P9" s="106"/>
      <c r="Q9" s="106"/>
      <c r="R9" s="13"/>
      <c r="S9" s="13"/>
      <c r="T9" s="12"/>
      <c r="U9" s="12"/>
      <c r="V9" s="12"/>
      <c r="W9" s="12"/>
      <c r="X9" s="12"/>
      <c r="Y9" s="12"/>
      <c r="Z9" s="14"/>
      <c r="AA9" s="14"/>
      <c r="AB9" s="14"/>
    </row>
    <row r="10" spans="2:29" x14ac:dyDescent="0.25">
      <c r="Q10" s="9"/>
    </row>
    <row r="11" spans="2:29" ht="19.5" thickBot="1" x14ac:dyDescent="0.35">
      <c r="D11" s="113" t="s">
        <v>193</v>
      </c>
      <c r="E11" s="113"/>
      <c r="F11"/>
      <c r="G11" s="134" t="s">
        <v>195</v>
      </c>
      <c r="H11" s="114"/>
      <c r="I11" s="113"/>
      <c r="J11" s="114"/>
      <c r="K11" s="113"/>
      <c r="L11" s="114"/>
      <c r="N11" s="134" t="s">
        <v>130</v>
      </c>
      <c r="O11" s="113"/>
      <c r="P11" s="113"/>
      <c r="Q11" s="9"/>
    </row>
    <row r="12" spans="2:29" ht="19.5" customHeight="1" thickBot="1" x14ac:dyDescent="0.35">
      <c r="D12" s="107" t="s">
        <v>8</v>
      </c>
      <c r="E12" s="121">
        <f>SUMIFS(Tab_Fluxo[Valor Total],Tab_Fluxo[Tipo],"Entradas",Tab_Fluxo[Cliente],E6)</f>
        <v>0</v>
      </c>
      <c r="F12"/>
      <c r="N12" s="209" t="s">
        <v>131</v>
      </c>
      <c r="O12" s="209"/>
      <c r="P12" s="208" t="e">
        <f ca="1">IF(E6="","",PerfilClienteAux!O14)</f>
        <v>#NUM!</v>
      </c>
      <c r="Q12" s="9"/>
    </row>
    <row r="13" spans="2:29" ht="18.75" customHeight="1" thickBot="1" x14ac:dyDescent="0.35">
      <c r="D13" s="107" t="s">
        <v>7</v>
      </c>
      <c r="E13" s="122">
        <f>SUMIFS(Tab_Fluxo[Valor Total],Tab_Fluxo[Tipo],"Saídas",Tab_Fluxo[Cliente],E6)</f>
        <v>0</v>
      </c>
      <c r="F13"/>
      <c r="N13" s="210"/>
      <c r="O13" s="210"/>
      <c r="P13" s="205"/>
      <c r="Q13" s="9"/>
    </row>
    <row r="14" spans="2:29" ht="15" customHeight="1" x14ac:dyDescent="0.3">
      <c r="D14" s="107" t="s">
        <v>6</v>
      </c>
      <c r="E14" s="123">
        <f>E12-E13</f>
        <v>0</v>
      </c>
      <c r="F14"/>
      <c r="N14" s="206" t="s">
        <v>132</v>
      </c>
      <c r="O14" s="206"/>
      <c r="P14" s="204" t="e">
        <f ca="1">IF(E6="","",PerfilClienteAux!O13)</f>
        <v>#NUM!</v>
      </c>
      <c r="Q14" s="9"/>
    </row>
    <row r="15" spans="2:29" ht="15" customHeight="1" x14ac:dyDescent="0.25">
      <c r="F15"/>
      <c r="N15" s="207"/>
      <c r="O15" s="207"/>
      <c r="P15" s="205"/>
      <c r="Q15" s="9"/>
    </row>
    <row r="16" spans="2:29" ht="16.5" customHeight="1" thickBot="1" x14ac:dyDescent="0.35">
      <c r="D16" s="134" t="s">
        <v>196</v>
      </c>
      <c r="E16" s="113"/>
      <c r="F16"/>
      <c r="N16" s="195" t="s">
        <v>133</v>
      </c>
      <c r="O16" s="197" t="s">
        <v>134</v>
      </c>
      <c r="P16" s="199" t="s">
        <v>135</v>
      </c>
      <c r="Q16" s="9"/>
    </row>
    <row r="17" spans="4:17" ht="15" customHeight="1" x14ac:dyDescent="0.25">
      <c r="D17"/>
      <c r="E17"/>
      <c r="F17"/>
      <c r="N17" s="196"/>
      <c r="O17" s="198"/>
      <c r="P17" s="200"/>
      <c r="Q17" s="9"/>
    </row>
    <row r="18" spans="4:17" ht="15" customHeight="1" x14ac:dyDescent="0.25">
      <c r="N18" s="201">
        <f>IF(E6="","",PerfilClienteAux!K12)</f>
        <v>0</v>
      </c>
      <c r="O18" s="202" t="e">
        <f>IF(E6="","",PerfilClienteAux!K10)</f>
        <v>#DIV/0!</v>
      </c>
      <c r="P18" s="203">
        <f>IF(E6="","",PerfilClienteAux!K11)</f>
        <v>0</v>
      </c>
      <c r="Q18" s="9"/>
    </row>
    <row r="19" spans="4:17" ht="15" customHeight="1" x14ac:dyDescent="0.25">
      <c r="N19" s="201"/>
      <c r="O19" s="202"/>
      <c r="P19" s="203"/>
      <c r="Q19" s="9"/>
    </row>
    <row r="20" spans="4:17" x14ac:dyDescent="0.25">
      <c r="Q20" s="9"/>
    </row>
    <row r="21" spans="4:17" x14ac:dyDescent="0.25">
      <c r="Q21" s="9"/>
    </row>
    <row r="22" spans="4:17" x14ac:dyDescent="0.25">
      <c r="Q22" s="9"/>
    </row>
  </sheetData>
  <mergeCells count="11">
    <mergeCell ref="P14:P15"/>
    <mergeCell ref="N14:O15"/>
    <mergeCell ref="P12:P13"/>
    <mergeCell ref="N12:O13"/>
    <mergeCell ref="B1:AC3"/>
    <mergeCell ref="N16:N17"/>
    <mergeCell ref="O16:O17"/>
    <mergeCell ref="P16:P17"/>
    <mergeCell ref="N18:N19"/>
    <mergeCell ref="O18:O19"/>
    <mergeCell ref="P18:P19"/>
  </mergeCells>
  <conditionalFormatting sqref="H7">
    <cfRule type="containsText" dxfId="5" priority="1" operator="containsText" text="Diamante">
      <formula>NOT(ISERROR(SEARCH("Diamante",H7)))</formula>
    </cfRule>
    <cfRule type="containsText" dxfId="4" priority="2" operator="containsText" text="Ouro">
      <formula>NOT(ISERROR(SEARCH("Ouro",H7)))</formula>
    </cfRule>
    <cfRule type="containsText" dxfId="3" priority="3" operator="containsText" text="Prata">
      <formula>NOT(ISERROR(SEARCH("Prata",H7)))</formula>
    </cfRule>
    <cfRule type="containsText" dxfId="2" priority="4" operator="containsText" text="Bronze">
      <formula>NOT(ISERROR(SEARCH("Bronze",H7)))</formula>
    </cfRule>
  </conditionalFormatting>
  <dataValidations count="1">
    <dataValidation type="list" allowBlank="1" showInputMessage="1" showErrorMessage="1" sqref="E6" xr:uid="{0867EA6A-C7A8-4A8C-9C3B-137987B81EE9}">
      <formula1>Cliente</formula1>
    </dataValidation>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B3DA-E871-4A00-8777-E58CC1981049}">
  <sheetPr codeName="Sheet15"/>
  <dimension ref="A1:AB34"/>
  <sheetViews>
    <sheetView showGridLines="0" zoomScale="90" zoomScaleNormal="90" workbookViewId="0"/>
  </sheetViews>
  <sheetFormatPr defaultRowHeight="15" x14ac:dyDescent="0.25"/>
  <cols>
    <col min="1" max="1" width="9.140625" style="120"/>
    <col min="2" max="2" width="9.140625" style="156"/>
    <col min="3" max="3" width="23.7109375" style="9" customWidth="1"/>
    <col min="4" max="4" width="22.42578125" style="9" customWidth="1"/>
    <col min="5" max="5" width="4.5703125" style="9" customWidth="1"/>
    <col min="6" max="15" width="15.7109375" style="9" customWidth="1"/>
    <col min="17" max="17" width="5.140625" customWidth="1"/>
  </cols>
  <sheetData>
    <row r="1" spans="1:28" ht="15" customHeight="1" x14ac:dyDescent="0.25">
      <c r="B1" s="211" t="s">
        <v>287</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row>
    <row r="2" spans="1:28" ht="15" customHeight="1" x14ac:dyDescent="0.25">
      <c r="B2" s="211"/>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row>
    <row r="3" spans="1:28" ht="15" customHeight="1" thickBot="1" x14ac:dyDescent="0.3">
      <c r="B3" s="211"/>
      <c r="C3" s="189"/>
      <c r="D3" s="189"/>
      <c r="E3" s="189"/>
      <c r="F3" s="189"/>
      <c r="G3" s="189"/>
      <c r="H3" s="189"/>
      <c r="I3" s="189"/>
      <c r="J3" s="189"/>
      <c r="K3" s="189"/>
      <c r="L3" s="189"/>
      <c r="M3" s="189"/>
      <c r="N3" s="189"/>
      <c r="O3" s="189"/>
      <c r="P3" s="189"/>
      <c r="Q3" s="189"/>
      <c r="R3" s="189"/>
      <c r="S3" s="189"/>
      <c r="T3" s="189"/>
      <c r="U3" s="189"/>
      <c r="V3" s="189"/>
      <c r="W3" s="189"/>
      <c r="X3" s="189"/>
      <c r="Y3" s="189"/>
      <c r="Z3" s="189"/>
      <c r="AA3" s="189"/>
      <c r="AB3" s="189"/>
    </row>
    <row r="4" spans="1:28" s="166" customFormat="1" x14ac:dyDescent="0.25">
      <c r="A4" s="120"/>
      <c r="B4" s="165"/>
    </row>
    <row r="5" spans="1:28" s="166" customFormat="1" x14ac:dyDescent="0.25">
      <c r="A5" s="120"/>
      <c r="B5" s="156"/>
    </row>
    <row r="6" spans="1:28" s="106" customFormat="1" ht="15.75" thickBot="1" x14ac:dyDescent="0.3">
      <c r="A6" s="120"/>
      <c r="B6" s="155"/>
    </row>
    <row r="7" spans="1:28" ht="19.5" thickBot="1" x14ac:dyDescent="0.35">
      <c r="C7" s="134" t="s">
        <v>276</v>
      </c>
      <c r="D7" s="113"/>
      <c r="E7" s="113"/>
      <c r="F7" s="113"/>
      <c r="G7" s="113"/>
      <c r="H7" s="113"/>
      <c r="I7" s="113"/>
      <c r="J7" s="149" t="s">
        <v>290</v>
      </c>
      <c r="K7" s="149"/>
      <c r="L7" s="149"/>
      <c r="M7" s="149"/>
      <c r="P7" s="9"/>
    </row>
    <row r="8" spans="1:28" ht="19.5" customHeight="1" x14ac:dyDescent="0.25">
      <c r="J8" s="133"/>
      <c r="K8" s="133"/>
      <c r="L8" s="133"/>
      <c r="M8" s="133"/>
      <c r="P8" s="9"/>
    </row>
    <row r="9" spans="1:28" ht="18.75" customHeight="1" x14ac:dyDescent="0.25">
      <c r="J9" s="133"/>
      <c r="K9" s="133"/>
      <c r="L9" s="133"/>
      <c r="M9" s="133"/>
      <c r="P9" s="9"/>
    </row>
    <row r="10" spans="1:28" ht="15" customHeight="1" x14ac:dyDescent="0.25">
      <c r="J10" s="133"/>
      <c r="K10" s="133"/>
      <c r="L10" s="133"/>
      <c r="M10" s="133"/>
      <c r="P10" s="9"/>
    </row>
    <row r="11" spans="1:28" ht="15" customHeight="1" x14ac:dyDescent="0.25">
      <c r="J11" s="133"/>
      <c r="K11" s="133"/>
      <c r="L11" s="133"/>
      <c r="M11" s="133"/>
      <c r="P11" s="9"/>
    </row>
    <row r="12" spans="1:28" ht="16.5" customHeight="1" x14ac:dyDescent="0.25">
      <c r="J12" s="133"/>
      <c r="K12" s="133"/>
      <c r="L12" s="133"/>
      <c r="M12" s="133"/>
      <c r="P12" s="9"/>
    </row>
    <row r="13" spans="1:28" ht="15" customHeight="1" x14ac:dyDescent="0.25">
      <c r="J13" s="133"/>
      <c r="K13" s="133"/>
      <c r="L13" s="133"/>
      <c r="M13" s="133"/>
      <c r="P13" s="9"/>
    </row>
    <row r="14" spans="1:28" ht="15" customHeight="1" x14ac:dyDescent="0.25">
      <c r="J14" s="133"/>
      <c r="K14" s="133"/>
      <c r="L14" s="133"/>
      <c r="M14" s="133"/>
      <c r="P14" s="9"/>
    </row>
    <row r="15" spans="1:28" ht="15" customHeight="1" x14ac:dyDescent="0.25">
      <c r="J15" s="133"/>
      <c r="K15" s="133"/>
      <c r="L15" s="133"/>
      <c r="M15" s="133"/>
      <c r="P15" s="9"/>
    </row>
    <row r="16" spans="1:28" x14ac:dyDescent="0.25">
      <c r="J16" s="133"/>
      <c r="K16" s="133"/>
      <c r="L16" s="133"/>
      <c r="M16" s="133"/>
      <c r="P16" s="9"/>
    </row>
    <row r="17" spans="3:16" x14ac:dyDescent="0.25">
      <c r="J17" s="133"/>
      <c r="K17" s="133"/>
      <c r="L17" s="133"/>
      <c r="M17" s="133"/>
      <c r="P17" s="9"/>
    </row>
    <row r="18" spans="3:16" x14ac:dyDescent="0.25">
      <c r="J18" s="133"/>
      <c r="K18" s="133"/>
      <c r="L18" s="133"/>
      <c r="M18" s="133"/>
      <c r="P18" s="9"/>
    </row>
    <row r="19" spans="3:16" x14ac:dyDescent="0.25">
      <c r="J19" s="133"/>
      <c r="K19" s="133"/>
      <c r="L19" s="133"/>
      <c r="M19" s="133"/>
      <c r="P19" s="9"/>
    </row>
    <row r="20" spans="3:16" x14ac:dyDescent="0.25">
      <c r="J20" s="133"/>
      <c r="K20" s="133"/>
      <c r="L20" s="133"/>
      <c r="M20" s="133"/>
      <c r="P20" s="9"/>
    </row>
    <row r="21" spans="3:16" ht="19.5" thickBot="1" x14ac:dyDescent="0.35">
      <c r="C21" s="134" t="s">
        <v>277</v>
      </c>
      <c r="D21" s="113"/>
      <c r="E21" s="113"/>
      <c r="F21" s="113"/>
      <c r="G21" s="113"/>
      <c r="H21" s="113"/>
      <c r="I21" s="113"/>
      <c r="J21" s="149" t="s">
        <v>288</v>
      </c>
      <c r="K21" s="149"/>
      <c r="L21" s="149"/>
      <c r="M21" s="149"/>
    </row>
    <row r="22" spans="3:16" ht="15.75" x14ac:dyDescent="0.25">
      <c r="J22" s="133"/>
      <c r="K22" s="149"/>
      <c r="L22" s="149"/>
      <c r="M22" s="149"/>
    </row>
    <row r="23" spans="3:16" x14ac:dyDescent="0.25">
      <c r="J23" s="133"/>
      <c r="K23" s="133"/>
      <c r="L23" s="133"/>
      <c r="M23" s="133"/>
    </row>
    <row r="24" spans="3:16" x14ac:dyDescent="0.25">
      <c r="J24" s="133"/>
      <c r="K24" s="133"/>
      <c r="L24" s="133"/>
      <c r="M24" s="133"/>
    </row>
    <row r="25" spans="3:16" x14ac:dyDescent="0.25">
      <c r="J25" s="133"/>
      <c r="K25" s="133"/>
      <c r="L25" s="133"/>
      <c r="M25" s="133"/>
    </row>
    <row r="26" spans="3:16" x14ac:dyDescent="0.25">
      <c r="J26" s="133"/>
      <c r="K26" s="133"/>
      <c r="L26" s="133"/>
      <c r="M26" s="133"/>
    </row>
    <row r="27" spans="3:16" x14ac:dyDescent="0.25">
      <c r="J27" s="133"/>
      <c r="K27" s="133"/>
      <c r="L27" s="133"/>
      <c r="M27" s="133"/>
    </row>
    <row r="28" spans="3:16" x14ac:dyDescent="0.25">
      <c r="J28" s="133"/>
      <c r="K28" s="133"/>
      <c r="L28" s="133"/>
      <c r="M28" s="133"/>
    </row>
    <row r="29" spans="3:16" x14ac:dyDescent="0.25">
      <c r="J29" s="133"/>
      <c r="K29" s="133"/>
      <c r="L29" s="133"/>
      <c r="M29" s="133"/>
    </row>
    <row r="30" spans="3:16" x14ac:dyDescent="0.25">
      <c r="J30" s="133"/>
      <c r="K30" s="133"/>
      <c r="L30" s="133"/>
      <c r="M30" s="133"/>
    </row>
    <row r="31" spans="3:16" x14ac:dyDescent="0.25">
      <c r="J31" s="133"/>
      <c r="K31" s="133"/>
      <c r="L31" s="133"/>
      <c r="M31" s="133"/>
    </row>
    <row r="32" spans="3:16" x14ac:dyDescent="0.25">
      <c r="J32" s="133"/>
      <c r="K32" s="133"/>
      <c r="L32" s="133"/>
      <c r="M32" s="133"/>
    </row>
    <row r="33" spans="10:13" x14ac:dyDescent="0.25">
      <c r="J33" s="133"/>
      <c r="K33" s="133"/>
      <c r="L33" s="133"/>
      <c r="M33" s="133"/>
    </row>
    <row r="34" spans="10:13" x14ac:dyDescent="0.25">
      <c r="J34" s="133"/>
      <c r="K34" s="133"/>
      <c r="L34" s="133"/>
      <c r="M34" s="133"/>
    </row>
  </sheetData>
  <mergeCells count="1">
    <mergeCell ref="B1:AB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78C0A-F577-4B20-A947-FEE671B86D9D}">
  <sheetPr codeName="Sheet16"/>
  <dimension ref="A1:AB21"/>
  <sheetViews>
    <sheetView workbookViewId="0"/>
  </sheetViews>
  <sheetFormatPr defaultColWidth="15.7109375" defaultRowHeight="15" x14ac:dyDescent="0.25"/>
  <cols>
    <col min="1" max="1" width="9" style="120" customWidth="1"/>
    <col min="2" max="2" width="9.140625" style="156" customWidth="1"/>
    <col min="3" max="3" width="13.140625" bestFit="1" customWidth="1"/>
    <col min="4" max="4" width="12.42578125" bestFit="1" customWidth="1"/>
    <col min="5" max="5" width="4.42578125" customWidth="1"/>
  </cols>
  <sheetData>
    <row r="1" spans="1:28" x14ac:dyDescent="0.25">
      <c r="B1" s="189" t="s">
        <v>242</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row>
    <row r="2" spans="1:28"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row>
    <row r="3" spans="1:28"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row>
    <row r="4" spans="1:28" s="157" customFormat="1" x14ac:dyDescent="0.25">
      <c r="A4" s="120"/>
      <c r="B4" s="153"/>
      <c r="R4" s="166"/>
      <c r="Y4" s="167"/>
      <c r="Z4" s="167"/>
      <c r="AA4" s="167"/>
    </row>
    <row r="5" spans="1:28" s="157" customFormat="1" x14ac:dyDescent="0.25">
      <c r="A5" s="120"/>
      <c r="B5" s="156"/>
      <c r="R5" s="166"/>
      <c r="Y5" s="167"/>
      <c r="Z5" s="167"/>
      <c r="AA5" s="167"/>
    </row>
    <row r="6" spans="1:28" s="105" customFormat="1" ht="15.75" thickBot="1" x14ac:dyDescent="0.3">
      <c r="A6" s="120"/>
      <c r="B6" s="155"/>
    </row>
    <row r="7" spans="1:28" ht="15.75" thickBot="1" x14ac:dyDescent="0.3">
      <c r="C7" s="178" t="s">
        <v>52</v>
      </c>
      <c r="D7" s="178" t="s">
        <v>188</v>
      </c>
    </row>
    <row r="8" spans="1:28" x14ac:dyDescent="0.25">
      <c r="C8" s="179" t="s">
        <v>49</v>
      </c>
      <c r="D8" s="175">
        <v>80</v>
      </c>
    </row>
    <row r="9" spans="1:28" x14ac:dyDescent="0.25">
      <c r="C9" s="180" t="s">
        <v>26</v>
      </c>
      <c r="D9" s="176">
        <v>80</v>
      </c>
    </row>
    <row r="10" spans="1:28" x14ac:dyDescent="0.25">
      <c r="C10" s="180" t="s">
        <v>48</v>
      </c>
      <c r="D10" s="176">
        <v>80</v>
      </c>
    </row>
    <row r="11" spans="1:28" x14ac:dyDescent="0.25">
      <c r="C11" s="180" t="s">
        <v>77</v>
      </c>
      <c r="D11" s="176">
        <v>80</v>
      </c>
    </row>
    <row r="12" spans="1:28" x14ac:dyDescent="0.25">
      <c r="C12" s="180" t="s">
        <v>45</v>
      </c>
      <c r="D12" s="176">
        <v>76</v>
      </c>
    </row>
    <row r="13" spans="1:28" x14ac:dyDescent="0.25">
      <c r="C13" s="180" t="s">
        <v>25</v>
      </c>
      <c r="D13" s="176">
        <v>66</v>
      </c>
    </row>
    <row r="14" spans="1:28" x14ac:dyDescent="0.25">
      <c r="C14" s="180" t="s">
        <v>22</v>
      </c>
      <c r="D14" s="176">
        <v>54</v>
      </c>
    </row>
    <row r="15" spans="1:28" x14ac:dyDescent="0.25">
      <c r="C15" s="180" t="s">
        <v>47</v>
      </c>
      <c r="D15" s="176">
        <v>36</v>
      </c>
    </row>
    <row r="16" spans="1:28" x14ac:dyDescent="0.25">
      <c r="C16" s="180" t="s">
        <v>24</v>
      </c>
      <c r="D16" s="176">
        <v>36</v>
      </c>
    </row>
    <row r="17" spans="3:4" x14ac:dyDescent="0.25">
      <c r="C17" s="180" t="s">
        <v>50</v>
      </c>
      <c r="D17" s="176">
        <v>34</v>
      </c>
    </row>
    <row r="18" spans="3:4" x14ac:dyDescent="0.25">
      <c r="C18" s="180" t="s">
        <v>27</v>
      </c>
      <c r="D18" s="176">
        <v>34</v>
      </c>
    </row>
    <row r="19" spans="3:4" x14ac:dyDescent="0.25">
      <c r="C19" s="180" t="s">
        <v>23</v>
      </c>
      <c r="D19" s="176" t="e">
        <v>#NUM!</v>
      </c>
    </row>
    <row r="20" spans="3:4" ht="15.75" thickBot="1" x14ac:dyDescent="0.3">
      <c r="C20" s="181" t="s">
        <v>46</v>
      </c>
      <c r="D20" s="176" t="e">
        <v>#N/A</v>
      </c>
    </row>
    <row r="21" spans="3:4" ht="15.75" thickBot="1" x14ac:dyDescent="0.3">
      <c r="C21" s="182" t="s">
        <v>54</v>
      </c>
      <c r="D21" s="177" t="e">
        <v>#N/A</v>
      </c>
    </row>
  </sheetData>
  <mergeCells count="1">
    <mergeCell ref="B1:AB3"/>
  </mergeCell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BE4A9-FB09-4C53-AD9A-5D04B9076EE7}">
  <sheetPr codeName="Sheet17"/>
  <dimension ref="A1:AD61"/>
  <sheetViews>
    <sheetView workbookViewId="0"/>
  </sheetViews>
  <sheetFormatPr defaultRowHeight="15" x14ac:dyDescent="0.25"/>
  <cols>
    <col min="1" max="1" width="9" style="120" customWidth="1"/>
    <col min="2" max="2" width="9.140625" style="156" customWidth="1"/>
    <col min="3" max="3" width="5.42578125" customWidth="1"/>
    <col min="4" max="4" width="20" style="9" customWidth="1"/>
    <col min="5" max="12" width="15.7109375" style="9" customWidth="1"/>
    <col min="13" max="13" width="36.7109375" style="9" bestFit="1" customWidth="1"/>
    <col min="14" max="14" width="15.7109375" style="9" customWidth="1"/>
    <col min="15" max="15" width="17" style="9" customWidth="1"/>
    <col min="16" max="16" width="8.42578125" style="9" bestFit="1" customWidth="1"/>
    <col min="17" max="17" width="10.7109375" bestFit="1" customWidth="1"/>
    <col min="18" max="18" width="5.140625" customWidth="1"/>
  </cols>
  <sheetData>
    <row r="1" spans="1:30" ht="15" customHeight="1" x14ac:dyDescent="0.25">
      <c r="B1" s="189" t="s">
        <v>256</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c r="AD1" s="189"/>
    </row>
    <row r="2" spans="1:30"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row>
    <row r="3" spans="1:30"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row>
    <row r="4" spans="1:30" ht="15.75" thickBot="1" x14ac:dyDescent="0.3">
      <c r="B4" s="153"/>
      <c r="C4" s="12"/>
      <c r="D4" s="13"/>
      <c r="E4" s="13"/>
      <c r="F4" s="13"/>
      <c r="G4" s="13"/>
      <c r="H4" s="13"/>
      <c r="I4" s="13"/>
      <c r="J4" s="13"/>
      <c r="K4" s="13"/>
      <c r="L4" s="13"/>
      <c r="M4" s="13"/>
      <c r="N4" s="13"/>
      <c r="O4" s="13"/>
      <c r="P4" s="13"/>
      <c r="Q4" s="12"/>
      <c r="R4" s="12"/>
      <c r="S4" s="12"/>
      <c r="T4" s="12"/>
      <c r="U4" s="12"/>
      <c r="V4" s="12"/>
      <c r="W4" s="14"/>
      <c r="X4" s="14"/>
      <c r="Y4" s="14"/>
    </row>
    <row r="5" spans="1:30" ht="18.75" x14ac:dyDescent="0.3">
      <c r="C5" s="12"/>
      <c r="D5" s="139" t="s">
        <v>21</v>
      </c>
      <c r="E5" s="140" t="str">
        <f>PerfilCliente!E6</f>
        <v>Joana</v>
      </c>
      <c r="F5" s="13"/>
      <c r="G5" s="13"/>
      <c r="H5" s="13"/>
      <c r="I5" s="13"/>
      <c r="J5" s="13"/>
      <c r="K5" s="13"/>
      <c r="L5" s="13"/>
      <c r="M5" s="13"/>
      <c r="N5" s="13"/>
      <c r="O5" s="13"/>
      <c r="P5" s="13"/>
      <c r="Q5" s="12"/>
      <c r="R5" s="12"/>
      <c r="S5" s="12"/>
      <c r="T5" s="12"/>
      <c r="U5" s="12"/>
      <c r="V5" s="12"/>
      <c r="W5" s="14"/>
      <c r="X5" s="14"/>
      <c r="Y5" s="14"/>
    </row>
    <row r="6" spans="1:30" ht="19.5" thickBot="1" x14ac:dyDescent="0.35">
      <c r="C6" s="12"/>
      <c r="D6" s="141" t="s">
        <v>175</v>
      </c>
      <c r="E6" s="142">
        <f ca="1">TODAY()</f>
        <v>44718</v>
      </c>
      <c r="F6" s="66"/>
      <c r="G6" s="13"/>
      <c r="H6" s="13"/>
      <c r="I6" s="13"/>
      <c r="J6" s="13"/>
      <c r="K6" s="13"/>
      <c r="L6" s="13"/>
      <c r="M6" s="13"/>
      <c r="N6" s="13"/>
      <c r="O6" s="13"/>
      <c r="P6" s="13"/>
      <c r="Q6" s="12"/>
      <c r="R6" s="12"/>
      <c r="S6" s="12"/>
      <c r="T6" s="12"/>
      <c r="U6" s="12"/>
      <c r="V6" s="12"/>
      <c r="W6" s="14"/>
      <c r="X6" s="14"/>
      <c r="Y6" s="14"/>
    </row>
    <row r="7" spans="1:30" s="106" customFormat="1" ht="15.75" thickBot="1" x14ac:dyDescent="0.3">
      <c r="A7" s="120"/>
      <c r="B7" s="168"/>
    </row>
    <row r="9" spans="1:30" x14ac:dyDescent="0.25">
      <c r="Q9" s="9"/>
    </row>
    <row r="10" spans="1:30" x14ac:dyDescent="0.25">
      <c r="D10" s="20" t="s">
        <v>88</v>
      </c>
      <c r="E10" s="21"/>
      <c r="F10" s="21"/>
      <c r="G10" s="21"/>
      <c r="I10" s="20" t="s">
        <v>90</v>
      </c>
      <c r="J10" s="21"/>
      <c r="K10" s="25" t="e">
        <f>K12/K11</f>
        <v>#DIV/0!</v>
      </c>
      <c r="M10" s="20" t="s">
        <v>89</v>
      </c>
      <c r="N10" s="35" t="s">
        <v>2</v>
      </c>
      <c r="O10" s="35" t="s">
        <v>5</v>
      </c>
      <c r="Q10" s="9"/>
    </row>
    <row r="11" spans="1:30" x14ac:dyDescent="0.25">
      <c r="D11" s="22" t="s">
        <v>56</v>
      </c>
      <c r="E11" s="31" t="s">
        <v>56</v>
      </c>
      <c r="F11" s="22" t="s">
        <v>57</v>
      </c>
      <c r="G11" s="22" t="s">
        <v>89</v>
      </c>
      <c r="I11" s="32" t="s">
        <v>91</v>
      </c>
      <c r="J11" s="32"/>
      <c r="K11" s="32">
        <f>COUNTIFS(Tab_Fluxo[Tipo],"Entradas",Tab_Fluxo[Cliente],$E$5)</f>
        <v>0</v>
      </c>
      <c r="M11" s="20" t="s">
        <v>124</v>
      </c>
      <c r="N11" s="65" t="e">
        <f t="array" ref="N11">INDEX(Tab_Fluxo[Data],SMALL(IF(Tab_Fluxo[Cliente]=$E$5,ROW(Tab_Fluxo[Cliente])-8),1),1)</f>
        <v>#NUM!</v>
      </c>
      <c r="O11" s="25" t="e">
        <f t="array" ref="O11">INDEX(Tab_Fluxo[Valor (Aux)],SMALL(IF(Tab_Fluxo[Cliente]=$E$5,ROW(Tab_Fluxo[Cliente])-8),1),1)</f>
        <v>#NUM!</v>
      </c>
      <c r="Q11" s="9"/>
    </row>
    <row r="12" spans="1:30" x14ac:dyDescent="0.25">
      <c r="D12" s="23">
        <f ca="1">E6-30</f>
        <v>44688</v>
      </c>
      <c r="E12" s="27">
        <f ca="1">MONTH(D12)</f>
        <v>5</v>
      </c>
      <c r="F12" s="24">
        <f ca="1">YEAR(D12)</f>
        <v>2022</v>
      </c>
      <c r="G12" s="25">
        <f ca="1">SUMIFS(Tab_Fluxo[Valor (Aux)],Tab_Fluxo[Ano],F12,Tab_Fluxo[Mês],E12,Tab_Fluxo[Cliente],PerfilCliente!E6,Tab_Fluxo[Tipo],"Entradas")</f>
        <v>0</v>
      </c>
      <c r="I12" s="33" t="s">
        <v>92</v>
      </c>
      <c r="J12" s="33"/>
      <c r="K12" s="34">
        <f>SUMIFS(Tab_Fluxo[Valor (Aux)],Tab_Fluxo[Cliente],PerfilCliente!E6,Tab_Fluxo[Tipo],"Entradas")</f>
        <v>0</v>
      </c>
      <c r="M12" s="36" t="s">
        <v>125</v>
      </c>
      <c r="N12" s="37" t="e">
        <f t="array" ref="N12">INDEX(Tab_Fluxo[Data],LARGE(IF(Tab_Fluxo[Cliente]=$E$5,ROW(Tab_Fluxo[Cliente])-8),1),1)</f>
        <v>#NUM!</v>
      </c>
      <c r="O12" s="28" t="e">
        <f t="array" ref="O12">INDEX(Tab_Fluxo[Valor (Aux)],LARGE(IF(Tab_Fluxo[Cliente]=$E$5,ROW(Tab_Fluxo[Cliente])-8),1),1)</f>
        <v>#NUM!</v>
      </c>
      <c r="Q12" s="9"/>
    </row>
    <row r="13" spans="1:30" x14ac:dyDescent="0.25">
      <c r="D13" s="26">
        <f ca="1">D12-30</f>
        <v>44658</v>
      </c>
      <c r="E13" s="27">
        <f t="shared" ref="E13:E23" ca="1" si="0">MONTH(D13)</f>
        <v>4</v>
      </c>
      <c r="F13" s="27">
        <f t="shared" ref="F13:F23" ca="1" si="1">YEAR(D13)</f>
        <v>2022</v>
      </c>
      <c r="G13" s="28">
        <f ca="1">SUMIFS(Tab_Fluxo[Valor (Aux)],Tab_Fluxo[Ano],F13,Tab_Fluxo[Mês],E13,Tab_Fluxo[Cliente],PerfilCliente!E7,Tab_Fluxo[Tipo],"Entradas")</f>
        <v>0</v>
      </c>
      <c r="M13" s="36" t="s">
        <v>93</v>
      </c>
      <c r="N13" s="27"/>
      <c r="O13" s="27" t="e">
        <f ca="1">IF(INT((E6-N12)/30)&lt;0,0,INT((E6-N12)/30))</f>
        <v>#NUM!</v>
      </c>
      <c r="Q13" s="9"/>
    </row>
    <row r="14" spans="1:30" x14ac:dyDescent="0.25">
      <c r="D14" s="26">
        <f t="shared" ref="D14:D23" ca="1" si="2">D13-30</f>
        <v>44628</v>
      </c>
      <c r="E14" s="27">
        <f t="shared" ca="1" si="0"/>
        <v>3</v>
      </c>
      <c r="F14" s="27">
        <f t="shared" ca="1" si="1"/>
        <v>2022</v>
      </c>
      <c r="G14" s="28">
        <f ca="1">SUMIFS(Tab_Fluxo[Valor (Aux)],Tab_Fluxo[Ano],F14,Tab_Fluxo[Mês],E14,Tab_Fluxo[Cliente],PerfilCliente!E8,Tab_Fluxo[Tipo],"Entradas")</f>
        <v>0</v>
      </c>
      <c r="I14" s="20" t="s">
        <v>106</v>
      </c>
      <c r="J14" s="21"/>
      <c r="K14" s="21"/>
      <c r="M14" s="38" t="s">
        <v>94</v>
      </c>
      <c r="N14" s="39"/>
      <c r="O14" s="40" t="e">
        <f ca="1">INT((E6-N11)/30)</f>
        <v>#NUM!</v>
      </c>
      <c r="Q14" s="9"/>
    </row>
    <row r="15" spans="1:30" x14ac:dyDescent="0.25">
      <c r="D15" s="26">
        <f ca="1">D14-30</f>
        <v>44598</v>
      </c>
      <c r="E15" s="27">
        <f t="shared" ca="1" si="0"/>
        <v>2</v>
      </c>
      <c r="F15" s="27">
        <f t="shared" ca="1" si="1"/>
        <v>2022</v>
      </c>
      <c r="G15" s="28">
        <f ca="1">SUMIFS(Tab_Fluxo[Valor (Aux)],Tab_Fluxo[Ano],F15,Tab_Fluxo[Mês],E15,Tab_Fluxo[Cliente],PerfilCliente!E9,Tab_Fluxo[Tipo],"Entradas")</f>
        <v>0</v>
      </c>
      <c r="I15" s="21" t="s">
        <v>129</v>
      </c>
      <c r="J15" s="21"/>
      <c r="K15" s="25">
        <f>SUMIFS(Tab_Fluxo[Valor (Aux)],Tab_Fluxo[Cliente],E5,Tab_Fluxo[Método de Pagto],I15,Tab_Fluxo[Tipo],"Entradas")</f>
        <v>0</v>
      </c>
      <c r="M15" s="41" t="s">
        <v>95</v>
      </c>
      <c r="N15" s="27"/>
      <c r="O15" s="27"/>
      <c r="Q15" s="9"/>
    </row>
    <row r="16" spans="1:30" x14ac:dyDescent="0.25">
      <c r="D16" s="26">
        <f t="shared" ca="1" si="2"/>
        <v>44568</v>
      </c>
      <c r="E16" s="27">
        <f t="shared" ca="1" si="0"/>
        <v>1</v>
      </c>
      <c r="F16" s="27">
        <f t="shared" ca="1" si="1"/>
        <v>2022</v>
      </c>
      <c r="G16" s="28">
        <f ca="1">SUMIFS(Tab_Fluxo[Valor (Aux)],Tab_Fluxo[Ano],F16,Tab_Fluxo[Mês],E16,Tab_Fluxo[Cliente],PerfilCliente!#REF!,Tab_Fluxo[Tipo],"Entradas")</f>
        <v>0</v>
      </c>
      <c r="I16" s="51" t="s">
        <v>107</v>
      </c>
      <c r="J16" s="43"/>
      <c r="K16" s="28">
        <f>SUMIFS(Tab_Fluxo[Valor (Aux)],Tab_Fluxo[Cliente],E5,Tab_Fluxo[Método de Pagto],I16,Tab_Fluxo[Tipo],"Entradas")</f>
        <v>0</v>
      </c>
      <c r="Q16" s="9"/>
    </row>
    <row r="17" spans="4:17" x14ac:dyDescent="0.25">
      <c r="D17" s="26">
        <f t="shared" ca="1" si="2"/>
        <v>44538</v>
      </c>
      <c r="E17" s="27">
        <f t="shared" ca="1" si="0"/>
        <v>12</v>
      </c>
      <c r="F17" s="27">
        <f t="shared" ca="1" si="1"/>
        <v>2021</v>
      </c>
      <c r="G17" s="28">
        <f ca="1">SUMIFS(Tab_Fluxo[Valor (Aux)],Tab_Fluxo[Ano],F17,Tab_Fluxo[Mês],E17,Tab_Fluxo[Cliente],PerfilCliente!E11,Tab_Fluxo[Tipo],"Entradas")</f>
        <v>0</v>
      </c>
      <c r="I17" s="51" t="s">
        <v>127</v>
      </c>
      <c r="J17" s="43"/>
      <c r="K17" s="28">
        <f>SUMIFS(Tab_Fluxo[Valor (Aux)],Tab_Fluxo[Cliente],E5,Tab_Fluxo[Método de Pagto],I17,Tab_Fluxo[Tipo],"Entradas")</f>
        <v>0</v>
      </c>
      <c r="Q17" s="9"/>
    </row>
    <row r="18" spans="4:17" x14ac:dyDescent="0.25">
      <c r="D18" s="26">
        <f t="shared" ca="1" si="2"/>
        <v>44508</v>
      </c>
      <c r="E18" s="27">
        <f t="shared" ca="1" si="0"/>
        <v>11</v>
      </c>
      <c r="F18" s="27">
        <f t="shared" ca="1" si="1"/>
        <v>2021</v>
      </c>
      <c r="G18" s="28">
        <f ca="1">SUMIFS(Tab_Fluxo[Valor (Aux)],Tab_Fluxo[Ano],F18,Tab_Fluxo[Mês],E18,Tab_Fluxo[Cliente],PerfilCliente!#REF!,Tab_Fluxo[Tipo],"Entradas")</f>
        <v>0</v>
      </c>
      <c r="I18" s="51"/>
      <c r="J18" s="43"/>
      <c r="K18" s="28"/>
      <c r="M18" s="20" t="s">
        <v>96</v>
      </c>
      <c r="N18" s="21"/>
      <c r="O18" s="31" t="s">
        <v>97</v>
      </c>
      <c r="P18" s="31" t="s">
        <v>98</v>
      </c>
      <c r="Q18" s="31" t="s">
        <v>99</v>
      </c>
    </row>
    <row r="19" spans="4:17" x14ac:dyDescent="0.25">
      <c r="D19" s="26">
        <f t="shared" ca="1" si="2"/>
        <v>44478</v>
      </c>
      <c r="E19" s="27">
        <f t="shared" ca="1" si="0"/>
        <v>10</v>
      </c>
      <c r="F19" s="27">
        <f t="shared" ca="1" si="1"/>
        <v>2021</v>
      </c>
      <c r="G19" s="28">
        <f ca="1">SUMIFS(Tab_Fluxo[Valor (Aux)],Tab_Fluxo[Ano],F19,Tab_Fluxo[Mês],E19,Tab_Fluxo[Cliente],PerfilCliente!#REF!,Tab_Fluxo[Tipo],"Entradas")</f>
        <v>0</v>
      </c>
      <c r="I19" s="52"/>
      <c r="J19" s="39"/>
      <c r="K19" s="30"/>
      <c r="M19" s="21" t="s">
        <v>100</v>
      </c>
      <c r="N19" s="21"/>
      <c r="O19" s="42">
        <v>20</v>
      </c>
      <c r="P19" s="42" t="e">
        <f ca="1">VLOOKUP(O14,$D$32:$F$37,3,TRUE)</f>
        <v>#NUM!</v>
      </c>
      <c r="Q19" s="42" t="e">
        <f ca="1">(P19*O19)/$O$24</f>
        <v>#NUM!</v>
      </c>
    </row>
    <row r="20" spans="4:17" x14ac:dyDescent="0.25">
      <c r="D20" s="26">
        <f t="shared" ca="1" si="2"/>
        <v>44448</v>
      </c>
      <c r="E20" s="27">
        <f t="shared" ca="1" si="0"/>
        <v>9</v>
      </c>
      <c r="F20" s="27">
        <f t="shared" ca="1" si="1"/>
        <v>2021</v>
      </c>
      <c r="G20" s="28">
        <f ca="1">SUMIFS(Tab_Fluxo[Valor (Aux)],Tab_Fluxo[Ano],F20,Tab_Fluxo[Mês],E20,Tab_Fluxo[Cliente],PerfilCliente!#REF!,Tab_Fluxo[Tipo],"Entradas")</f>
        <v>0</v>
      </c>
      <c r="M20" s="43" t="s">
        <v>101</v>
      </c>
      <c r="N20" s="43"/>
      <c r="O20" s="44">
        <v>35</v>
      </c>
      <c r="P20" s="44">
        <f>VLOOKUP(K12,D40:F45,3,TRUE)</f>
        <v>20</v>
      </c>
      <c r="Q20" s="44">
        <f t="shared" ref="Q20:Q23" si="3">(P20*O20)/$O$24</f>
        <v>7</v>
      </c>
    </row>
    <row r="21" spans="4:17" x14ac:dyDescent="0.25">
      <c r="D21" s="26">
        <f t="shared" ca="1" si="2"/>
        <v>44418</v>
      </c>
      <c r="E21" s="27">
        <f t="shared" ca="1" si="0"/>
        <v>8</v>
      </c>
      <c r="F21" s="27">
        <f t="shared" ca="1" si="1"/>
        <v>2021</v>
      </c>
      <c r="G21" s="28">
        <f ca="1">SUMIFS(Tab_Fluxo[Valor (Aux)],Tab_Fluxo[Ano],F21,Tab_Fluxo[Mês],E21,Tab_Fluxo[Cliente],PerfilCliente!E12,Tab_Fluxo[Tipo],"Entradas")</f>
        <v>0</v>
      </c>
      <c r="M21" s="43" t="s">
        <v>102</v>
      </c>
      <c r="N21" s="43"/>
      <c r="O21" s="44">
        <v>20</v>
      </c>
      <c r="P21" s="44" t="e">
        <f>VLOOKUP(K10,H32:J37,3,TRUE)</f>
        <v>#DIV/0!</v>
      </c>
      <c r="Q21" s="44" t="e">
        <f t="shared" si="3"/>
        <v>#DIV/0!</v>
      </c>
    </row>
    <row r="22" spans="4:17" x14ac:dyDescent="0.25">
      <c r="D22" s="26">
        <f t="shared" ca="1" si="2"/>
        <v>44388</v>
      </c>
      <c r="E22" s="27">
        <f t="shared" ca="1" si="0"/>
        <v>7</v>
      </c>
      <c r="F22" s="27">
        <f t="shared" ca="1" si="1"/>
        <v>2021</v>
      </c>
      <c r="G22" s="28">
        <f ca="1">SUMIFS(Tab_Fluxo[Valor (Aux)],Tab_Fluxo[Ano],F22,Tab_Fluxo[Mês],E22,Tab_Fluxo[Cliente],PerfilCliente!E13,Tab_Fluxo[Tipo],"Entradas")</f>
        <v>0</v>
      </c>
      <c r="M22" s="43" t="s">
        <v>103</v>
      </c>
      <c r="N22" s="43"/>
      <c r="O22" s="44">
        <v>15</v>
      </c>
      <c r="P22" s="44" t="e">
        <f ca="1">VLOOKUP(O13,H40:J45,3,TRUE)</f>
        <v>#NUM!</v>
      </c>
      <c r="Q22" s="44" t="e">
        <f t="shared" ca="1" si="3"/>
        <v>#NUM!</v>
      </c>
    </row>
    <row r="23" spans="4:17" x14ac:dyDescent="0.25">
      <c r="D23" s="26">
        <f t="shared" ca="1" si="2"/>
        <v>44358</v>
      </c>
      <c r="E23" s="27">
        <f t="shared" ca="1" si="0"/>
        <v>6</v>
      </c>
      <c r="F23" s="29">
        <f t="shared" ca="1" si="1"/>
        <v>2021</v>
      </c>
      <c r="G23" s="30">
        <f ca="1">SUMIFS(Tab_Fluxo[Valor (Aux)],Tab_Fluxo[Ano],F23,Tab_Fluxo[Mês],E23,Tab_Fluxo[Cliente],PerfilCliente!E14,Tab_Fluxo[Tipo],"Entradas")</f>
        <v>0</v>
      </c>
      <c r="M23" s="43" t="s">
        <v>176</v>
      </c>
      <c r="N23" s="43"/>
      <c r="O23" s="45">
        <v>10</v>
      </c>
      <c r="P23" s="45">
        <f>O41</f>
        <v>20</v>
      </c>
      <c r="Q23" s="44">
        <f t="shared" si="3"/>
        <v>2</v>
      </c>
    </row>
    <row r="24" spans="4:17" x14ac:dyDescent="0.25">
      <c r="M24" s="38" t="s">
        <v>104</v>
      </c>
      <c r="N24" s="38"/>
      <c r="O24" s="46">
        <f>SUM(O19:O23)</f>
        <v>100</v>
      </c>
      <c r="P24" s="46"/>
      <c r="Q24" s="46" t="e">
        <f ca="1">SUM(Q19:Q23)</f>
        <v>#NUM!</v>
      </c>
    </row>
    <row r="26" spans="4:17" x14ac:dyDescent="0.25">
      <c r="M26" s="47"/>
      <c r="N26" s="47"/>
      <c r="O26" s="47"/>
      <c r="P26" s="47"/>
      <c r="Q26" s="47"/>
    </row>
    <row r="27" spans="4:17" x14ac:dyDescent="0.25">
      <c r="M27" s="48" t="s">
        <v>105</v>
      </c>
      <c r="N27" s="49"/>
      <c r="O27" s="50" t="e">
        <f ca="1">VLOOKUP(Q24,L44:N48,3,TRUE)</f>
        <v>#NUM!</v>
      </c>
      <c r="P27" s="47"/>
      <c r="Q27" s="47"/>
    </row>
    <row r="30" spans="4:17" x14ac:dyDescent="0.25">
      <c r="L30" s="9" t="s">
        <v>170</v>
      </c>
    </row>
    <row r="31" spans="4:17" x14ac:dyDescent="0.25">
      <c r="D31" s="20" t="s">
        <v>108</v>
      </c>
      <c r="E31" s="21"/>
      <c r="F31" s="21"/>
      <c r="G31" s="28"/>
      <c r="H31" s="20" t="s">
        <v>109</v>
      </c>
      <c r="I31" s="21"/>
      <c r="J31" s="21"/>
      <c r="K31" s="47"/>
      <c r="L31" s="20" t="s">
        <v>110</v>
      </c>
      <c r="M31" s="21"/>
      <c r="N31" s="21"/>
      <c r="O31" s="47"/>
      <c r="P31" s="47"/>
    </row>
    <row r="32" spans="4:17" x14ac:dyDescent="0.25">
      <c r="D32" s="49" t="s">
        <v>111</v>
      </c>
      <c r="E32" s="49" t="s">
        <v>112</v>
      </c>
      <c r="F32" s="22" t="s">
        <v>113</v>
      </c>
      <c r="G32" s="28"/>
      <c r="H32" s="49" t="s">
        <v>111</v>
      </c>
      <c r="I32" s="49" t="s">
        <v>112</v>
      </c>
      <c r="J32" s="22" t="s">
        <v>113</v>
      </c>
      <c r="K32" s="47"/>
      <c r="L32" s="49" t="s">
        <v>111</v>
      </c>
      <c r="M32" s="49" t="s">
        <v>112</v>
      </c>
      <c r="N32" s="22" t="s">
        <v>113</v>
      </c>
      <c r="O32" s="47"/>
      <c r="P32" s="47"/>
    </row>
    <row r="33" spans="4:16" x14ac:dyDescent="0.25">
      <c r="D33" s="53">
        <v>0</v>
      </c>
      <c r="E33" s="53">
        <v>1</v>
      </c>
      <c r="F33" s="54">
        <v>20</v>
      </c>
      <c r="G33" s="28"/>
      <c r="H33" s="55">
        <v>0</v>
      </c>
      <c r="I33" s="55">
        <v>500</v>
      </c>
      <c r="J33" s="54">
        <v>20</v>
      </c>
      <c r="K33" s="47"/>
      <c r="L33" s="55">
        <v>0</v>
      </c>
      <c r="M33" s="55">
        <v>0</v>
      </c>
      <c r="N33" s="54">
        <v>100</v>
      </c>
      <c r="O33" s="47"/>
      <c r="P33" s="47"/>
    </row>
    <row r="34" spans="4:16" x14ac:dyDescent="0.25">
      <c r="D34" s="56">
        <v>2</v>
      </c>
      <c r="E34" s="56">
        <v>3</v>
      </c>
      <c r="F34" s="57">
        <v>40</v>
      </c>
      <c r="G34" s="47"/>
      <c r="H34" s="58">
        <v>501</v>
      </c>
      <c r="I34" s="58">
        <v>1000</v>
      </c>
      <c r="J34" s="57">
        <v>40</v>
      </c>
      <c r="K34" s="47"/>
      <c r="L34" s="58">
        <v>1</v>
      </c>
      <c r="M34" s="58">
        <v>10</v>
      </c>
      <c r="N34" s="57">
        <v>80</v>
      </c>
      <c r="O34" s="47"/>
      <c r="P34" s="47"/>
    </row>
    <row r="35" spans="4:16" x14ac:dyDescent="0.25">
      <c r="D35" s="56">
        <v>4</v>
      </c>
      <c r="E35" s="56">
        <v>5</v>
      </c>
      <c r="F35" s="57">
        <v>60</v>
      </c>
      <c r="G35" s="47"/>
      <c r="H35" s="58">
        <v>1001</v>
      </c>
      <c r="I35" s="58">
        <v>1500</v>
      </c>
      <c r="J35" s="57">
        <v>60</v>
      </c>
      <c r="K35" s="47"/>
      <c r="L35" s="58">
        <v>11</v>
      </c>
      <c r="M35" s="58">
        <v>15</v>
      </c>
      <c r="N35" s="57">
        <v>60</v>
      </c>
      <c r="O35" s="47"/>
      <c r="P35" s="47"/>
    </row>
    <row r="36" spans="4:16" x14ac:dyDescent="0.25">
      <c r="D36" s="56">
        <v>6</v>
      </c>
      <c r="E36" s="56">
        <v>7</v>
      </c>
      <c r="F36" s="57">
        <v>80</v>
      </c>
      <c r="G36" s="47"/>
      <c r="H36" s="58">
        <v>1501</v>
      </c>
      <c r="I36" s="58">
        <v>2000</v>
      </c>
      <c r="J36" s="57">
        <v>80</v>
      </c>
      <c r="K36" s="47"/>
      <c r="L36" s="58">
        <v>16</v>
      </c>
      <c r="M36" s="58">
        <v>20</v>
      </c>
      <c r="N36" s="57">
        <v>40</v>
      </c>
      <c r="O36" s="47"/>
      <c r="P36" s="47"/>
    </row>
    <row r="37" spans="4:16" x14ac:dyDescent="0.25">
      <c r="D37" s="59">
        <v>8</v>
      </c>
      <c r="E37" s="59"/>
      <c r="F37" s="40">
        <v>100</v>
      </c>
      <c r="G37" s="47"/>
      <c r="H37" s="60">
        <v>2001</v>
      </c>
      <c r="I37" s="60"/>
      <c r="J37" s="40">
        <v>100</v>
      </c>
      <c r="K37" s="47"/>
      <c r="L37" s="60">
        <v>21</v>
      </c>
      <c r="M37" s="60"/>
      <c r="N37" s="40">
        <v>20</v>
      </c>
      <c r="O37" s="47"/>
      <c r="P37" s="47"/>
    </row>
    <row r="38" spans="4:16" x14ac:dyDescent="0.25">
      <c r="D38" s="47"/>
      <c r="E38" s="47"/>
      <c r="F38" s="61"/>
      <c r="G38" s="47"/>
      <c r="H38" s="47"/>
      <c r="I38" s="47"/>
      <c r="J38" s="47"/>
      <c r="K38" s="47"/>
      <c r="L38" s="47"/>
      <c r="M38" s="47"/>
      <c r="N38" s="47"/>
      <c r="O38" s="47"/>
      <c r="P38" s="47"/>
    </row>
    <row r="39" spans="4:16" x14ac:dyDescent="0.25">
      <c r="D39" s="20" t="s">
        <v>114</v>
      </c>
      <c r="E39" s="21"/>
      <c r="F39" s="21"/>
      <c r="G39" s="47"/>
      <c r="H39" s="20" t="s">
        <v>115</v>
      </c>
      <c r="I39" s="21"/>
      <c r="J39" s="21"/>
      <c r="K39" s="47"/>
      <c r="L39" s="20" t="s">
        <v>116</v>
      </c>
      <c r="M39" s="21"/>
      <c r="N39" s="21"/>
      <c r="O39" s="21"/>
      <c r="P39" s="47"/>
    </row>
    <row r="40" spans="4:16" x14ac:dyDescent="0.25">
      <c r="D40" s="49" t="s">
        <v>111</v>
      </c>
      <c r="E40" s="49" t="s">
        <v>112</v>
      </c>
      <c r="F40" s="22" t="s">
        <v>113</v>
      </c>
      <c r="G40" s="47"/>
      <c r="H40" s="49" t="s">
        <v>111</v>
      </c>
      <c r="I40" s="49" t="s">
        <v>112</v>
      </c>
      <c r="J40" s="22" t="s">
        <v>113</v>
      </c>
      <c r="K40" s="47"/>
      <c r="L40" s="49" t="s">
        <v>117</v>
      </c>
      <c r="M40" s="49" t="s">
        <v>118</v>
      </c>
      <c r="N40" s="22"/>
      <c r="O40" s="22" t="s">
        <v>113</v>
      </c>
      <c r="P40" s="47"/>
    </row>
    <row r="41" spans="4:16" x14ac:dyDescent="0.25">
      <c r="D41" s="55">
        <v>0</v>
      </c>
      <c r="E41" s="55">
        <v>1000</v>
      </c>
      <c r="F41" s="54">
        <v>20</v>
      </c>
      <c r="G41" s="47"/>
      <c r="H41" s="55">
        <v>0</v>
      </c>
      <c r="I41" s="55">
        <v>1</v>
      </c>
      <c r="J41" s="54">
        <v>100</v>
      </c>
      <c r="K41" s="47"/>
      <c r="L41" s="62">
        <f>LARGE(K15:K17,1)</f>
        <v>0</v>
      </c>
      <c r="M41" s="63" t="str">
        <f>INDEX(I15:I17,MATCH(L41,K15:K17))</f>
        <v>Parcelado</v>
      </c>
      <c r="N41" s="39"/>
      <c r="O41" s="64">
        <f>_xlfn.IFS(M41=I15,60,M41=I16,40,M41=I17,20)</f>
        <v>20</v>
      </c>
      <c r="P41" s="47"/>
    </row>
    <row r="42" spans="4:16" x14ac:dyDescent="0.25">
      <c r="D42" s="58">
        <v>1001</v>
      </c>
      <c r="E42" s="58">
        <v>2000</v>
      </c>
      <c r="F42" s="57">
        <v>40</v>
      </c>
      <c r="G42" s="47"/>
      <c r="H42" s="58">
        <v>2</v>
      </c>
      <c r="I42" s="58">
        <v>3</v>
      </c>
      <c r="J42" s="57">
        <v>80</v>
      </c>
      <c r="K42" s="47"/>
      <c r="L42" s="58"/>
      <c r="M42" s="58"/>
      <c r="N42" s="57"/>
      <c r="O42" s="47"/>
      <c r="P42" s="47"/>
    </row>
    <row r="43" spans="4:16" x14ac:dyDescent="0.25">
      <c r="D43" s="58">
        <v>2001</v>
      </c>
      <c r="E43" s="58">
        <v>3000</v>
      </c>
      <c r="F43" s="57">
        <v>60</v>
      </c>
      <c r="G43" s="47"/>
      <c r="H43" s="58">
        <v>4</v>
      </c>
      <c r="I43" s="58">
        <v>5</v>
      </c>
      <c r="J43" s="57">
        <v>60</v>
      </c>
      <c r="K43" s="47"/>
      <c r="L43" s="20" t="s">
        <v>119</v>
      </c>
      <c r="M43" s="21"/>
      <c r="N43" s="21"/>
      <c r="O43" s="47"/>
      <c r="P43" s="47"/>
    </row>
    <row r="44" spans="4:16" x14ac:dyDescent="0.25">
      <c r="D44" s="58">
        <v>3001</v>
      </c>
      <c r="E44" s="58">
        <v>4000</v>
      </c>
      <c r="F44" s="57">
        <v>80</v>
      </c>
      <c r="G44" s="47"/>
      <c r="H44" s="58">
        <v>6</v>
      </c>
      <c r="I44" s="58">
        <v>7</v>
      </c>
      <c r="J44" s="57">
        <v>40</v>
      </c>
      <c r="K44" s="47"/>
      <c r="L44" s="49" t="s">
        <v>111</v>
      </c>
      <c r="M44" s="49" t="s">
        <v>112</v>
      </c>
      <c r="N44" s="22" t="s">
        <v>86</v>
      </c>
      <c r="O44" s="47"/>
      <c r="P44" s="47"/>
    </row>
    <row r="45" spans="4:16" x14ac:dyDescent="0.25">
      <c r="D45" s="60">
        <v>4001</v>
      </c>
      <c r="E45" s="60"/>
      <c r="F45" s="40">
        <v>100</v>
      </c>
      <c r="G45" s="47"/>
      <c r="H45" s="60">
        <v>7</v>
      </c>
      <c r="I45" s="60"/>
      <c r="J45" s="40">
        <v>20</v>
      </c>
      <c r="K45" s="47"/>
      <c r="L45" s="55">
        <v>0</v>
      </c>
      <c r="M45" s="55">
        <v>54</v>
      </c>
      <c r="N45" s="24" t="s">
        <v>120</v>
      </c>
      <c r="O45" s="47"/>
      <c r="P45" s="47"/>
    </row>
    <row r="46" spans="4:16" x14ac:dyDescent="0.25">
      <c r="D46" s="47"/>
      <c r="E46" s="47"/>
      <c r="F46" s="47"/>
      <c r="G46" s="47"/>
      <c r="H46" s="47"/>
      <c r="I46" s="47"/>
      <c r="J46" s="47"/>
      <c r="K46" s="47"/>
      <c r="L46" s="58">
        <v>55</v>
      </c>
      <c r="M46" s="58">
        <v>64</v>
      </c>
      <c r="N46" s="27" t="s">
        <v>121</v>
      </c>
      <c r="O46" s="47"/>
      <c r="P46" s="47"/>
    </row>
    <row r="47" spans="4:16" x14ac:dyDescent="0.25">
      <c r="D47" s="47"/>
      <c r="E47" s="47"/>
      <c r="F47" s="47"/>
      <c r="G47" s="47"/>
      <c r="H47" s="47"/>
      <c r="I47" s="47"/>
      <c r="J47" s="47"/>
      <c r="K47" s="47"/>
      <c r="L47" s="58">
        <v>65</v>
      </c>
      <c r="M47" s="58">
        <v>89</v>
      </c>
      <c r="N47" s="27" t="s">
        <v>122</v>
      </c>
      <c r="O47" s="47"/>
      <c r="P47" s="47"/>
    </row>
    <row r="48" spans="4:16" x14ac:dyDescent="0.25">
      <c r="D48" s="47"/>
      <c r="E48" s="47"/>
      <c r="F48" s="47"/>
      <c r="G48" s="47"/>
      <c r="H48" s="47"/>
      <c r="I48" s="47"/>
      <c r="J48" s="47"/>
      <c r="K48" s="47"/>
      <c r="L48" s="60">
        <v>90</v>
      </c>
      <c r="M48" s="60">
        <v>100</v>
      </c>
      <c r="N48" s="29" t="s">
        <v>123</v>
      </c>
      <c r="O48" s="47"/>
      <c r="P48" s="47"/>
    </row>
    <row r="49" spans="4:16" x14ac:dyDescent="0.25">
      <c r="D49" s="47"/>
      <c r="E49" s="47"/>
      <c r="F49" s="47"/>
      <c r="G49" s="47"/>
      <c r="H49" s="47"/>
      <c r="I49" s="47"/>
      <c r="J49" s="47"/>
      <c r="K49" s="47"/>
      <c r="L49" s="47"/>
      <c r="M49" s="47"/>
      <c r="N49" s="47"/>
      <c r="O49" s="47"/>
      <c r="P49" s="47"/>
    </row>
    <row r="57" spans="4:16" x14ac:dyDescent="0.25">
      <c r="H57" s="9">
        <v>5</v>
      </c>
      <c r="I57" s="9">
        <v>3</v>
      </c>
    </row>
    <row r="59" spans="4:16" x14ac:dyDescent="0.25">
      <c r="H59" s="9">
        <v>5</v>
      </c>
      <c r="I59" s="9">
        <v>4</v>
      </c>
      <c r="J59" s="9">
        <v>3</v>
      </c>
    </row>
    <row r="61" spans="4:16" x14ac:dyDescent="0.25">
      <c r="H61" s="9" t="str">
        <f>IF(AND(H59=H57,I59=I57),"Correto","Falso")</f>
        <v>Falso</v>
      </c>
    </row>
  </sheetData>
  <mergeCells count="1">
    <mergeCell ref="B1:AD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D1D7-C430-4D55-B18E-43F5AAAE1481}">
  <sheetPr codeName="Sheet18"/>
  <dimension ref="A1:AC12"/>
  <sheetViews>
    <sheetView workbookViewId="0"/>
  </sheetViews>
  <sheetFormatPr defaultRowHeight="15" x14ac:dyDescent="0.25"/>
  <cols>
    <col min="1" max="1" width="9" style="120" customWidth="1"/>
    <col min="2" max="2" width="9.140625" style="156" customWidth="1"/>
    <col min="3" max="3" width="17.85546875" bestFit="1" customWidth="1"/>
    <col min="4" max="4" width="16.28515625" bestFit="1" customWidth="1"/>
    <col min="5" max="5" width="11.28515625" bestFit="1" customWidth="1"/>
    <col min="6" max="6" width="7.28515625" bestFit="1" customWidth="1"/>
    <col min="7" max="7" width="6" bestFit="1" customWidth="1"/>
    <col min="8" max="8" width="5" bestFit="1" customWidth="1"/>
    <col min="9" max="9" width="5.140625" bestFit="1" customWidth="1"/>
    <col min="10" max="10" width="8.28515625" bestFit="1" customWidth="1"/>
    <col min="11" max="11" width="17.42578125" bestFit="1" customWidth="1"/>
    <col min="12" max="12" width="8" bestFit="1" customWidth="1"/>
    <col min="13" max="13" width="7.28515625" bestFit="1" customWidth="1"/>
    <col min="14" max="14" width="11.28515625" bestFit="1" customWidth="1"/>
  </cols>
  <sheetData>
    <row r="1" spans="1:29" x14ac:dyDescent="0.25">
      <c r="B1" s="189" t="s">
        <v>257</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row>
    <row r="2" spans="1:29"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row>
    <row r="3" spans="1:29"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row>
    <row r="4" spans="1:29" s="157" customFormat="1" x14ac:dyDescent="0.25">
      <c r="A4" s="120"/>
      <c r="B4" s="153"/>
    </row>
    <row r="5" spans="1:29" s="157" customFormat="1" x14ac:dyDescent="0.25">
      <c r="A5" s="120"/>
      <c r="B5" s="156"/>
    </row>
    <row r="6" spans="1:29" s="105" customFormat="1" ht="15.75" thickBot="1" x14ac:dyDescent="0.3">
      <c r="A6" s="120"/>
      <c r="B6" s="155"/>
    </row>
    <row r="7" spans="1:29" x14ac:dyDescent="0.25">
      <c r="C7" s="10" t="s">
        <v>76</v>
      </c>
      <c r="D7" s="10" t="s">
        <v>55</v>
      </c>
    </row>
    <row r="8" spans="1:29" x14ac:dyDescent="0.25">
      <c r="C8" s="10" t="s">
        <v>52</v>
      </c>
      <c r="D8" t="s">
        <v>26</v>
      </c>
      <c r="E8" t="s">
        <v>54</v>
      </c>
    </row>
    <row r="9" spans="1:29" x14ac:dyDescent="0.25">
      <c r="C9" s="11">
        <v>2022</v>
      </c>
      <c r="D9" s="9">
        <v>7300</v>
      </c>
      <c r="E9" s="9">
        <v>7300</v>
      </c>
    </row>
    <row r="10" spans="1:29" x14ac:dyDescent="0.25">
      <c r="C10" s="19">
        <v>5</v>
      </c>
      <c r="D10" s="9">
        <v>2300</v>
      </c>
      <c r="E10" s="9">
        <v>2300</v>
      </c>
    </row>
    <row r="11" spans="1:29" x14ac:dyDescent="0.25">
      <c r="C11" s="19">
        <v>6</v>
      </c>
      <c r="D11" s="9">
        <v>5000</v>
      </c>
      <c r="E11" s="9">
        <v>5000</v>
      </c>
    </row>
    <row r="12" spans="1:29" x14ac:dyDescent="0.25">
      <c r="C12" s="11" t="s">
        <v>54</v>
      </c>
      <c r="D12" s="9">
        <v>7300</v>
      </c>
      <c r="E12" s="9">
        <v>7300</v>
      </c>
    </row>
  </sheetData>
  <mergeCells count="1">
    <mergeCell ref="B1:AC3"/>
  </mergeCell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622-73B9-4A5B-BC90-CED5740F1FAF}">
  <sheetPr codeName="Sheet19"/>
  <dimension ref="A1:AC11"/>
  <sheetViews>
    <sheetView workbookViewId="0"/>
  </sheetViews>
  <sheetFormatPr defaultRowHeight="15" x14ac:dyDescent="0.25"/>
  <cols>
    <col min="1" max="1" width="9" style="120" customWidth="1"/>
    <col min="2" max="2" width="9.140625" style="156" customWidth="1"/>
    <col min="3" max="3" width="17.85546875" bestFit="1" customWidth="1"/>
    <col min="4" max="4" width="16.28515625" bestFit="1" customWidth="1"/>
    <col min="5" max="7" width="11.28515625" bestFit="1" customWidth="1"/>
    <col min="8" max="8" width="5" bestFit="1" customWidth="1"/>
    <col min="9" max="9" width="5.140625" bestFit="1" customWidth="1"/>
    <col min="10" max="10" width="8.28515625" bestFit="1" customWidth="1"/>
    <col min="11" max="11" width="17.42578125" bestFit="1" customWidth="1"/>
    <col min="12" max="12" width="8" bestFit="1" customWidth="1"/>
    <col min="13" max="13" width="7.28515625" bestFit="1" customWidth="1"/>
    <col min="14" max="14" width="11.28515625" bestFit="1" customWidth="1"/>
    <col min="15" max="16" width="12.140625" bestFit="1" customWidth="1"/>
    <col min="17" max="17" width="13.28515625" bestFit="1" customWidth="1"/>
    <col min="18" max="18" width="13.5703125" bestFit="1" customWidth="1"/>
    <col min="19" max="19" width="10.5703125" bestFit="1" customWidth="1"/>
    <col min="20" max="35" width="12.140625" bestFit="1" customWidth="1"/>
    <col min="36" max="36" width="11.42578125" bestFit="1" customWidth="1"/>
    <col min="37" max="37" width="11.28515625" bestFit="1" customWidth="1"/>
  </cols>
  <sheetData>
    <row r="1" spans="1:29" x14ac:dyDescent="0.25">
      <c r="B1" s="189" t="s">
        <v>258</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row>
    <row r="2" spans="1:29"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row>
    <row r="3" spans="1:29"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row>
    <row r="4" spans="1:29" s="157" customFormat="1" x14ac:dyDescent="0.25">
      <c r="A4" s="120"/>
      <c r="B4" s="153"/>
    </row>
    <row r="5" spans="1:29" s="157" customFormat="1" x14ac:dyDescent="0.25">
      <c r="A5" s="120"/>
      <c r="B5" s="156"/>
    </row>
    <row r="6" spans="1:29" s="105" customFormat="1" ht="15.75" thickBot="1" x14ac:dyDescent="0.3">
      <c r="A6" s="120"/>
      <c r="B6" s="155"/>
    </row>
    <row r="7" spans="1:29" x14ac:dyDescent="0.25">
      <c r="C7" s="10" t="s">
        <v>76</v>
      </c>
      <c r="D7" s="10" t="s">
        <v>55</v>
      </c>
    </row>
    <row r="8" spans="1:29" x14ac:dyDescent="0.25">
      <c r="C8" s="10" t="s">
        <v>52</v>
      </c>
      <c r="D8" t="s">
        <v>26</v>
      </c>
      <c r="E8" t="s">
        <v>54</v>
      </c>
    </row>
    <row r="9" spans="1:29" x14ac:dyDescent="0.25">
      <c r="C9" s="11">
        <v>2022</v>
      </c>
      <c r="D9" s="9">
        <v>7300</v>
      </c>
      <c r="E9" s="9">
        <v>7300</v>
      </c>
    </row>
    <row r="10" spans="1:29" x14ac:dyDescent="0.25">
      <c r="C10" s="11">
        <v>2023</v>
      </c>
      <c r="D10" s="9">
        <v>3000</v>
      </c>
      <c r="E10" s="9">
        <v>3000</v>
      </c>
    </row>
    <row r="11" spans="1:29" x14ac:dyDescent="0.25">
      <c r="C11" s="11" t="s">
        <v>54</v>
      </c>
      <c r="D11" s="9">
        <v>10300</v>
      </c>
      <c r="E11" s="9">
        <v>10300</v>
      </c>
    </row>
  </sheetData>
  <mergeCells count="1">
    <mergeCell ref="B1:AC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D7C4-EEFD-4DC0-B70B-89C65115EA91}">
  <sheetPr codeName="Sheet20"/>
  <dimension ref="A1:AC22"/>
  <sheetViews>
    <sheetView workbookViewId="0"/>
  </sheetViews>
  <sheetFormatPr defaultRowHeight="15" x14ac:dyDescent="0.25"/>
  <cols>
    <col min="1" max="1" width="9" style="120" customWidth="1"/>
    <col min="2" max="2" width="9.140625" style="156" customWidth="1"/>
    <col min="3" max="3" width="17.85546875" bestFit="1" customWidth="1"/>
    <col min="4" max="4" width="16.28515625" bestFit="1" customWidth="1"/>
    <col min="5" max="5" width="13.28515625" bestFit="1" customWidth="1"/>
    <col min="6" max="6" width="15.85546875" bestFit="1" customWidth="1"/>
    <col min="7" max="7" width="13.28515625" bestFit="1" customWidth="1"/>
    <col min="8" max="8" width="15.85546875" bestFit="1" customWidth="1"/>
    <col min="9" max="9" width="13.5703125" bestFit="1" customWidth="1"/>
    <col min="10" max="10" width="13.28515625" bestFit="1" customWidth="1"/>
    <col min="11" max="13" width="12.140625" bestFit="1" customWidth="1"/>
    <col min="14" max="15" width="13.28515625" bestFit="1" customWidth="1"/>
    <col min="16" max="16" width="19.28515625" bestFit="1" customWidth="1"/>
    <col min="17" max="17" width="22.42578125" bestFit="1" customWidth="1"/>
    <col min="18" max="18" width="9.85546875" bestFit="1" customWidth="1"/>
    <col min="19" max="19" width="12.85546875" bestFit="1" customWidth="1"/>
    <col min="21" max="21" width="12.140625" bestFit="1" customWidth="1"/>
    <col min="22" max="22" width="11.28515625" bestFit="1" customWidth="1"/>
  </cols>
  <sheetData>
    <row r="1" spans="1:29" x14ac:dyDescent="0.25">
      <c r="B1" s="189" t="s">
        <v>259</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row>
    <row r="2" spans="1:29"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row>
    <row r="3" spans="1:29"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row>
    <row r="4" spans="1:29" s="157" customFormat="1" x14ac:dyDescent="0.25">
      <c r="A4" s="120"/>
      <c r="B4" s="153"/>
    </row>
    <row r="5" spans="1:29" s="157" customFormat="1" x14ac:dyDescent="0.25">
      <c r="A5" s="120"/>
      <c r="B5" s="156"/>
    </row>
    <row r="6" spans="1:29" s="105" customFormat="1" ht="15.75" thickBot="1" x14ac:dyDescent="0.3">
      <c r="A6" s="120"/>
      <c r="B6" s="155"/>
    </row>
    <row r="7" spans="1:29" x14ac:dyDescent="0.25">
      <c r="C7" s="10" t="s">
        <v>76</v>
      </c>
      <c r="D7" s="10" t="s">
        <v>55</v>
      </c>
    </row>
    <row r="8" spans="1:29" x14ac:dyDescent="0.25">
      <c r="C8" s="10" t="s">
        <v>52</v>
      </c>
      <c r="D8" t="s">
        <v>8</v>
      </c>
      <c r="E8" t="s">
        <v>7</v>
      </c>
      <c r="F8" t="s">
        <v>54</v>
      </c>
    </row>
    <row r="9" spans="1:29" x14ac:dyDescent="0.25">
      <c r="C9" s="11" t="s">
        <v>26</v>
      </c>
      <c r="D9" s="4">
        <v>10500</v>
      </c>
      <c r="E9" s="4">
        <v>-200</v>
      </c>
      <c r="F9" s="4">
        <v>10300</v>
      </c>
    </row>
    <row r="10" spans="1:29" x14ac:dyDescent="0.25">
      <c r="C10" s="11" t="s">
        <v>27</v>
      </c>
      <c r="D10" s="4">
        <v>300</v>
      </c>
      <c r="E10" s="4">
        <v>-50</v>
      </c>
      <c r="F10" s="4">
        <v>250</v>
      </c>
    </row>
    <row r="11" spans="1:29" x14ac:dyDescent="0.25">
      <c r="C11" s="11" t="s">
        <v>24</v>
      </c>
      <c r="D11" s="4">
        <v>40</v>
      </c>
      <c r="E11" s="4">
        <v>-300</v>
      </c>
      <c r="F11" s="4">
        <v>-260</v>
      </c>
    </row>
    <row r="12" spans="1:29" x14ac:dyDescent="0.25">
      <c r="C12" s="11" t="s">
        <v>25</v>
      </c>
      <c r="D12" s="4">
        <v>70850</v>
      </c>
      <c r="E12" s="4">
        <v>-220</v>
      </c>
      <c r="F12" s="4">
        <v>70630</v>
      </c>
    </row>
    <row r="13" spans="1:29" x14ac:dyDescent="0.25">
      <c r="C13" s="11" t="s">
        <v>50</v>
      </c>
      <c r="D13" s="4">
        <v>200</v>
      </c>
      <c r="E13" s="4"/>
      <c r="F13" s="4">
        <v>200</v>
      </c>
    </row>
    <row r="14" spans="1:29" x14ac:dyDescent="0.25">
      <c r="C14" s="11" t="s">
        <v>22</v>
      </c>
      <c r="D14" s="4">
        <v>2300</v>
      </c>
      <c r="E14" s="4"/>
      <c r="F14" s="4">
        <v>2300</v>
      </c>
    </row>
    <row r="15" spans="1:29" x14ac:dyDescent="0.25">
      <c r="C15" s="11" t="s">
        <v>48</v>
      </c>
      <c r="D15" s="4">
        <v>1000120</v>
      </c>
      <c r="E15" s="4">
        <v>-20</v>
      </c>
      <c r="F15" s="4">
        <v>1000100</v>
      </c>
    </row>
    <row r="16" spans="1:29" x14ac:dyDescent="0.25">
      <c r="C16" s="11" t="s">
        <v>47</v>
      </c>
      <c r="D16" s="4">
        <v>1000</v>
      </c>
      <c r="E16" s="4">
        <v>-300</v>
      </c>
      <c r="F16" s="4">
        <v>700</v>
      </c>
    </row>
    <row r="17" spans="3:6" x14ac:dyDescent="0.25">
      <c r="C17" s="11" t="s">
        <v>53</v>
      </c>
      <c r="D17" s="4">
        <v>6300</v>
      </c>
      <c r="E17" s="4">
        <v>-1900</v>
      </c>
      <c r="F17" s="4">
        <v>4400</v>
      </c>
    </row>
    <row r="18" spans="3:6" x14ac:dyDescent="0.25">
      <c r="C18" s="11" t="s">
        <v>45</v>
      </c>
      <c r="D18" s="4">
        <v>35000</v>
      </c>
      <c r="E18" s="4">
        <v>-6000</v>
      </c>
      <c r="F18" s="4">
        <v>29000</v>
      </c>
    </row>
    <row r="19" spans="3:6" x14ac:dyDescent="0.25">
      <c r="C19" s="11" t="s">
        <v>77</v>
      </c>
      <c r="D19" s="4">
        <v>6800</v>
      </c>
      <c r="E19" s="4">
        <v>-14000</v>
      </c>
      <c r="F19" s="4">
        <v>-7200</v>
      </c>
    </row>
    <row r="20" spans="3:6" x14ac:dyDescent="0.25">
      <c r="C20" s="11" t="s">
        <v>46</v>
      </c>
      <c r="D20" s="4">
        <v>250</v>
      </c>
      <c r="E20" s="4"/>
      <c r="F20" s="4">
        <v>250</v>
      </c>
    </row>
    <row r="21" spans="3:6" x14ac:dyDescent="0.25">
      <c r="C21" s="11" t="s">
        <v>49</v>
      </c>
      <c r="D21" s="4">
        <v>1800000</v>
      </c>
      <c r="E21" s="4"/>
      <c r="F21" s="4">
        <v>1800000</v>
      </c>
    </row>
    <row r="22" spans="3:6" x14ac:dyDescent="0.25">
      <c r="C22" s="11" t="s">
        <v>54</v>
      </c>
      <c r="D22" s="4">
        <v>2933660</v>
      </c>
      <c r="E22" s="4">
        <v>-22990</v>
      </c>
      <c r="F22" s="4">
        <v>2910670</v>
      </c>
    </row>
  </sheetData>
  <mergeCells count="1">
    <mergeCell ref="B1:AC3"/>
  </mergeCell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80F93-7684-4E77-B60B-FD5CF787FE83}">
  <sheetPr codeName="Sheet32"/>
  <dimension ref="G1:J39"/>
  <sheetViews>
    <sheetView workbookViewId="0"/>
  </sheetViews>
  <sheetFormatPr defaultRowHeight="0" customHeight="1" zeroHeight="1" x14ac:dyDescent="0.25"/>
  <cols>
    <col min="1" max="6" width="9.140625" style="143" customWidth="1"/>
    <col min="7" max="7" width="22.5703125" style="143" bestFit="1" customWidth="1"/>
    <col min="8" max="9" width="9.140625" style="143" customWidth="1"/>
    <col min="10" max="10" width="22.42578125" style="143" bestFit="1" customWidth="1"/>
    <col min="11" max="11" width="2.7109375" style="143" customWidth="1"/>
    <col min="12" max="13" width="9.140625" style="143" customWidth="1"/>
    <col min="14" max="14" width="2.7109375" style="143" customWidth="1"/>
    <col min="15" max="16" width="9.140625" style="143" customWidth="1"/>
    <col min="17" max="17" width="2.5703125" style="143" customWidth="1"/>
    <col min="18" max="24" width="9.140625" style="143" customWidth="1"/>
    <col min="25" max="16384" width="9.140625" style="143"/>
  </cols>
  <sheetData>
    <row r="1" spans="7:10" s="144" customFormat="1" ht="15" x14ac:dyDescent="0.25"/>
    <row r="2" spans="7:10" s="144" customFormat="1" ht="15" x14ac:dyDescent="0.25"/>
    <row r="3" spans="7:10" s="144" customFormat="1" ht="15" x14ac:dyDescent="0.25"/>
    <row r="4" spans="7:10" s="144" customFormat="1" ht="15" x14ac:dyDescent="0.25"/>
    <row r="5" spans="7:10" s="146" customFormat="1" ht="15.75" thickBot="1" x14ac:dyDescent="0.3"/>
    <row r="6" spans="7:10" ht="15" x14ac:dyDescent="0.25"/>
    <row r="7" spans="7:10" ht="15" x14ac:dyDescent="0.25"/>
    <row r="8" spans="7:10" ht="15" x14ac:dyDescent="0.25"/>
    <row r="9" spans="7:10" ht="15" x14ac:dyDescent="0.25"/>
    <row r="10" spans="7:10" ht="15" x14ac:dyDescent="0.25"/>
    <row r="11" spans="7:10" ht="15" x14ac:dyDescent="0.25"/>
    <row r="12" spans="7:10" ht="15" x14ac:dyDescent="0.25"/>
    <row r="13" spans="7:10" ht="15.75" x14ac:dyDescent="0.25">
      <c r="G13" s="131" t="s">
        <v>245</v>
      </c>
      <c r="J13" s="131" t="s">
        <v>272</v>
      </c>
    </row>
    <row r="14" spans="7:10" ht="15" x14ac:dyDescent="0.25"/>
    <row r="15" spans="7:10" ht="15" x14ac:dyDescent="0.25"/>
    <row r="16" spans="7:10" ht="15" x14ac:dyDescent="0.25"/>
    <row r="17" ht="15" x14ac:dyDescent="0.25"/>
    <row r="18" ht="15" x14ac:dyDescent="0.25"/>
    <row r="19" ht="15" x14ac:dyDescent="0.25"/>
    <row r="20" ht="15" x14ac:dyDescent="0.25"/>
    <row r="21" ht="15" x14ac:dyDescent="0.25"/>
    <row r="22" ht="15" x14ac:dyDescent="0.25"/>
    <row r="23" ht="15" x14ac:dyDescent="0.25"/>
    <row r="24" ht="15" x14ac:dyDescent="0.25"/>
    <row r="25" ht="15" x14ac:dyDescent="0.25"/>
    <row r="26" ht="15" x14ac:dyDescent="0.25"/>
    <row r="27" ht="15" x14ac:dyDescent="0.25"/>
    <row r="28" ht="15" x14ac:dyDescent="0.25"/>
    <row r="29" s="145" customFormat="1" ht="15.75" thickBot="1" x14ac:dyDescent="0.3"/>
    <row r="30" s="144" customFormat="1" ht="15" x14ac:dyDescent="0.25"/>
    <row r="31" s="144" customFormat="1" ht="15" x14ac:dyDescent="0.25"/>
    <row r="32" s="144" customFormat="1" ht="15" x14ac:dyDescent="0.25"/>
    <row r="33" s="144" customFormat="1" ht="15" x14ac:dyDescent="0.25"/>
    <row r="34" s="144" customFormat="1" ht="15" x14ac:dyDescent="0.25"/>
    <row r="35" s="144" customFormat="1" ht="15" x14ac:dyDescent="0.25"/>
    <row r="36" s="144" customFormat="1" ht="15" x14ac:dyDescent="0.25"/>
    <row r="37" s="144" customFormat="1" ht="15" x14ac:dyDescent="0.25"/>
    <row r="38" s="144" customFormat="1" ht="15" x14ac:dyDescent="0.25"/>
    <row r="39" s="144" customFormat="1" ht="15" x14ac:dyDescent="0.25"/>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C9B9-F927-460D-9456-C317B62D521F}">
  <sheetPr codeName="Sheet22"/>
  <dimension ref="A1:AD10"/>
  <sheetViews>
    <sheetView workbookViewId="0">
      <selection activeCell="G18" sqref="G18"/>
    </sheetView>
  </sheetViews>
  <sheetFormatPr defaultRowHeight="15" x14ac:dyDescent="0.25"/>
  <cols>
    <col min="1" max="1" width="9" style="120" customWidth="1"/>
    <col min="2" max="2" width="9.140625" style="156" customWidth="1"/>
    <col min="3" max="3" width="17.85546875" bestFit="1" customWidth="1"/>
    <col min="4" max="4" width="22.42578125" bestFit="1" customWidth="1"/>
    <col min="5" max="6" width="22.42578125" customWidth="1"/>
    <col min="7" max="7" width="24.28515625" customWidth="1"/>
    <col min="8" max="8" width="21.140625" customWidth="1"/>
    <col min="9" max="9" width="14.5703125" customWidth="1"/>
    <col min="10" max="10" width="23.140625" customWidth="1"/>
    <col min="11" max="11" width="23" customWidth="1"/>
    <col min="12" max="12" width="25.5703125" customWidth="1"/>
  </cols>
  <sheetData>
    <row r="1" spans="1:30" x14ac:dyDescent="0.25">
      <c r="B1" s="189" t="s">
        <v>245</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c r="AD1" s="189"/>
    </row>
    <row r="2" spans="1:30"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row>
    <row r="3" spans="1:30"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row>
    <row r="4" spans="1:30" s="157" customFormat="1" x14ac:dyDescent="0.25">
      <c r="A4" s="120"/>
      <c r="B4" s="153"/>
    </row>
    <row r="5" spans="1:30" s="157" customFormat="1" x14ac:dyDescent="0.25">
      <c r="A5" s="120"/>
      <c r="B5" s="156"/>
    </row>
    <row r="6" spans="1:30" s="105" customFormat="1" ht="15.75" thickBot="1" x14ac:dyDescent="0.3">
      <c r="A6" s="120"/>
      <c r="B6" s="155"/>
    </row>
    <row r="7" spans="1:30" x14ac:dyDescent="0.25">
      <c r="C7" s="8" t="s">
        <v>221</v>
      </c>
      <c r="D7" s="8" t="s">
        <v>28</v>
      </c>
      <c r="E7" s="8" t="s">
        <v>21</v>
      </c>
      <c r="F7" s="8" t="s">
        <v>223</v>
      </c>
      <c r="G7" s="8" t="s">
        <v>224</v>
      </c>
      <c r="H7" s="8" t="s">
        <v>225</v>
      </c>
      <c r="I7" s="8" t="s">
        <v>208</v>
      </c>
      <c r="J7" s="8" t="s">
        <v>209</v>
      </c>
      <c r="K7" s="8" t="s">
        <v>210</v>
      </c>
    </row>
    <row r="8" spans="1:30" x14ac:dyDescent="0.25">
      <c r="D8" t="s">
        <v>11</v>
      </c>
      <c r="I8" s="4">
        <f>SUMIFS(Tab_Fluxo[Valor Total],Tab_Fluxo[Projeto],Table3[[#This Row],[Projetos]],Tab_Fluxo[Tipo],"Entradas")</f>
        <v>2000</v>
      </c>
      <c r="J8" s="4">
        <f>SUMIFS(Tab_Fluxo[Valor Total],Tab_Fluxo[Projeto],Table3[[#This Row],[Projetos]],Tab_Fluxo[Tipo],"Saídas")</f>
        <v>0</v>
      </c>
      <c r="K8" s="4">
        <f>Table3[[#This Row],[Total Ganho]]-Table3[[#This Row],[Total Gasto]]</f>
        <v>2000</v>
      </c>
    </row>
    <row r="9" spans="1:30" x14ac:dyDescent="0.25">
      <c r="D9" t="s">
        <v>29</v>
      </c>
      <c r="I9" s="4">
        <f>SUMIFS(Tab_Fluxo[Valor Total],Tab_Fluxo[Projeto],Table3[[#This Row],[Projetos]],Tab_Fluxo[Tipo],"Entradas")</f>
        <v>0</v>
      </c>
      <c r="J9" s="4">
        <f>SUMIFS(Tab_Fluxo[Valor Total],Tab_Fluxo[Projeto],Table3[[#This Row],[Projetos]],Tab_Fluxo[Tipo],"Saídas")</f>
        <v>0</v>
      </c>
      <c r="K9" s="4">
        <f>Table3[[#This Row],[Total Ganho]]-Table3[[#This Row],[Total Gasto]]</f>
        <v>0</v>
      </c>
    </row>
    <row r="10" spans="1:30" x14ac:dyDescent="0.25">
      <c r="D10" t="s">
        <v>30</v>
      </c>
      <c r="I10" s="4">
        <f>SUMIFS(Tab_Fluxo[Valor Total],Tab_Fluxo[Projeto],Table3[[#This Row],[Projetos]],Tab_Fluxo[Tipo],"Entradas")</f>
        <v>40</v>
      </c>
      <c r="J10" s="4">
        <f>SUMIFS(Tab_Fluxo[Valor Total],Tab_Fluxo[Projeto],Table3[[#This Row],[Projetos]],Tab_Fluxo[Tipo],"Saídas")</f>
        <v>0</v>
      </c>
      <c r="K10" s="4">
        <f>Table3[[#This Row],[Total Ganho]]-Table3[[#This Row],[Total Gasto]]</f>
        <v>40</v>
      </c>
    </row>
  </sheetData>
  <mergeCells count="1">
    <mergeCell ref="B1:AD3"/>
  </mergeCells>
  <dataValidations count="2">
    <dataValidation type="list" allowBlank="1" showInputMessage="1" showErrorMessage="1" sqref="H8:H10" xr:uid="{870C1645-D4FE-49BC-8436-A10DB1BB6626}">
      <formula1>StatusProjetos</formula1>
    </dataValidation>
    <dataValidation type="list" allowBlank="1" showInputMessage="1" showErrorMessage="1" sqref="E8" xr:uid="{D93C75F2-B4D9-40FD-A966-7E736D869BD4}">
      <formula1>Cliente</formula1>
    </dataValidation>
  </dataValidations>
  <pageMargins left="0.7" right="0.7" top="0.75" bottom="0.75" header="0.3" footer="0.3"/>
  <drawing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884A3-EF30-450B-989A-D60B5D12CC67}">
  <sheetPr codeName="Sheet23"/>
  <dimension ref="A1:AC18"/>
  <sheetViews>
    <sheetView workbookViewId="0">
      <selection activeCell="C14" sqref="C14"/>
    </sheetView>
  </sheetViews>
  <sheetFormatPr defaultRowHeight="15" x14ac:dyDescent="0.25"/>
  <cols>
    <col min="1" max="1" width="9" style="120" customWidth="1"/>
    <col min="2" max="2" width="9.140625" style="156" customWidth="1"/>
    <col min="3" max="3" width="22.42578125" bestFit="1" customWidth="1"/>
    <col min="4" max="4" width="16.28515625" bestFit="1" customWidth="1"/>
    <col min="5" max="5" width="13.28515625" bestFit="1" customWidth="1"/>
    <col min="6" max="6" width="15.85546875" bestFit="1" customWidth="1"/>
    <col min="7" max="7" width="13.28515625" bestFit="1" customWidth="1"/>
    <col min="8" max="8" width="12.140625" bestFit="1" customWidth="1"/>
    <col min="9" max="9" width="13.5703125" bestFit="1" customWidth="1"/>
    <col min="10" max="10" width="13.28515625" bestFit="1" customWidth="1"/>
    <col min="11" max="11" width="12.140625" bestFit="1" customWidth="1"/>
    <col min="12" max="12" width="14" bestFit="1" customWidth="1"/>
    <col min="13" max="13" width="15.7109375" bestFit="1" customWidth="1"/>
    <col min="14" max="14" width="15.5703125" bestFit="1" customWidth="1"/>
    <col min="15" max="15" width="12.42578125" bestFit="1" customWidth="1"/>
    <col min="16" max="16" width="13.28515625" bestFit="1" customWidth="1"/>
    <col min="17" max="17" width="12.140625" bestFit="1" customWidth="1"/>
  </cols>
  <sheetData>
    <row r="1" spans="1:29" x14ac:dyDescent="0.25">
      <c r="B1" s="189" t="s">
        <v>260</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row>
    <row r="2" spans="1:29"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row>
    <row r="3" spans="1:29"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row>
    <row r="4" spans="1:29" s="157" customFormat="1" x14ac:dyDescent="0.25">
      <c r="A4" s="120"/>
      <c r="B4" s="153"/>
    </row>
    <row r="5" spans="1:29" s="157" customFormat="1" x14ac:dyDescent="0.25">
      <c r="A5" s="120"/>
      <c r="B5" s="156"/>
    </row>
    <row r="6" spans="1:29" s="105" customFormat="1" ht="15.75" thickBot="1" x14ac:dyDescent="0.3">
      <c r="A6" s="120"/>
      <c r="B6" s="155"/>
    </row>
    <row r="7" spans="1:29" x14ac:dyDescent="0.25">
      <c r="C7" s="10" t="s">
        <v>76</v>
      </c>
      <c r="D7" s="10" t="s">
        <v>55</v>
      </c>
    </row>
    <row r="8" spans="1:29" x14ac:dyDescent="0.25">
      <c r="D8" t="s">
        <v>8</v>
      </c>
      <c r="E8" t="s">
        <v>7</v>
      </c>
      <c r="F8" t="s">
        <v>54</v>
      </c>
    </row>
    <row r="10" spans="1:29" x14ac:dyDescent="0.25">
      <c r="C10" s="10" t="s">
        <v>52</v>
      </c>
    </row>
    <row r="11" spans="1:29" x14ac:dyDescent="0.25">
      <c r="C11" s="11" t="s">
        <v>11</v>
      </c>
      <c r="D11" s="4">
        <v>2000</v>
      </c>
      <c r="E11" s="4"/>
      <c r="F11" s="4">
        <v>2000</v>
      </c>
    </row>
    <row r="12" spans="1:29" x14ac:dyDescent="0.25">
      <c r="C12" s="11" t="s">
        <v>30</v>
      </c>
      <c r="D12" s="4">
        <v>40</v>
      </c>
      <c r="E12" s="4">
        <v>-300</v>
      </c>
      <c r="F12" s="4">
        <v>-260</v>
      </c>
    </row>
    <row r="13" spans="1:29" x14ac:dyDescent="0.25">
      <c r="C13" s="11" t="s">
        <v>32</v>
      </c>
      <c r="D13" s="4">
        <v>35500</v>
      </c>
      <c r="E13" s="4">
        <v>-6000</v>
      </c>
      <c r="F13" s="4">
        <v>29500</v>
      </c>
    </row>
    <row r="14" spans="1:29" x14ac:dyDescent="0.25">
      <c r="C14" s="11" t="s">
        <v>44</v>
      </c>
      <c r="D14" s="4">
        <v>100</v>
      </c>
      <c r="E14" s="4"/>
      <c r="F14" s="4">
        <v>100</v>
      </c>
    </row>
    <row r="15" spans="1:29" x14ac:dyDescent="0.25">
      <c r="C15" s="11" t="s">
        <v>39</v>
      </c>
      <c r="D15" s="4">
        <v>200</v>
      </c>
      <c r="E15" s="4"/>
      <c r="F15" s="4">
        <v>200</v>
      </c>
    </row>
    <row r="16" spans="1:29" x14ac:dyDescent="0.25">
      <c r="C16" s="11" t="s">
        <v>53</v>
      </c>
      <c r="D16" s="4">
        <v>2889020</v>
      </c>
      <c r="E16" s="4">
        <v>-2690</v>
      </c>
      <c r="F16" s="4">
        <v>2886330</v>
      </c>
    </row>
    <row r="17" spans="3:6" x14ac:dyDescent="0.25">
      <c r="C17" s="11" t="s">
        <v>51</v>
      </c>
      <c r="D17" s="4">
        <v>6800</v>
      </c>
      <c r="E17" s="4">
        <v>-14000</v>
      </c>
      <c r="F17" s="4">
        <v>-7200</v>
      </c>
    </row>
    <row r="18" spans="3:6" x14ac:dyDescent="0.25">
      <c r="C18" s="11" t="s">
        <v>54</v>
      </c>
      <c r="D18" s="4">
        <v>2933660</v>
      </c>
      <c r="E18" s="4">
        <v>-22990</v>
      </c>
      <c r="F18" s="4">
        <v>2910670</v>
      </c>
    </row>
  </sheetData>
  <mergeCells count="1">
    <mergeCell ref="B1:AC3"/>
  </mergeCell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CC73E-5E17-4E5C-A528-C25B82FD0BE3}">
  <sheetPr codeName="Sheet21"/>
  <dimension ref="G1:J39"/>
  <sheetViews>
    <sheetView workbookViewId="0"/>
  </sheetViews>
  <sheetFormatPr defaultRowHeight="0" customHeight="1" zeroHeight="1" x14ac:dyDescent="0.25"/>
  <cols>
    <col min="1" max="6" width="9.140625" style="143" customWidth="1"/>
    <col min="7" max="7" width="22.5703125" style="143" bestFit="1" customWidth="1"/>
    <col min="8" max="9" width="9.140625" style="143" customWidth="1"/>
    <col min="10" max="10" width="26.140625" style="143" bestFit="1" customWidth="1"/>
    <col min="11" max="11" width="2.7109375" style="143" customWidth="1"/>
    <col min="12" max="13" width="9.140625" style="143" customWidth="1"/>
    <col min="14" max="14" width="2.7109375" style="143" customWidth="1"/>
    <col min="15" max="16" width="9.140625" style="143" customWidth="1"/>
    <col min="17" max="17" width="2.5703125" style="143" customWidth="1"/>
    <col min="18" max="24" width="9.140625" style="143" customWidth="1"/>
    <col min="25" max="16384" width="9.140625" style="143"/>
  </cols>
  <sheetData>
    <row r="1" spans="7:10" s="144" customFormat="1" ht="15" x14ac:dyDescent="0.25"/>
    <row r="2" spans="7:10" s="144" customFormat="1" ht="15" x14ac:dyDescent="0.25"/>
    <row r="3" spans="7:10" s="144" customFormat="1" ht="15" x14ac:dyDescent="0.25"/>
    <row r="4" spans="7:10" s="144" customFormat="1" ht="15" x14ac:dyDescent="0.25"/>
    <row r="5" spans="7:10" s="146" customFormat="1" ht="15.75" thickBot="1" x14ac:dyDescent="0.3"/>
    <row r="6" spans="7:10" ht="15" x14ac:dyDescent="0.25"/>
    <row r="7" spans="7:10" ht="15" x14ac:dyDescent="0.25"/>
    <row r="8" spans="7:10" ht="15" x14ac:dyDescent="0.25"/>
    <row r="9" spans="7:10" ht="15" x14ac:dyDescent="0.25"/>
    <row r="10" spans="7:10" ht="15" x14ac:dyDescent="0.25"/>
    <row r="11" spans="7:10" ht="15" x14ac:dyDescent="0.25"/>
    <row r="12" spans="7:10" ht="15" x14ac:dyDescent="0.25"/>
    <row r="13" spans="7:10" ht="15.75" x14ac:dyDescent="0.25">
      <c r="G13" s="131" t="s">
        <v>247</v>
      </c>
      <c r="J13" s="131" t="s">
        <v>268</v>
      </c>
    </row>
    <row r="14" spans="7:10" ht="15" x14ac:dyDescent="0.25"/>
    <row r="15" spans="7:10" ht="15" x14ac:dyDescent="0.25"/>
    <row r="16" spans="7:10" ht="15" x14ac:dyDescent="0.25"/>
    <row r="17" spans="7:10" ht="15.75" x14ac:dyDescent="0.25">
      <c r="G17" s="131" t="s">
        <v>248</v>
      </c>
      <c r="J17" s="131" t="s">
        <v>268</v>
      </c>
    </row>
    <row r="18" spans="7:10" ht="15" x14ac:dyDescent="0.25"/>
    <row r="19" spans="7:10" ht="15" x14ac:dyDescent="0.25"/>
    <row r="20" spans="7:10" ht="15" x14ac:dyDescent="0.25"/>
    <row r="21" spans="7:10" ht="15.75" x14ac:dyDescent="0.25">
      <c r="G21" s="131" t="s">
        <v>299</v>
      </c>
      <c r="J21" s="131" t="s">
        <v>272</v>
      </c>
    </row>
    <row r="22" spans="7:10" ht="15" x14ac:dyDescent="0.25"/>
    <row r="23" spans="7:10" ht="15" x14ac:dyDescent="0.25"/>
    <row r="24" spans="7:10" ht="15" x14ac:dyDescent="0.25"/>
    <row r="25" spans="7:10" ht="15.75" x14ac:dyDescent="0.25">
      <c r="G25" s="131" t="s">
        <v>300</v>
      </c>
    </row>
    <row r="26" spans="7:10" ht="15" x14ac:dyDescent="0.25"/>
    <row r="27" spans="7:10" ht="15" x14ac:dyDescent="0.25"/>
    <row r="28" spans="7:10" ht="15" x14ac:dyDescent="0.25"/>
    <row r="29" spans="7:10" s="145" customFormat="1" ht="15.75" thickBot="1" x14ac:dyDescent="0.3"/>
    <row r="30" spans="7:10" s="144" customFormat="1" ht="15" x14ac:dyDescent="0.25"/>
    <row r="31" spans="7:10" s="144" customFormat="1" ht="15" x14ac:dyDescent="0.25"/>
    <row r="32" spans="7:10" s="144" customFormat="1" ht="15" x14ac:dyDescent="0.25"/>
    <row r="33" s="144" customFormat="1" ht="15" x14ac:dyDescent="0.25"/>
    <row r="34" s="144" customFormat="1" ht="15" x14ac:dyDescent="0.25"/>
    <row r="35" s="144" customFormat="1" ht="15" x14ac:dyDescent="0.25"/>
    <row r="36" s="144" customFormat="1" ht="15" x14ac:dyDescent="0.25"/>
    <row r="37" s="144" customFormat="1" ht="15" x14ac:dyDescent="0.25"/>
    <row r="38" s="144" customFormat="1" ht="15" x14ac:dyDescent="0.25"/>
    <row r="39" s="144" customFormat="1" ht="15" x14ac:dyDescent="0.25"/>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B3DE5-D9C2-47AD-AE0D-3752A078BE12}">
  <sheetPr codeName="Sheet25"/>
  <dimension ref="A1:AC62"/>
  <sheetViews>
    <sheetView showGridLines="0" workbookViewId="0">
      <selection activeCell="O20" sqref="O20"/>
    </sheetView>
  </sheetViews>
  <sheetFormatPr defaultRowHeight="15" x14ac:dyDescent="0.25"/>
  <cols>
    <col min="1" max="1" width="9.140625" style="120"/>
    <col min="2" max="2" width="9.140625" style="156" customWidth="1"/>
    <col min="3" max="3" width="5.42578125" customWidth="1"/>
    <col min="4" max="4" width="23.28515625" style="9" bestFit="1" customWidth="1"/>
    <col min="5" max="5" width="27.5703125" style="9" customWidth="1"/>
    <col min="6" max="6" width="2.42578125" style="9" customWidth="1"/>
    <col min="7" max="8" width="15.7109375" style="9" customWidth="1"/>
    <col min="9" max="9" width="3.7109375" style="9" customWidth="1"/>
    <col min="10" max="14" width="15.7109375" style="9" customWidth="1"/>
    <col min="15" max="15" width="32.7109375" style="9" customWidth="1"/>
    <col min="16" max="16" width="15.7109375" style="9" customWidth="1"/>
    <col min="18" max="18" width="5.140625" customWidth="1"/>
  </cols>
  <sheetData>
    <row r="1" spans="2:29" ht="15" customHeight="1" x14ac:dyDescent="0.25">
      <c r="B1" s="189" t="s">
        <v>174</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row>
    <row r="2" spans="2:29"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row>
    <row r="3" spans="2:29"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row>
    <row r="4" spans="2:29" ht="15.75" thickBot="1" x14ac:dyDescent="0.3">
      <c r="C4" s="12"/>
      <c r="D4" s="13"/>
      <c r="E4" s="13"/>
      <c r="F4" s="13"/>
      <c r="G4" s="13"/>
      <c r="H4" s="13"/>
      <c r="I4" s="13"/>
      <c r="J4" s="13"/>
      <c r="K4" s="13"/>
      <c r="L4" s="13"/>
      <c r="M4" s="13"/>
      <c r="N4" s="13"/>
      <c r="O4" s="13"/>
      <c r="P4" s="13"/>
      <c r="Q4" s="12"/>
      <c r="R4" s="12"/>
      <c r="S4" s="12"/>
      <c r="T4" s="12"/>
      <c r="U4" s="12"/>
      <c r="V4" s="12"/>
      <c r="W4" s="14"/>
      <c r="X4" s="14"/>
      <c r="Y4" s="14"/>
    </row>
    <row r="5" spans="2:29" ht="16.5" thickBot="1" x14ac:dyDescent="0.3">
      <c r="C5" s="12"/>
      <c r="D5" s="108" t="s">
        <v>57</v>
      </c>
      <c r="E5" s="109">
        <f ca="1">YEAR(E6)</f>
        <v>2022</v>
      </c>
      <c r="F5" s="13"/>
      <c r="G5" s="13"/>
      <c r="H5" s="13"/>
      <c r="I5" s="13"/>
      <c r="J5" s="13"/>
      <c r="K5" s="13"/>
      <c r="L5" s="13"/>
      <c r="M5" s="13"/>
      <c r="N5" s="13"/>
      <c r="O5" s="13"/>
      <c r="P5" s="13"/>
      <c r="Q5" s="12"/>
      <c r="R5" s="12"/>
      <c r="S5" s="12"/>
      <c r="T5" s="12"/>
      <c r="U5" s="12"/>
      <c r="V5" s="12"/>
      <c r="W5" s="14"/>
      <c r="X5" s="14"/>
      <c r="Y5" s="14"/>
    </row>
    <row r="6" spans="2:29" ht="16.5" thickBot="1" x14ac:dyDescent="0.3">
      <c r="C6" s="12"/>
      <c r="D6" s="108" t="s">
        <v>2</v>
      </c>
      <c r="E6" s="119">
        <f ca="1">TODAY()</f>
        <v>44718</v>
      </c>
      <c r="F6" s="13"/>
      <c r="G6" s="13"/>
      <c r="H6" s="13"/>
      <c r="I6" s="13"/>
      <c r="J6" s="13"/>
      <c r="K6" s="13"/>
      <c r="L6" s="13"/>
      <c r="M6" s="13"/>
      <c r="N6" s="13"/>
      <c r="O6" s="13"/>
      <c r="P6" s="13"/>
      <c r="Q6" s="12"/>
      <c r="R6" s="12"/>
      <c r="S6" s="12"/>
      <c r="T6" s="12"/>
      <c r="U6" s="12"/>
      <c r="V6" s="12"/>
      <c r="W6" s="14"/>
      <c r="X6" s="14"/>
      <c r="Y6" s="14"/>
    </row>
    <row r="7" spans="2:29" ht="15.75" thickBot="1" x14ac:dyDescent="0.3">
      <c r="B7" s="168"/>
      <c r="C7" s="106"/>
      <c r="D7" s="106"/>
      <c r="E7" s="106"/>
      <c r="F7" s="106"/>
      <c r="G7" s="106"/>
      <c r="H7" s="106"/>
      <c r="I7" s="106"/>
      <c r="J7" s="106"/>
      <c r="K7" s="106"/>
      <c r="L7" s="106"/>
      <c r="M7" s="106"/>
      <c r="N7" s="106"/>
      <c r="O7" s="106"/>
      <c r="P7" s="106"/>
      <c r="Q7" s="106"/>
      <c r="R7" s="106"/>
      <c r="S7" s="106"/>
      <c r="T7" s="106"/>
      <c r="U7" s="106"/>
      <c r="V7" s="12"/>
      <c r="W7" s="14"/>
      <c r="X7" s="14"/>
      <c r="Y7" s="14"/>
    </row>
    <row r="8" spans="2:29" x14ac:dyDescent="0.25">
      <c r="D8"/>
      <c r="E8"/>
      <c r="F8"/>
      <c r="G8"/>
      <c r="H8"/>
      <c r="I8"/>
      <c r="J8"/>
      <c r="K8"/>
      <c r="L8"/>
      <c r="M8"/>
      <c r="N8"/>
      <c r="O8"/>
      <c r="P8"/>
    </row>
    <row r="9" spans="2:29" ht="16.5" thickBot="1" x14ac:dyDescent="0.3">
      <c r="D9" s="113" t="s">
        <v>193</v>
      </c>
      <c r="E9" s="113"/>
      <c r="F9"/>
      <c r="G9" s="113" t="s">
        <v>207</v>
      </c>
      <c r="H9" s="113"/>
      <c r="I9"/>
      <c r="J9" s="113" t="s">
        <v>194</v>
      </c>
      <c r="K9" s="114"/>
      <c r="L9" s="114"/>
      <c r="M9" s="114"/>
      <c r="N9" s="114"/>
      <c r="O9" s="115" t="s">
        <v>14</v>
      </c>
      <c r="P9"/>
    </row>
    <row r="10" spans="2:29" ht="18.75" x14ac:dyDescent="0.3">
      <c r="D10" s="107" t="s">
        <v>172</v>
      </c>
      <c r="E10" s="110">
        <f>'DashAnual Aux'!E14</f>
        <v>0</v>
      </c>
      <c r="F10"/>
      <c r="G10"/>
      <c r="H10"/>
      <c r="I10"/>
      <c r="J10"/>
      <c r="K10"/>
      <c r="L10"/>
      <c r="M10"/>
      <c r="N10"/>
      <c r="O10"/>
      <c r="P10"/>
    </row>
    <row r="11" spans="2:29" ht="18.75" x14ac:dyDescent="0.3">
      <c r="D11" s="107" t="s">
        <v>8</v>
      </c>
      <c r="E11" s="111">
        <f>'DashAnual Aux'!E15</f>
        <v>2040</v>
      </c>
      <c r="F11"/>
      <c r="G11"/>
      <c r="H11"/>
      <c r="I11"/>
      <c r="J11"/>
      <c r="K11"/>
      <c r="L11"/>
      <c r="M11"/>
      <c r="N11"/>
      <c r="P11"/>
    </row>
    <row r="12" spans="2:29" ht="18.75" x14ac:dyDescent="0.3">
      <c r="D12" s="107" t="s">
        <v>7</v>
      </c>
      <c r="E12" s="111">
        <f>'DashAnual Aux'!E16</f>
        <v>300</v>
      </c>
      <c r="F12"/>
      <c r="G12"/>
      <c r="H12"/>
      <c r="I12"/>
      <c r="J12"/>
      <c r="K12"/>
      <c r="L12"/>
      <c r="M12"/>
      <c r="N12"/>
      <c r="O12" s="103" t="s">
        <v>160</v>
      </c>
      <c r="P12"/>
    </row>
    <row r="13" spans="2:29" ht="18.75" x14ac:dyDescent="0.3">
      <c r="D13" s="107" t="s">
        <v>173</v>
      </c>
      <c r="E13" s="112">
        <f>'DashAnual Aux'!E17</f>
        <v>1740</v>
      </c>
      <c r="F13"/>
      <c r="G13"/>
      <c r="H13"/>
      <c r="I13"/>
      <c r="J13"/>
      <c r="K13"/>
      <c r="L13"/>
      <c r="M13"/>
      <c r="N13"/>
      <c r="O13" s="212">
        <f ca="1">SUM('DashAtual Aux'!L11:L22)</f>
        <v>0</v>
      </c>
      <c r="P13"/>
    </row>
    <row r="14" spans="2:29" x14ac:dyDescent="0.25">
      <c r="D14"/>
      <c r="E14"/>
      <c r="F14"/>
      <c r="G14"/>
      <c r="H14"/>
      <c r="I14"/>
      <c r="J14"/>
      <c r="K14"/>
      <c r="L14"/>
      <c r="M14"/>
      <c r="N14"/>
      <c r="O14" s="212"/>
      <c r="P14"/>
    </row>
    <row r="15" spans="2:29" x14ac:dyDescent="0.25">
      <c r="D15"/>
      <c r="E15"/>
      <c r="F15"/>
      <c r="G15"/>
      <c r="H15"/>
      <c r="I15"/>
      <c r="J15"/>
      <c r="K15"/>
      <c r="L15"/>
      <c r="M15"/>
      <c r="N15"/>
      <c r="O15"/>
      <c r="P15"/>
    </row>
    <row r="16" spans="2:29" x14ac:dyDescent="0.25">
      <c r="D16"/>
      <c r="E16"/>
      <c r="F16"/>
      <c r="G16"/>
      <c r="H16"/>
      <c r="I16"/>
      <c r="J16"/>
      <c r="K16"/>
      <c r="L16"/>
      <c r="M16"/>
      <c r="N16"/>
      <c r="O16"/>
      <c r="P16"/>
    </row>
    <row r="17" spans="4:16" x14ac:dyDescent="0.25">
      <c r="D17"/>
      <c r="E17"/>
      <c r="F17"/>
      <c r="G17"/>
      <c r="H17"/>
      <c r="I17"/>
      <c r="J17"/>
      <c r="K17"/>
      <c r="L17"/>
      <c r="M17"/>
      <c r="N17"/>
      <c r="O17"/>
      <c r="P17"/>
    </row>
    <row r="18" spans="4:16" ht="14.25" customHeight="1" thickBot="1" x14ac:dyDescent="0.3">
      <c r="D18" s="113" t="s">
        <v>192</v>
      </c>
      <c r="E18" s="113"/>
      <c r="F18"/>
      <c r="G18"/>
      <c r="H18"/>
      <c r="I18"/>
      <c r="J18"/>
      <c r="K18"/>
      <c r="L18"/>
      <c r="M18"/>
      <c r="N18"/>
      <c r="O18"/>
      <c r="P18"/>
    </row>
    <row r="19" spans="4:16" ht="6.75" customHeight="1" x14ac:dyDescent="0.25">
      <c r="D19"/>
      <c r="E19"/>
      <c r="F19"/>
      <c r="G19"/>
      <c r="H19"/>
      <c r="I19"/>
      <c r="J19"/>
      <c r="K19"/>
      <c r="L19"/>
      <c r="M19"/>
      <c r="N19"/>
      <c r="O19"/>
      <c r="P19"/>
    </row>
    <row r="20" spans="4:16" ht="16.5" thickBot="1" x14ac:dyDescent="0.3">
      <c r="D20"/>
      <c r="E20"/>
      <c r="F20"/>
      <c r="G20"/>
      <c r="H20"/>
      <c r="I20"/>
      <c r="J20" s="113" t="s">
        <v>191</v>
      </c>
      <c r="K20" s="114"/>
      <c r="L20" s="114"/>
      <c r="M20" s="114"/>
      <c r="N20" s="114"/>
      <c r="O20" s="115" t="s">
        <v>20</v>
      </c>
      <c r="P20"/>
    </row>
    <row r="21" spans="4:16" x14ac:dyDescent="0.25">
      <c r="D21"/>
      <c r="E21"/>
      <c r="F21"/>
      <c r="G21"/>
      <c r="H21"/>
      <c r="I21"/>
      <c r="J21"/>
      <c r="K21"/>
      <c r="L21"/>
      <c r="M21"/>
      <c r="N21"/>
      <c r="O21"/>
      <c r="P21"/>
    </row>
    <row r="22" spans="4:16" x14ac:dyDescent="0.25">
      <c r="D22"/>
      <c r="E22"/>
      <c r="F22"/>
      <c r="G22"/>
      <c r="H22"/>
      <c r="I22"/>
      <c r="J22"/>
      <c r="K22"/>
      <c r="L22"/>
      <c r="M22"/>
      <c r="N22"/>
      <c r="P22"/>
    </row>
    <row r="23" spans="4:16" ht="17.25" x14ac:dyDescent="0.3">
      <c r="D23"/>
      <c r="E23"/>
      <c r="F23"/>
      <c r="G23"/>
      <c r="H23"/>
      <c r="I23"/>
      <c r="J23"/>
      <c r="K23"/>
      <c r="L23"/>
      <c r="M23"/>
      <c r="N23"/>
      <c r="O23" s="104" t="s">
        <v>160</v>
      </c>
      <c r="P23"/>
    </row>
    <row r="24" spans="4:16" x14ac:dyDescent="0.25">
      <c r="D24"/>
      <c r="E24"/>
      <c r="F24"/>
      <c r="G24"/>
      <c r="H24"/>
      <c r="I24"/>
      <c r="J24"/>
      <c r="K24"/>
      <c r="L24"/>
      <c r="M24"/>
      <c r="N24"/>
      <c r="O24" s="213">
        <f ca="1">SUM('DashAtual Aux'!J38:J49)</f>
        <v>0</v>
      </c>
      <c r="P24"/>
    </row>
    <row r="25" spans="4:16" x14ac:dyDescent="0.25">
      <c r="D25"/>
      <c r="E25"/>
      <c r="F25"/>
      <c r="G25"/>
      <c r="H25"/>
      <c r="I25"/>
      <c r="J25"/>
      <c r="K25"/>
      <c r="L25"/>
      <c r="M25"/>
      <c r="N25"/>
      <c r="O25" s="213"/>
      <c r="P25"/>
    </row>
    <row r="26" spans="4:16" x14ac:dyDescent="0.25">
      <c r="D26"/>
      <c r="E26"/>
      <c r="F26"/>
      <c r="G26"/>
      <c r="H26"/>
      <c r="I26"/>
      <c r="J26"/>
      <c r="K26"/>
      <c r="L26"/>
      <c r="M26"/>
      <c r="N26"/>
      <c r="O26"/>
      <c r="P26"/>
    </row>
    <row r="27" spans="4:16" x14ac:dyDescent="0.25">
      <c r="D27"/>
      <c r="E27"/>
      <c r="F27"/>
      <c r="G27"/>
      <c r="H27"/>
      <c r="I27"/>
      <c r="J27"/>
      <c r="K27"/>
      <c r="L27"/>
      <c r="M27"/>
      <c r="N27"/>
      <c r="O27"/>
      <c r="P27"/>
    </row>
    <row r="28" spans="4:16" x14ac:dyDescent="0.25">
      <c r="D28"/>
      <c r="E28"/>
      <c r="F28"/>
      <c r="G28"/>
      <c r="H28"/>
      <c r="I28"/>
      <c r="J28"/>
      <c r="K28"/>
      <c r="L28"/>
      <c r="M28"/>
      <c r="N28"/>
      <c r="O28"/>
      <c r="P28"/>
    </row>
    <row r="29" spans="4:16" x14ac:dyDescent="0.25">
      <c r="D29"/>
      <c r="E29"/>
      <c r="F29"/>
      <c r="G29"/>
      <c r="H29"/>
      <c r="I29"/>
      <c r="J29"/>
      <c r="K29"/>
      <c r="L29"/>
      <c r="M29"/>
      <c r="N29"/>
      <c r="O29"/>
      <c r="P29"/>
    </row>
    <row r="30" spans="4:16" x14ac:dyDescent="0.25">
      <c r="D30"/>
      <c r="E30"/>
      <c r="F30"/>
      <c r="G30"/>
      <c r="H30"/>
      <c r="I30"/>
      <c r="J30"/>
      <c r="K30"/>
      <c r="L30"/>
      <c r="M30"/>
      <c r="N30"/>
      <c r="O30"/>
      <c r="P30"/>
    </row>
    <row r="31" spans="4:16" x14ac:dyDescent="0.25">
      <c r="D31"/>
      <c r="E31"/>
      <c r="F31"/>
      <c r="G31"/>
      <c r="H31"/>
      <c r="I31"/>
      <c r="J31"/>
      <c r="K31"/>
      <c r="L31"/>
      <c r="M31"/>
      <c r="N31"/>
      <c r="O31"/>
      <c r="P31"/>
    </row>
    <row r="32" spans="4:16" x14ac:dyDescent="0.25">
      <c r="D32"/>
      <c r="E32"/>
      <c r="F32"/>
      <c r="G32"/>
      <c r="H32"/>
      <c r="I32"/>
      <c r="J32"/>
      <c r="K32"/>
      <c r="L32"/>
      <c r="M32"/>
      <c r="N32"/>
      <c r="O32"/>
      <c r="P32"/>
    </row>
    <row r="33" spans="4:16" x14ac:dyDescent="0.25">
      <c r="D33"/>
      <c r="E33"/>
      <c r="F33"/>
      <c r="G33"/>
      <c r="H33"/>
      <c r="I33"/>
      <c r="J33"/>
      <c r="K33"/>
      <c r="L33"/>
      <c r="M33"/>
      <c r="N33"/>
      <c r="O33"/>
      <c r="P33"/>
    </row>
    <row r="34" spans="4:16" x14ac:dyDescent="0.25">
      <c r="D34"/>
      <c r="E34"/>
      <c r="F34"/>
      <c r="G34"/>
      <c r="H34"/>
      <c r="I34"/>
      <c r="J34"/>
      <c r="K34"/>
      <c r="L34"/>
      <c r="M34"/>
      <c r="N34"/>
      <c r="O34"/>
      <c r="P34"/>
    </row>
    <row r="35" spans="4:16" x14ac:dyDescent="0.25">
      <c r="D35"/>
      <c r="E35"/>
      <c r="F35"/>
      <c r="G35"/>
      <c r="H35"/>
      <c r="I35"/>
      <c r="J35"/>
      <c r="K35"/>
      <c r="L35"/>
      <c r="M35"/>
      <c r="N35"/>
      <c r="O35"/>
      <c r="P35"/>
    </row>
    <row r="36" spans="4:16" x14ac:dyDescent="0.25">
      <c r="D36"/>
      <c r="E36"/>
      <c r="F36"/>
      <c r="G36"/>
      <c r="H36"/>
      <c r="I36"/>
      <c r="J36"/>
      <c r="K36"/>
      <c r="L36"/>
      <c r="M36"/>
      <c r="N36"/>
      <c r="O36"/>
      <c r="P36"/>
    </row>
    <row r="37" spans="4:16" x14ac:dyDescent="0.25">
      <c r="D37"/>
      <c r="E37"/>
      <c r="F37"/>
      <c r="G37"/>
      <c r="H37"/>
      <c r="I37"/>
      <c r="J37"/>
      <c r="K37"/>
      <c r="L37"/>
      <c r="M37"/>
      <c r="N37"/>
      <c r="O37"/>
      <c r="P37"/>
    </row>
    <row r="38" spans="4:16" x14ac:dyDescent="0.25">
      <c r="D38"/>
      <c r="E38"/>
      <c r="F38"/>
      <c r="G38"/>
      <c r="H38"/>
      <c r="I38"/>
      <c r="J38"/>
      <c r="K38"/>
      <c r="L38"/>
      <c r="M38"/>
      <c r="N38"/>
      <c r="O38"/>
      <c r="P38"/>
    </row>
    <row r="39" spans="4:16" x14ac:dyDescent="0.25">
      <c r="D39"/>
      <c r="E39"/>
      <c r="F39"/>
      <c r="G39"/>
      <c r="H39"/>
      <c r="I39"/>
      <c r="J39"/>
      <c r="K39"/>
      <c r="L39"/>
      <c r="M39"/>
      <c r="N39"/>
      <c r="O39"/>
      <c r="P39"/>
    </row>
    <row r="40" spans="4:16" x14ac:dyDescent="0.25">
      <c r="D40"/>
      <c r="E40"/>
      <c r="F40"/>
      <c r="G40"/>
      <c r="H40"/>
      <c r="I40"/>
      <c r="J40"/>
      <c r="K40"/>
      <c r="L40"/>
      <c r="M40"/>
      <c r="N40"/>
      <c r="O40"/>
      <c r="P40"/>
    </row>
    <row r="41" spans="4:16" x14ac:dyDescent="0.25">
      <c r="D41"/>
      <c r="E41"/>
      <c r="F41"/>
      <c r="G41"/>
      <c r="H41"/>
      <c r="I41"/>
      <c r="J41"/>
      <c r="K41"/>
      <c r="L41"/>
      <c r="M41"/>
      <c r="N41"/>
      <c r="O41"/>
      <c r="P41"/>
    </row>
    <row r="42" spans="4:16" x14ac:dyDescent="0.25">
      <c r="D42"/>
      <c r="E42"/>
      <c r="F42"/>
      <c r="G42"/>
      <c r="H42"/>
      <c r="I42"/>
      <c r="J42"/>
      <c r="K42"/>
      <c r="L42"/>
      <c r="M42"/>
      <c r="N42"/>
      <c r="O42"/>
      <c r="P42"/>
    </row>
    <row r="43" spans="4:16" x14ac:dyDescent="0.25">
      <c r="D43"/>
      <c r="E43"/>
      <c r="F43"/>
      <c r="G43"/>
      <c r="H43"/>
      <c r="I43"/>
      <c r="J43"/>
      <c r="K43"/>
      <c r="L43"/>
      <c r="M43"/>
      <c r="N43"/>
      <c r="O43"/>
      <c r="P43"/>
    </row>
    <row r="44" spans="4:16" x14ac:dyDescent="0.25">
      <c r="D44"/>
      <c r="E44"/>
      <c r="F44"/>
      <c r="G44"/>
      <c r="H44"/>
      <c r="I44"/>
      <c r="J44"/>
      <c r="K44"/>
      <c r="L44"/>
      <c r="M44"/>
      <c r="N44"/>
      <c r="O44"/>
      <c r="P44"/>
    </row>
    <row r="45" spans="4:16" x14ac:dyDescent="0.25">
      <c r="D45"/>
      <c r="E45"/>
      <c r="F45"/>
      <c r="G45"/>
      <c r="H45"/>
      <c r="I45"/>
      <c r="J45"/>
      <c r="K45"/>
      <c r="L45"/>
      <c r="M45"/>
      <c r="N45"/>
      <c r="O45"/>
      <c r="P45"/>
    </row>
    <row r="46" spans="4:16" x14ac:dyDescent="0.25">
      <c r="D46"/>
      <c r="E46"/>
      <c r="F46"/>
      <c r="G46"/>
      <c r="H46"/>
      <c r="I46"/>
      <c r="J46"/>
      <c r="K46"/>
      <c r="L46"/>
      <c r="M46"/>
      <c r="N46"/>
      <c r="O46"/>
      <c r="P46"/>
    </row>
    <row r="47" spans="4:16" x14ac:dyDescent="0.25">
      <c r="D47"/>
      <c r="E47"/>
      <c r="F47"/>
      <c r="G47"/>
      <c r="H47"/>
      <c r="I47"/>
      <c r="J47"/>
      <c r="K47"/>
      <c r="L47"/>
      <c r="M47"/>
      <c r="N47"/>
      <c r="O47"/>
      <c r="P47"/>
    </row>
    <row r="48" spans="4:16" x14ac:dyDescent="0.25">
      <c r="D48"/>
      <c r="E48"/>
      <c r="F48"/>
      <c r="G48"/>
      <c r="H48"/>
      <c r="I48"/>
      <c r="J48"/>
      <c r="K48"/>
      <c r="L48"/>
      <c r="M48"/>
      <c r="N48"/>
      <c r="O48"/>
      <c r="P48"/>
    </row>
    <row r="49" spans="4:16" x14ac:dyDescent="0.25">
      <c r="D49"/>
      <c r="E49"/>
      <c r="F49"/>
      <c r="G49"/>
      <c r="H49"/>
      <c r="I49"/>
      <c r="J49"/>
      <c r="K49"/>
      <c r="L49"/>
      <c r="M49"/>
      <c r="N49"/>
      <c r="O49"/>
      <c r="P49"/>
    </row>
    <row r="50" spans="4:16" x14ac:dyDescent="0.25">
      <c r="D50"/>
      <c r="E50"/>
      <c r="F50"/>
      <c r="G50"/>
      <c r="H50"/>
      <c r="I50"/>
      <c r="J50"/>
      <c r="K50"/>
      <c r="L50"/>
      <c r="M50"/>
      <c r="N50"/>
      <c r="O50"/>
      <c r="P50"/>
    </row>
    <row r="58" spans="4:16" x14ac:dyDescent="0.25">
      <c r="H58" s="9">
        <v>5</v>
      </c>
      <c r="I58" s="9">
        <v>4</v>
      </c>
    </row>
    <row r="60" spans="4:16" x14ac:dyDescent="0.25">
      <c r="H60" s="9">
        <v>5</v>
      </c>
      <c r="I60" s="9">
        <v>4</v>
      </c>
      <c r="J60" s="9">
        <v>3</v>
      </c>
    </row>
    <row r="62" spans="4:16" x14ac:dyDescent="0.25">
      <c r="H62" s="9" t="str">
        <f>IF(AND(H60=H58,I60=I58),"Correto","Falso")</f>
        <v>Correto</v>
      </c>
    </row>
  </sheetData>
  <mergeCells count="3">
    <mergeCell ref="B1:AC3"/>
    <mergeCell ref="O13:O14"/>
    <mergeCell ref="O24:O25"/>
  </mergeCells>
  <dataValidations count="2">
    <dataValidation type="list" allowBlank="1" showInputMessage="1" showErrorMessage="1" sqref="O9" xr:uid="{0677C73D-B9A4-4A44-8FB1-CB5474AF0D2C}">
      <formula1>Entradas_Dash</formula1>
    </dataValidation>
    <dataValidation type="list" allowBlank="1" showInputMessage="1" showErrorMessage="1" sqref="O20" xr:uid="{DBBFDF1C-A46C-497B-8B06-4B3270403710}">
      <formula1>Saídas_Dash</formula1>
    </dataValidation>
  </dataValidation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6DAAC-5780-4AB1-9587-D5CB417BED74}">
  <sheetPr codeName="Sheet26"/>
  <dimension ref="A1:AF61"/>
  <sheetViews>
    <sheetView showGridLines="0" workbookViewId="0"/>
  </sheetViews>
  <sheetFormatPr defaultRowHeight="15" x14ac:dyDescent="0.25"/>
  <cols>
    <col min="1" max="1" width="9.140625" style="120"/>
    <col min="2" max="2" width="9.140625" style="156" customWidth="1"/>
    <col min="3" max="3" width="5.42578125" customWidth="1"/>
    <col min="4" max="4" width="23.28515625" style="9" bestFit="1" customWidth="1"/>
    <col min="5" max="5" width="26.5703125" style="9" customWidth="1"/>
    <col min="6" max="6" width="2.28515625" style="9" customWidth="1"/>
    <col min="7" max="7" width="15.7109375" style="9" customWidth="1"/>
    <col min="8" max="8" width="17" style="9" customWidth="1"/>
    <col min="9" max="9" width="3.7109375" style="9" customWidth="1"/>
    <col min="10" max="14" width="15.7109375" style="9" customWidth="1"/>
    <col min="15" max="15" width="31.28515625" style="9" customWidth="1"/>
    <col min="16" max="16" width="7.7109375" style="9" customWidth="1"/>
    <col min="17" max="17" width="15.7109375" style="9" customWidth="1"/>
    <col min="18" max="18" width="17" style="9" customWidth="1"/>
    <col min="19" max="19" width="15.7109375" style="9" customWidth="1"/>
    <col min="21" max="21" width="5.140625" customWidth="1"/>
  </cols>
  <sheetData>
    <row r="1" spans="2:32" x14ac:dyDescent="0.25">
      <c r="B1" s="189" t="s">
        <v>169</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c r="AD1" s="189"/>
      <c r="AE1" s="189"/>
      <c r="AF1" s="189"/>
    </row>
    <row r="2" spans="2:32"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row>
    <row r="3" spans="2:32"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c r="AF3" s="190"/>
    </row>
    <row r="4" spans="2:32" ht="15.75" thickBot="1" x14ac:dyDescent="0.3">
      <c r="C4" s="12"/>
      <c r="D4" s="13"/>
      <c r="E4" s="13"/>
      <c r="F4" s="13"/>
      <c r="G4" s="13"/>
      <c r="H4" s="13"/>
      <c r="I4" s="13"/>
      <c r="J4" s="13"/>
      <c r="K4" s="13"/>
      <c r="L4" s="13"/>
      <c r="M4" s="13"/>
      <c r="N4" s="13"/>
      <c r="O4" s="13"/>
      <c r="P4" s="13"/>
      <c r="Q4" s="13"/>
      <c r="R4" s="13"/>
      <c r="S4" s="13"/>
      <c r="T4" s="12"/>
      <c r="U4" s="12"/>
      <c r="V4" s="12"/>
      <c r="W4" s="12"/>
      <c r="X4" s="12"/>
      <c r="Y4" s="12"/>
      <c r="Z4" s="14"/>
      <c r="AA4" s="14"/>
      <c r="AB4" s="14"/>
    </row>
    <row r="5" spans="2:32" ht="16.5" thickBot="1" x14ac:dyDescent="0.3">
      <c r="C5" s="12"/>
      <c r="D5" s="108" t="s">
        <v>57</v>
      </c>
      <c r="E5" s="109">
        <v>2022</v>
      </c>
      <c r="F5" s="13"/>
      <c r="G5" s="13"/>
      <c r="H5" s="13"/>
      <c r="I5" s="13"/>
      <c r="J5" s="13"/>
      <c r="K5" s="13"/>
      <c r="L5" s="13"/>
      <c r="M5" s="13"/>
      <c r="N5" s="13"/>
      <c r="O5" s="13"/>
      <c r="P5" s="13"/>
      <c r="Q5" s="13"/>
      <c r="R5" s="13"/>
      <c r="S5" s="13"/>
      <c r="T5" s="12"/>
      <c r="U5" s="12"/>
      <c r="V5" s="12"/>
      <c r="W5" s="12"/>
      <c r="X5" s="12"/>
      <c r="Y5" s="12"/>
      <c r="Z5" s="14"/>
      <c r="AA5" s="14"/>
      <c r="AB5" s="14"/>
    </row>
    <row r="6" spans="2:32" x14ac:dyDescent="0.25">
      <c r="C6" s="12"/>
      <c r="D6" s="13"/>
      <c r="E6" s="13"/>
      <c r="F6" s="13"/>
      <c r="G6" s="13"/>
      <c r="H6" s="13"/>
      <c r="I6" s="13"/>
      <c r="J6" s="13"/>
      <c r="K6" s="13"/>
      <c r="L6" s="13"/>
      <c r="M6" s="13"/>
      <c r="N6" s="13"/>
      <c r="O6" s="13"/>
      <c r="P6" s="13"/>
      <c r="Q6" s="13"/>
      <c r="R6" s="13"/>
      <c r="S6" s="13"/>
      <c r="T6" s="12"/>
      <c r="U6" s="12"/>
      <c r="V6" s="12"/>
      <c r="W6" s="12"/>
      <c r="X6" s="12"/>
      <c r="Y6" s="12"/>
      <c r="Z6" s="14"/>
      <c r="AA6" s="14"/>
      <c r="AB6" s="14"/>
    </row>
    <row r="7" spans="2:32" ht="15.75" thickBot="1" x14ac:dyDescent="0.3">
      <c r="B7" s="155"/>
      <c r="C7" s="105"/>
      <c r="D7" s="106"/>
      <c r="E7" s="106"/>
      <c r="F7" s="106"/>
      <c r="G7" s="106"/>
      <c r="H7" s="106"/>
      <c r="I7" s="106"/>
      <c r="J7" s="106"/>
      <c r="K7" s="106"/>
      <c r="L7" s="106"/>
      <c r="M7" s="106"/>
      <c r="N7" s="106"/>
      <c r="O7" s="106"/>
      <c r="P7" s="106"/>
      <c r="Q7" s="106"/>
      <c r="R7" s="13"/>
      <c r="S7" s="13"/>
      <c r="T7" s="12"/>
      <c r="U7" s="12"/>
      <c r="V7" s="12"/>
      <c r="W7" s="12"/>
      <c r="X7" s="12"/>
      <c r="Y7" s="12"/>
      <c r="Z7" s="14"/>
      <c r="AA7" s="14"/>
      <c r="AB7" s="14"/>
    </row>
    <row r="8" spans="2:32" x14ac:dyDescent="0.25">
      <c r="D8"/>
      <c r="E8"/>
      <c r="F8"/>
      <c r="G8"/>
      <c r="H8"/>
      <c r="I8"/>
      <c r="J8"/>
      <c r="K8"/>
      <c r="L8"/>
      <c r="M8"/>
      <c r="N8"/>
      <c r="O8"/>
      <c r="P8"/>
      <c r="Q8"/>
      <c r="R8"/>
      <c r="S8"/>
    </row>
    <row r="9" spans="2:32" ht="16.5" thickBot="1" x14ac:dyDescent="0.3">
      <c r="D9" s="113" t="s">
        <v>193</v>
      </c>
      <c r="E9" s="113"/>
      <c r="F9"/>
      <c r="G9" s="113" t="s">
        <v>207</v>
      </c>
      <c r="H9" s="113"/>
      <c r="I9"/>
      <c r="J9" s="113" t="s">
        <v>190</v>
      </c>
      <c r="K9" s="114"/>
      <c r="L9" s="114"/>
      <c r="M9" s="114"/>
      <c r="N9" s="114"/>
      <c r="O9" s="115" t="s">
        <v>282</v>
      </c>
      <c r="P9"/>
      <c r="Q9" s="101"/>
      <c r="R9" s="101"/>
      <c r="S9"/>
    </row>
    <row r="10" spans="2:32" ht="18.75" x14ac:dyDescent="0.3">
      <c r="D10" s="107" t="s">
        <v>172</v>
      </c>
      <c r="E10" s="110">
        <f>'DashAnual Aux'!E14</f>
        <v>0</v>
      </c>
      <c r="F10"/>
      <c r="G10"/>
      <c r="H10"/>
      <c r="I10"/>
      <c r="J10"/>
      <c r="K10"/>
      <c r="L10"/>
      <c r="M10"/>
      <c r="N10"/>
      <c r="O10"/>
      <c r="P10"/>
      <c r="Q10" s="101"/>
      <c r="R10" s="101"/>
      <c r="S10"/>
    </row>
    <row r="11" spans="2:32" ht="18.75" x14ac:dyDescent="0.3">
      <c r="D11" s="107" t="s">
        <v>8</v>
      </c>
      <c r="E11" s="111">
        <f>'DashAnual Aux'!E15</f>
        <v>2040</v>
      </c>
      <c r="F11"/>
      <c r="G11"/>
      <c r="H11"/>
      <c r="I11"/>
      <c r="J11"/>
      <c r="K11"/>
      <c r="L11"/>
      <c r="M11"/>
      <c r="N11"/>
      <c r="P11"/>
      <c r="Q11"/>
      <c r="R11"/>
      <c r="S11"/>
    </row>
    <row r="12" spans="2:32" ht="18.75" x14ac:dyDescent="0.3">
      <c r="D12" s="107" t="s">
        <v>7</v>
      </c>
      <c r="E12" s="111">
        <f>'DashAnual Aux'!E16</f>
        <v>300</v>
      </c>
      <c r="F12"/>
      <c r="G12"/>
      <c r="H12"/>
      <c r="I12"/>
      <c r="J12"/>
      <c r="K12"/>
      <c r="L12"/>
      <c r="M12"/>
      <c r="N12"/>
      <c r="O12" s="103" t="s">
        <v>160</v>
      </c>
      <c r="P12"/>
      <c r="Q12"/>
      <c r="R12"/>
      <c r="S12"/>
    </row>
    <row r="13" spans="2:32" ht="18.75" x14ac:dyDescent="0.3">
      <c r="D13" s="107" t="s">
        <v>173</v>
      </c>
      <c r="E13" s="112">
        <f>'DashAnual Aux'!E17</f>
        <v>1740</v>
      </c>
      <c r="F13"/>
      <c r="G13"/>
      <c r="H13"/>
      <c r="I13"/>
      <c r="J13"/>
      <c r="K13"/>
      <c r="L13"/>
      <c r="M13"/>
      <c r="N13"/>
      <c r="O13" s="212">
        <f>SUM('DashAnual Aux'!L11:L22)</f>
        <v>2040</v>
      </c>
      <c r="P13"/>
      <c r="Q13"/>
      <c r="R13"/>
      <c r="S13"/>
    </row>
    <row r="14" spans="2:32" x14ac:dyDescent="0.25">
      <c r="F14"/>
      <c r="G14"/>
      <c r="H14"/>
      <c r="I14"/>
      <c r="J14"/>
      <c r="K14"/>
      <c r="L14"/>
      <c r="M14"/>
      <c r="N14"/>
      <c r="O14" s="212"/>
      <c r="P14"/>
      <c r="Q14"/>
      <c r="R14"/>
      <c r="S14"/>
    </row>
    <row r="15" spans="2:32" x14ac:dyDescent="0.25">
      <c r="D15"/>
      <c r="E15"/>
      <c r="F15"/>
      <c r="G15"/>
      <c r="H15"/>
      <c r="I15"/>
      <c r="J15"/>
      <c r="K15"/>
      <c r="L15"/>
      <c r="M15"/>
      <c r="N15"/>
      <c r="O15" s="102"/>
      <c r="P15"/>
      <c r="Q15"/>
      <c r="R15"/>
      <c r="S15"/>
    </row>
    <row r="16" spans="2:32" x14ac:dyDescent="0.25">
      <c r="D16"/>
      <c r="E16"/>
      <c r="F16"/>
      <c r="G16"/>
      <c r="H16"/>
      <c r="I16"/>
      <c r="J16"/>
      <c r="K16"/>
      <c r="L16"/>
      <c r="M16"/>
      <c r="N16"/>
      <c r="O16" s="102"/>
      <c r="P16"/>
      <c r="Q16"/>
      <c r="R16"/>
      <c r="S16"/>
    </row>
    <row r="17" spans="4:19" x14ac:dyDescent="0.25">
      <c r="D17"/>
      <c r="E17"/>
      <c r="F17"/>
      <c r="G17"/>
      <c r="H17"/>
      <c r="I17"/>
      <c r="J17"/>
      <c r="K17"/>
      <c r="L17"/>
      <c r="M17"/>
      <c r="N17"/>
      <c r="O17"/>
      <c r="P17"/>
      <c r="Q17"/>
      <c r="R17"/>
      <c r="S17"/>
    </row>
    <row r="18" spans="4:19" ht="16.5" thickBot="1" x14ac:dyDescent="0.3">
      <c r="D18" s="113" t="s">
        <v>192</v>
      </c>
      <c r="E18" s="113"/>
      <c r="F18"/>
      <c r="G18"/>
      <c r="H18"/>
      <c r="I18"/>
      <c r="J18"/>
      <c r="K18"/>
      <c r="L18"/>
      <c r="M18"/>
      <c r="N18"/>
      <c r="O18"/>
      <c r="P18"/>
      <c r="Q18"/>
      <c r="R18"/>
      <c r="S18"/>
    </row>
    <row r="19" spans="4:19" ht="6" customHeight="1" x14ac:dyDescent="0.25">
      <c r="D19"/>
      <c r="E19"/>
      <c r="F19"/>
      <c r="G19"/>
      <c r="H19"/>
      <c r="I19"/>
      <c r="J19"/>
      <c r="K19"/>
      <c r="L19"/>
      <c r="M19"/>
      <c r="N19"/>
      <c r="O19"/>
      <c r="P19"/>
      <c r="Q19"/>
      <c r="R19"/>
      <c r="S19"/>
    </row>
    <row r="20" spans="4:19" ht="16.5" thickBot="1" x14ac:dyDescent="0.3">
      <c r="D20"/>
      <c r="E20"/>
      <c r="F20"/>
      <c r="G20"/>
      <c r="H20"/>
      <c r="I20"/>
      <c r="J20" s="113" t="s">
        <v>191</v>
      </c>
      <c r="K20" s="114"/>
      <c r="L20" s="114"/>
      <c r="M20" s="114"/>
      <c r="N20" s="114"/>
      <c r="O20" s="115" t="s">
        <v>189</v>
      </c>
      <c r="P20"/>
      <c r="Q20"/>
      <c r="R20"/>
      <c r="S20"/>
    </row>
    <row r="21" spans="4:19" x14ac:dyDescent="0.25">
      <c r="D21"/>
      <c r="E21"/>
      <c r="F21"/>
      <c r="G21"/>
      <c r="H21"/>
      <c r="I21"/>
      <c r="J21"/>
      <c r="K21"/>
      <c r="L21"/>
      <c r="M21"/>
      <c r="N21"/>
      <c r="O21"/>
      <c r="P21"/>
      <c r="Q21"/>
      <c r="R21"/>
      <c r="S21"/>
    </row>
    <row r="22" spans="4:19" x14ac:dyDescent="0.25">
      <c r="D22"/>
      <c r="E22"/>
      <c r="F22"/>
      <c r="G22"/>
      <c r="H22"/>
      <c r="I22"/>
      <c r="J22"/>
      <c r="K22"/>
      <c r="L22"/>
      <c r="M22"/>
      <c r="N22"/>
      <c r="P22"/>
      <c r="Q22"/>
      <c r="R22"/>
      <c r="S22"/>
    </row>
    <row r="23" spans="4:19" x14ac:dyDescent="0.25">
      <c r="D23"/>
      <c r="E23"/>
      <c r="F23"/>
      <c r="G23"/>
      <c r="H23"/>
      <c r="I23"/>
      <c r="J23"/>
      <c r="K23"/>
      <c r="L23"/>
      <c r="M23"/>
      <c r="N23"/>
      <c r="P23"/>
      <c r="Q23"/>
      <c r="R23"/>
      <c r="S23"/>
    </row>
    <row r="24" spans="4:19" ht="17.25" x14ac:dyDescent="0.3">
      <c r="D24"/>
      <c r="E24"/>
      <c r="F24"/>
      <c r="G24"/>
      <c r="H24"/>
      <c r="I24"/>
      <c r="J24"/>
      <c r="K24"/>
      <c r="L24"/>
      <c r="M24"/>
      <c r="N24"/>
      <c r="O24" s="104" t="s">
        <v>160</v>
      </c>
      <c r="P24"/>
      <c r="Q24"/>
      <c r="R24"/>
      <c r="S24"/>
    </row>
    <row r="25" spans="4:19" x14ac:dyDescent="0.25">
      <c r="D25"/>
      <c r="E25"/>
      <c r="F25"/>
      <c r="G25"/>
      <c r="H25"/>
      <c r="I25"/>
      <c r="J25"/>
      <c r="K25"/>
      <c r="L25"/>
      <c r="M25"/>
      <c r="N25"/>
      <c r="O25" s="213">
        <f>SUM('DashAnual Aux'!J38:J49)</f>
        <v>300</v>
      </c>
      <c r="P25"/>
      <c r="Q25"/>
      <c r="R25"/>
      <c r="S25"/>
    </row>
    <row r="26" spans="4:19" x14ac:dyDescent="0.25">
      <c r="D26"/>
      <c r="E26"/>
      <c r="F26"/>
      <c r="G26"/>
      <c r="H26"/>
      <c r="I26"/>
      <c r="J26"/>
      <c r="K26"/>
      <c r="L26"/>
      <c r="M26"/>
      <c r="N26"/>
      <c r="O26" s="213"/>
      <c r="P26"/>
      <c r="Q26"/>
      <c r="R26"/>
      <c r="S26"/>
    </row>
    <row r="27" spans="4:19" x14ac:dyDescent="0.25">
      <c r="D27"/>
      <c r="E27"/>
      <c r="F27"/>
      <c r="G27"/>
      <c r="H27"/>
      <c r="I27"/>
      <c r="J27"/>
      <c r="K27"/>
      <c r="L27"/>
      <c r="M27"/>
      <c r="N27"/>
      <c r="O27"/>
      <c r="P27"/>
      <c r="Q27"/>
      <c r="R27"/>
      <c r="S27"/>
    </row>
    <row r="28" spans="4:19" x14ac:dyDescent="0.25">
      <c r="D28"/>
      <c r="E28"/>
      <c r="F28"/>
      <c r="G28"/>
      <c r="H28"/>
      <c r="I28"/>
      <c r="J28"/>
      <c r="K28"/>
      <c r="L28"/>
      <c r="M28"/>
      <c r="N28"/>
      <c r="O28"/>
      <c r="P28"/>
      <c r="Q28"/>
      <c r="R28"/>
      <c r="S28"/>
    </row>
    <row r="29" spans="4:19" x14ac:dyDescent="0.25">
      <c r="D29"/>
      <c r="E29"/>
      <c r="F29"/>
      <c r="G29"/>
      <c r="H29"/>
      <c r="I29"/>
      <c r="J29"/>
      <c r="K29"/>
      <c r="L29"/>
      <c r="M29"/>
      <c r="N29"/>
      <c r="O29"/>
      <c r="P29"/>
      <c r="Q29"/>
      <c r="R29"/>
      <c r="S29"/>
    </row>
    <row r="30" spans="4:19" x14ac:dyDescent="0.25">
      <c r="D30"/>
      <c r="E30"/>
      <c r="F30"/>
      <c r="G30"/>
      <c r="H30"/>
      <c r="I30"/>
      <c r="J30"/>
      <c r="K30"/>
      <c r="L30"/>
      <c r="M30"/>
      <c r="N30"/>
      <c r="O30"/>
      <c r="P30"/>
      <c r="Q30"/>
      <c r="R30"/>
      <c r="S30"/>
    </row>
    <row r="31" spans="4:19" x14ac:dyDescent="0.25">
      <c r="D31"/>
      <c r="E31"/>
      <c r="F31"/>
      <c r="G31"/>
      <c r="H31"/>
      <c r="I31"/>
      <c r="J31"/>
      <c r="K31"/>
      <c r="L31"/>
      <c r="M31"/>
      <c r="N31"/>
      <c r="O31"/>
      <c r="P31"/>
      <c r="Q31"/>
      <c r="R31"/>
      <c r="S31"/>
    </row>
    <row r="32" spans="4:19" x14ac:dyDescent="0.25">
      <c r="D32"/>
      <c r="E32"/>
      <c r="F32"/>
      <c r="G32"/>
      <c r="H32"/>
      <c r="I32"/>
      <c r="J32"/>
      <c r="K32"/>
      <c r="L32"/>
      <c r="M32"/>
      <c r="N32"/>
      <c r="O32"/>
      <c r="P32"/>
      <c r="Q32"/>
      <c r="R32"/>
      <c r="S32"/>
    </row>
    <row r="33" spans="4:19" x14ac:dyDescent="0.25">
      <c r="D33"/>
      <c r="E33"/>
      <c r="F33"/>
      <c r="G33"/>
      <c r="H33"/>
      <c r="I33"/>
      <c r="J33"/>
      <c r="K33"/>
      <c r="L33"/>
      <c r="M33"/>
      <c r="N33"/>
      <c r="O33"/>
      <c r="P33"/>
      <c r="Q33"/>
      <c r="R33"/>
      <c r="S33"/>
    </row>
    <row r="34" spans="4:19" x14ac:dyDescent="0.25">
      <c r="D34"/>
      <c r="E34"/>
      <c r="F34"/>
      <c r="G34"/>
      <c r="H34"/>
      <c r="I34"/>
      <c r="J34"/>
      <c r="K34"/>
      <c r="L34"/>
      <c r="M34"/>
      <c r="N34"/>
      <c r="O34"/>
      <c r="P34"/>
      <c r="Q34"/>
      <c r="R34"/>
      <c r="S34"/>
    </row>
    <row r="35" spans="4:19" x14ac:dyDescent="0.25">
      <c r="D35"/>
      <c r="E35"/>
      <c r="F35"/>
      <c r="G35"/>
      <c r="H35"/>
      <c r="I35"/>
      <c r="J35"/>
      <c r="K35"/>
      <c r="L35"/>
      <c r="M35"/>
      <c r="N35"/>
      <c r="O35"/>
      <c r="P35"/>
      <c r="Q35"/>
      <c r="R35"/>
      <c r="S35"/>
    </row>
    <row r="36" spans="4:19" x14ac:dyDescent="0.25">
      <c r="D36"/>
      <c r="E36"/>
      <c r="F36"/>
      <c r="G36"/>
      <c r="H36"/>
      <c r="I36"/>
      <c r="J36"/>
      <c r="K36"/>
      <c r="L36"/>
      <c r="M36"/>
      <c r="N36"/>
      <c r="O36"/>
      <c r="P36"/>
      <c r="Q36"/>
      <c r="R36"/>
      <c r="S36"/>
    </row>
    <row r="37" spans="4:19" x14ac:dyDescent="0.25">
      <c r="D37"/>
      <c r="E37"/>
      <c r="F37"/>
      <c r="G37"/>
      <c r="H37"/>
      <c r="I37"/>
      <c r="J37"/>
      <c r="K37"/>
      <c r="L37"/>
      <c r="M37"/>
      <c r="N37"/>
      <c r="O37"/>
      <c r="P37"/>
      <c r="Q37"/>
      <c r="R37"/>
      <c r="S37"/>
    </row>
    <row r="38" spans="4:19" x14ac:dyDescent="0.25">
      <c r="D38"/>
      <c r="E38"/>
      <c r="F38"/>
      <c r="G38"/>
      <c r="H38"/>
      <c r="I38"/>
      <c r="J38"/>
      <c r="K38"/>
      <c r="L38"/>
      <c r="M38"/>
      <c r="N38"/>
      <c r="O38"/>
      <c r="P38"/>
      <c r="Q38"/>
      <c r="R38"/>
      <c r="S38"/>
    </row>
    <row r="39" spans="4:19" x14ac:dyDescent="0.25">
      <c r="D39"/>
      <c r="E39"/>
      <c r="F39"/>
      <c r="G39"/>
      <c r="H39"/>
      <c r="I39"/>
      <c r="J39"/>
      <c r="K39"/>
      <c r="L39"/>
      <c r="M39"/>
      <c r="N39"/>
      <c r="O39"/>
      <c r="P39"/>
      <c r="Q39"/>
      <c r="R39"/>
      <c r="S39"/>
    </row>
    <row r="40" spans="4:19" x14ac:dyDescent="0.25">
      <c r="D40"/>
      <c r="E40"/>
      <c r="F40"/>
      <c r="G40"/>
      <c r="H40"/>
      <c r="I40"/>
      <c r="J40"/>
      <c r="K40"/>
      <c r="L40"/>
      <c r="M40"/>
      <c r="N40"/>
      <c r="O40"/>
      <c r="P40"/>
      <c r="Q40"/>
      <c r="R40"/>
      <c r="S40"/>
    </row>
    <row r="41" spans="4:19" x14ac:dyDescent="0.25">
      <c r="D41"/>
      <c r="E41"/>
      <c r="F41"/>
      <c r="G41"/>
      <c r="H41"/>
      <c r="I41"/>
      <c r="J41"/>
      <c r="K41"/>
      <c r="L41"/>
      <c r="M41"/>
      <c r="N41"/>
      <c r="O41"/>
      <c r="P41"/>
      <c r="Q41"/>
      <c r="R41"/>
      <c r="S41"/>
    </row>
    <row r="42" spans="4:19" x14ac:dyDescent="0.25">
      <c r="D42"/>
      <c r="E42"/>
      <c r="F42"/>
      <c r="G42"/>
      <c r="H42"/>
      <c r="I42"/>
      <c r="J42"/>
      <c r="K42"/>
      <c r="L42"/>
      <c r="M42"/>
      <c r="N42"/>
      <c r="O42"/>
      <c r="P42"/>
      <c r="Q42"/>
      <c r="R42"/>
      <c r="S42"/>
    </row>
    <row r="43" spans="4:19" x14ac:dyDescent="0.25">
      <c r="D43"/>
      <c r="E43"/>
      <c r="F43"/>
      <c r="G43"/>
      <c r="H43"/>
      <c r="I43"/>
      <c r="J43"/>
      <c r="K43"/>
      <c r="L43"/>
      <c r="M43"/>
      <c r="N43"/>
      <c r="O43"/>
      <c r="P43"/>
      <c r="Q43"/>
      <c r="R43"/>
      <c r="S43"/>
    </row>
    <row r="44" spans="4:19" x14ac:dyDescent="0.25">
      <c r="D44"/>
      <c r="E44"/>
      <c r="F44"/>
      <c r="G44"/>
      <c r="H44"/>
      <c r="I44"/>
      <c r="J44"/>
      <c r="K44"/>
      <c r="L44"/>
      <c r="M44"/>
      <c r="N44"/>
      <c r="O44"/>
      <c r="P44"/>
      <c r="Q44"/>
      <c r="R44"/>
      <c r="S44"/>
    </row>
    <row r="45" spans="4:19" x14ac:dyDescent="0.25">
      <c r="D45"/>
      <c r="E45"/>
      <c r="F45"/>
      <c r="G45"/>
      <c r="H45"/>
      <c r="I45"/>
      <c r="J45"/>
      <c r="K45"/>
      <c r="L45"/>
      <c r="M45"/>
      <c r="N45"/>
      <c r="O45"/>
      <c r="P45"/>
      <c r="Q45"/>
      <c r="R45"/>
      <c r="S45"/>
    </row>
    <row r="46" spans="4:19" x14ac:dyDescent="0.25">
      <c r="D46"/>
      <c r="E46"/>
      <c r="F46"/>
      <c r="G46"/>
      <c r="H46"/>
      <c r="I46"/>
      <c r="J46"/>
      <c r="K46"/>
      <c r="L46"/>
      <c r="M46"/>
      <c r="N46"/>
      <c r="O46"/>
      <c r="P46"/>
      <c r="Q46"/>
      <c r="R46"/>
      <c r="S46"/>
    </row>
    <row r="47" spans="4:19" x14ac:dyDescent="0.25">
      <c r="D47"/>
      <c r="E47"/>
      <c r="F47"/>
      <c r="G47"/>
      <c r="H47"/>
      <c r="I47"/>
      <c r="J47"/>
      <c r="K47"/>
      <c r="L47"/>
      <c r="M47"/>
      <c r="N47"/>
      <c r="O47"/>
      <c r="P47"/>
      <c r="Q47"/>
      <c r="R47"/>
      <c r="S47"/>
    </row>
    <row r="48" spans="4:19" x14ac:dyDescent="0.25">
      <c r="D48"/>
      <c r="E48"/>
      <c r="F48"/>
      <c r="G48"/>
      <c r="H48"/>
      <c r="I48"/>
      <c r="J48"/>
      <c r="K48"/>
      <c r="L48"/>
      <c r="M48"/>
      <c r="N48"/>
      <c r="O48"/>
      <c r="P48"/>
      <c r="Q48"/>
      <c r="R48"/>
      <c r="S48"/>
    </row>
    <row r="49" spans="4:19" x14ac:dyDescent="0.25">
      <c r="D49"/>
      <c r="E49"/>
      <c r="F49"/>
      <c r="G49"/>
      <c r="H49"/>
      <c r="I49"/>
      <c r="J49"/>
      <c r="K49"/>
      <c r="L49"/>
      <c r="M49"/>
      <c r="N49"/>
      <c r="O49"/>
      <c r="P49"/>
      <c r="Q49"/>
      <c r="R49"/>
      <c r="S49"/>
    </row>
    <row r="57" spans="4:19" x14ac:dyDescent="0.25">
      <c r="K57" s="9">
        <v>5</v>
      </c>
      <c r="L57" s="9">
        <v>4</v>
      </c>
    </row>
    <row r="59" spans="4:19" x14ac:dyDescent="0.25">
      <c r="K59" s="9">
        <v>5</v>
      </c>
      <c r="L59" s="9">
        <v>4</v>
      </c>
      <c r="M59" s="9">
        <v>3</v>
      </c>
    </row>
    <row r="61" spans="4:19" x14ac:dyDescent="0.25">
      <c r="K61" s="9" t="str">
        <f>IF(AND(K59=K57,L59=L57),"Correto","Falso")</f>
        <v>Correto</v>
      </c>
    </row>
  </sheetData>
  <mergeCells count="3">
    <mergeCell ref="B1:AF3"/>
    <mergeCell ref="O13:O14"/>
    <mergeCell ref="O25:O26"/>
  </mergeCells>
  <dataValidations count="2">
    <dataValidation type="list" allowBlank="1" showInputMessage="1" showErrorMessage="1" sqref="O9" xr:uid="{2E44D4CA-BD62-4472-8201-F4AD78A0E0E8}">
      <formula1>Entradas_Dash</formula1>
    </dataValidation>
    <dataValidation type="list" allowBlank="1" showInputMessage="1" showErrorMessage="1" sqref="O20" xr:uid="{DE735FDC-5D72-4079-A262-AB831ADDF234}">
      <formula1>Saídas_Dash</formula1>
    </dataValidation>
  </dataValidation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931C5-FA26-4B31-99C9-0655BF904A7C}">
  <sheetPr codeName="Sheet27"/>
  <dimension ref="A1:AC61"/>
  <sheetViews>
    <sheetView showGridLines="0" workbookViewId="0">
      <selection activeCell="L34" sqref="L34"/>
    </sheetView>
  </sheetViews>
  <sheetFormatPr defaultRowHeight="15" x14ac:dyDescent="0.25"/>
  <cols>
    <col min="1" max="1" width="9.140625" style="120"/>
    <col min="2" max="2" width="9.140625" style="156"/>
    <col min="3" max="3" width="5.42578125" customWidth="1"/>
    <col min="4" max="4" width="23.28515625" style="9" bestFit="1" customWidth="1"/>
    <col min="5" max="5" width="27.5703125" style="9" customWidth="1"/>
    <col min="6" max="6" width="2.7109375" style="9" customWidth="1"/>
    <col min="7" max="8" width="15.7109375" style="9" customWidth="1"/>
    <col min="9" max="9" width="4.140625" style="9" customWidth="1"/>
    <col min="10" max="14" width="15.7109375" style="9" customWidth="1"/>
    <col min="15" max="15" width="32.7109375" style="9" customWidth="1"/>
    <col min="16" max="16" width="15.7109375" style="9" customWidth="1"/>
    <col min="18" max="18" width="5.140625" customWidth="1"/>
  </cols>
  <sheetData>
    <row r="1" spans="2:29" ht="15" customHeight="1" x14ac:dyDescent="0.25">
      <c r="B1" s="211" t="s">
        <v>291</v>
      </c>
      <c r="C1" s="189"/>
      <c r="D1" s="189"/>
      <c r="E1" s="189"/>
      <c r="F1" s="189"/>
      <c r="G1" s="189"/>
      <c r="H1" s="189"/>
      <c r="I1" s="189"/>
      <c r="J1" s="189"/>
      <c r="K1" s="189"/>
      <c r="L1" s="151"/>
      <c r="M1" s="151"/>
      <c r="N1" s="151"/>
      <c r="O1" s="151"/>
      <c r="P1" s="151"/>
      <c r="Q1" s="151"/>
      <c r="R1" s="151"/>
      <c r="S1" s="151"/>
      <c r="T1" s="151"/>
      <c r="U1" s="151"/>
      <c r="V1" s="151"/>
      <c r="W1" s="151"/>
      <c r="X1" s="151"/>
      <c r="Y1" s="151"/>
      <c r="Z1" s="151"/>
      <c r="AA1" s="151"/>
      <c r="AB1" s="151"/>
      <c r="AC1" s="151"/>
    </row>
    <row r="2" spans="2:29" ht="15" customHeight="1" x14ac:dyDescent="0.25">
      <c r="B2" s="211"/>
      <c r="C2" s="189"/>
      <c r="D2" s="189"/>
      <c r="E2" s="189"/>
      <c r="F2" s="189"/>
      <c r="G2" s="189"/>
      <c r="H2" s="189"/>
      <c r="I2" s="189"/>
      <c r="J2" s="189"/>
      <c r="K2" s="189"/>
      <c r="L2" s="151"/>
      <c r="M2" s="151"/>
      <c r="N2" s="151"/>
      <c r="O2" s="151"/>
      <c r="P2" s="151"/>
      <c r="Q2" s="151"/>
      <c r="R2" s="151"/>
      <c r="S2" s="151"/>
      <c r="T2" s="151"/>
      <c r="U2" s="151"/>
      <c r="V2" s="151"/>
      <c r="W2" s="151"/>
      <c r="X2" s="151"/>
      <c r="Y2" s="151"/>
      <c r="Z2" s="151"/>
      <c r="AA2" s="151"/>
      <c r="AB2" s="151"/>
      <c r="AC2" s="151"/>
    </row>
    <row r="3" spans="2:29" ht="15" customHeight="1" thickBot="1" x14ac:dyDescent="0.3">
      <c r="B3" s="214"/>
      <c r="C3" s="190"/>
      <c r="D3" s="190"/>
      <c r="E3" s="190"/>
      <c r="F3" s="190"/>
      <c r="G3" s="190"/>
      <c r="H3" s="190"/>
      <c r="I3" s="190"/>
      <c r="J3" s="190"/>
      <c r="K3" s="190"/>
      <c r="L3" s="152"/>
      <c r="M3" s="152"/>
      <c r="N3" s="152"/>
      <c r="O3" s="152"/>
      <c r="P3" s="152"/>
      <c r="Q3" s="152"/>
      <c r="R3" s="152"/>
      <c r="S3" s="152"/>
      <c r="T3" s="152"/>
      <c r="U3" s="152"/>
      <c r="V3" s="152"/>
      <c r="W3" s="152"/>
      <c r="X3" s="152"/>
      <c r="Y3" s="152"/>
      <c r="Z3" s="152"/>
      <c r="AA3" s="152"/>
      <c r="AB3" s="152"/>
      <c r="AC3" s="152"/>
    </row>
    <row r="4" spans="2:29" x14ac:dyDescent="0.25">
      <c r="C4" s="12"/>
      <c r="D4" s="13"/>
      <c r="E4" s="13"/>
      <c r="F4" s="13"/>
      <c r="G4" s="13"/>
      <c r="H4" s="13"/>
      <c r="I4" s="13"/>
      <c r="J4" s="13"/>
      <c r="K4" s="13"/>
      <c r="L4" s="13"/>
      <c r="M4" s="13"/>
      <c r="N4" s="13"/>
      <c r="O4" s="13"/>
      <c r="P4" s="13"/>
      <c r="Q4" s="12"/>
      <c r="R4" s="12"/>
      <c r="S4" s="12"/>
      <c r="T4" s="12"/>
      <c r="U4" s="12"/>
      <c r="V4" s="12"/>
      <c r="W4" s="14"/>
      <c r="X4" s="14"/>
      <c r="Y4" s="14"/>
    </row>
    <row r="5" spans="2:29" x14ac:dyDescent="0.25">
      <c r="C5" s="12"/>
      <c r="D5" s="13"/>
      <c r="E5" s="13"/>
      <c r="F5" s="13"/>
      <c r="G5" s="13"/>
      <c r="H5" s="13"/>
      <c r="I5" s="13"/>
      <c r="J5" s="13"/>
      <c r="K5" s="13"/>
      <c r="L5" s="13"/>
      <c r="M5" s="13"/>
      <c r="N5" s="13"/>
      <c r="O5" s="13"/>
      <c r="P5" s="13"/>
      <c r="Q5" s="12"/>
      <c r="R5" s="12"/>
      <c r="S5" s="12"/>
      <c r="T5" s="12"/>
      <c r="U5" s="12"/>
      <c r="V5" s="12"/>
      <c r="W5" s="14"/>
      <c r="X5" s="14"/>
      <c r="Y5" s="14"/>
    </row>
    <row r="6" spans="2:29" ht="15.75" thickBot="1" x14ac:dyDescent="0.3">
      <c r="B6" s="168"/>
      <c r="C6" s="106"/>
      <c r="D6" s="106"/>
      <c r="E6" s="106"/>
      <c r="F6" s="106"/>
      <c r="G6" s="106"/>
      <c r="H6" s="106"/>
      <c r="I6" s="106"/>
      <c r="J6" s="106"/>
      <c r="K6" s="106"/>
      <c r="L6" s="106"/>
      <c r="M6" s="106"/>
      <c r="N6" s="106"/>
      <c r="O6" s="106"/>
      <c r="P6" s="106"/>
      <c r="Q6" s="106"/>
      <c r="R6" s="106"/>
      <c r="S6" s="106"/>
      <c r="T6" s="106"/>
      <c r="U6" s="106"/>
      <c r="V6" s="12"/>
      <c r="W6" s="14"/>
      <c r="X6" s="14"/>
      <c r="Y6" s="14"/>
    </row>
    <row r="7" spans="2:29" ht="15.75" x14ac:dyDescent="0.25">
      <c r="D7"/>
      <c r="E7"/>
      <c r="F7"/>
      <c r="G7"/>
      <c r="H7"/>
      <c r="I7"/>
      <c r="J7"/>
      <c r="K7"/>
      <c r="L7"/>
      <c r="M7"/>
      <c r="N7"/>
      <c r="O7" s="150" t="s">
        <v>289</v>
      </c>
      <c r="P7"/>
    </row>
    <row r="8" spans="2:29" x14ac:dyDescent="0.25">
      <c r="D8"/>
      <c r="E8"/>
      <c r="F8"/>
      <c r="G8"/>
      <c r="H8"/>
      <c r="I8"/>
      <c r="J8"/>
      <c r="K8"/>
      <c r="L8"/>
      <c r="M8"/>
      <c r="N8"/>
      <c r="O8" s="132"/>
      <c r="P8"/>
    </row>
    <row r="9" spans="2:29" x14ac:dyDescent="0.25">
      <c r="D9"/>
      <c r="E9"/>
      <c r="F9"/>
      <c r="G9"/>
      <c r="H9"/>
      <c r="I9"/>
      <c r="J9"/>
      <c r="K9"/>
      <c r="L9"/>
      <c r="M9"/>
      <c r="N9"/>
      <c r="O9" s="132"/>
      <c r="P9"/>
    </row>
    <row r="10" spans="2:29" x14ac:dyDescent="0.25">
      <c r="D10"/>
      <c r="E10"/>
      <c r="F10"/>
      <c r="G10"/>
      <c r="H10"/>
      <c r="I10"/>
      <c r="J10"/>
      <c r="K10"/>
      <c r="L10"/>
      <c r="M10"/>
      <c r="N10"/>
      <c r="O10" s="132"/>
      <c r="P10"/>
    </row>
    <row r="11" spans="2:29" x14ac:dyDescent="0.25">
      <c r="D11"/>
      <c r="E11"/>
      <c r="F11"/>
      <c r="G11"/>
      <c r="H11"/>
      <c r="I11"/>
      <c r="J11"/>
      <c r="K11"/>
      <c r="L11"/>
      <c r="M11"/>
      <c r="N11"/>
      <c r="O11" s="132"/>
      <c r="P11"/>
    </row>
    <row r="12" spans="2:29" ht="18.75" customHeight="1" x14ac:dyDescent="0.25">
      <c r="D12"/>
      <c r="E12"/>
      <c r="F12"/>
      <c r="G12"/>
      <c r="H12"/>
      <c r="I12"/>
      <c r="J12"/>
      <c r="K12"/>
      <c r="L12"/>
      <c r="M12"/>
      <c r="N12"/>
      <c r="O12" s="132"/>
      <c r="P12"/>
    </row>
    <row r="13" spans="2:29" ht="15" customHeight="1" x14ac:dyDescent="0.25">
      <c r="D13"/>
      <c r="E13"/>
      <c r="F13"/>
      <c r="G13"/>
      <c r="H13"/>
      <c r="I13"/>
      <c r="J13"/>
      <c r="K13"/>
      <c r="L13"/>
      <c r="M13"/>
      <c r="N13"/>
      <c r="O13" s="132"/>
      <c r="P13"/>
    </row>
    <row r="14" spans="2:29" x14ac:dyDescent="0.25">
      <c r="D14"/>
      <c r="E14"/>
      <c r="F14"/>
      <c r="G14"/>
      <c r="H14"/>
      <c r="I14"/>
      <c r="J14"/>
      <c r="K14"/>
      <c r="L14"/>
      <c r="M14"/>
      <c r="N14"/>
      <c r="O14" s="132"/>
      <c r="P14"/>
    </row>
    <row r="15" spans="2:29" x14ac:dyDescent="0.25">
      <c r="D15"/>
      <c r="E15"/>
      <c r="F15"/>
      <c r="G15"/>
      <c r="H15"/>
      <c r="I15"/>
      <c r="J15"/>
      <c r="K15"/>
      <c r="L15"/>
      <c r="M15"/>
      <c r="N15"/>
      <c r="O15" s="132"/>
      <c r="P15"/>
    </row>
    <row r="16" spans="2:29" x14ac:dyDescent="0.25">
      <c r="D16"/>
      <c r="E16"/>
      <c r="F16"/>
      <c r="G16"/>
      <c r="H16"/>
      <c r="I16"/>
      <c r="J16"/>
      <c r="K16"/>
      <c r="L16"/>
      <c r="M16"/>
      <c r="N16"/>
      <c r="O16" s="132"/>
      <c r="P16"/>
    </row>
    <row r="17" spans="3:16" x14ac:dyDescent="0.25">
      <c r="D17"/>
      <c r="E17"/>
      <c r="F17"/>
      <c r="G17"/>
      <c r="H17"/>
      <c r="I17"/>
      <c r="J17"/>
      <c r="K17"/>
      <c r="L17"/>
      <c r="M17"/>
      <c r="N17"/>
      <c r="O17" s="132"/>
      <c r="P17"/>
    </row>
    <row r="18" spans="3:16" x14ac:dyDescent="0.25">
      <c r="D18"/>
      <c r="E18"/>
      <c r="F18"/>
      <c r="G18"/>
      <c r="H18"/>
      <c r="I18"/>
      <c r="J18"/>
      <c r="K18"/>
      <c r="L18"/>
      <c r="M18"/>
      <c r="N18"/>
      <c r="O18" s="132"/>
      <c r="P18"/>
    </row>
    <row r="19" spans="3:16" x14ac:dyDescent="0.25">
      <c r="D19"/>
      <c r="E19"/>
      <c r="F19"/>
      <c r="G19"/>
      <c r="H19"/>
      <c r="I19"/>
      <c r="J19"/>
      <c r="K19"/>
      <c r="L19"/>
      <c r="M19"/>
      <c r="N19"/>
      <c r="O19" s="132"/>
      <c r="P19"/>
    </row>
    <row r="20" spans="3:16" x14ac:dyDescent="0.25">
      <c r="D20"/>
      <c r="E20"/>
      <c r="F20"/>
      <c r="G20"/>
      <c r="H20"/>
      <c r="I20"/>
      <c r="J20"/>
      <c r="K20"/>
      <c r="L20"/>
      <c r="M20"/>
      <c r="N20"/>
      <c r="O20" s="132"/>
      <c r="P20"/>
    </row>
    <row r="21" spans="3:16" x14ac:dyDescent="0.25">
      <c r="D21"/>
      <c r="E21"/>
      <c r="F21"/>
      <c r="G21"/>
      <c r="H21"/>
      <c r="I21"/>
      <c r="J21"/>
      <c r="K21"/>
      <c r="L21"/>
      <c r="M21"/>
      <c r="N21"/>
      <c r="O21" s="132"/>
      <c r="P21"/>
    </row>
    <row r="22" spans="3:16" x14ac:dyDescent="0.25">
      <c r="D22"/>
      <c r="E22"/>
      <c r="F22"/>
      <c r="G22"/>
      <c r="H22"/>
      <c r="I22"/>
      <c r="J22"/>
      <c r="K22"/>
      <c r="L22"/>
      <c r="M22"/>
      <c r="N22"/>
      <c r="O22" s="132"/>
      <c r="P22"/>
    </row>
    <row r="23" spans="3:16" ht="15" customHeight="1" x14ac:dyDescent="0.25">
      <c r="D23"/>
      <c r="E23"/>
      <c r="F23"/>
      <c r="G23"/>
      <c r="H23"/>
      <c r="I23"/>
      <c r="J23"/>
      <c r="K23"/>
      <c r="L23"/>
      <c r="M23"/>
      <c r="N23"/>
      <c r="O23" s="132"/>
      <c r="P23"/>
    </row>
    <row r="24" spans="3:16" ht="15" customHeight="1" x14ac:dyDescent="0.25">
      <c r="D24"/>
      <c r="E24"/>
      <c r="F24"/>
      <c r="G24"/>
      <c r="H24"/>
      <c r="I24"/>
      <c r="J24"/>
      <c r="K24"/>
      <c r="L24"/>
      <c r="M24"/>
      <c r="N24"/>
      <c r="O24" s="132"/>
      <c r="P24"/>
    </row>
    <row r="25" spans="3:16" x14ac:dyDescent="0.25">
      <c r="D25"/>
      <c r="E25"/>
      <c r="F25"/>
      <c r="G25"/>
      <c r="H25"/>
      <c r="I25"/>
      <c r="J25"/>
      <c r="K25"/>
      <c r="L25"/>
      <c r="M25"/>
      <c r="N25"/>
      <c r="O25" s="132"/>
      <c r="P25"/>
    </row>
    <row r="26" spans="3:16" x14ac:dyDescent="0.25">
      <c r="D26"/>
      <c r="E26"/>
      <c r="F26"/>
      <c r="G26"/>
      <c r="H26"/>
      <c r="I26"/>
      <c r="J26"/>
      <c r="K26"/>
      <c r="L26"/>
      <c r="M26"/>
      <c r="N26"/>
      <c r="O26" s="132"/>
      <c r="P26"/>
    </row>
    <row r="27" spans="3:16" x14ac:dyDescent="0.25">
      <c r="D27"/>
      <c r="E27"/>
      <c r="F27"/>
      <c r="G27"/>
      <c r="H27"/>
      <c r="I27"/>
      <c r="J27"/>
      <c r="K27"/>
      <c r="L27"/>
      <c r="M27"/>
      <c r="N27"/>
      <c r="O27" s="132"/>
      <c r="P27"/>
    </row>
    <row r="28" spans="3:16" x14ac:dyDescent="0.25">
      <c r="D28"/>
      <c r="E28"/>
      <c r="F28"/>
      <c r="G28"/>
      <c r="H28"/>
      <c r="I28"/>
      <c r="J28"/>
      <c r="K28"/>
      <c r="L28"/>
      <c r="M28"/>
      <c r="N28"/>
      <c r="O28" s="132"/>
      <c r="P28"/>
    </row>
    <row r="29" spans="3:16" x14ac:dyDescent="0.25">
      <c r="D29"/>
      <c r="E29"/>
      <c r="F29"/>
      <c r="G29"/>
      <c r="H29"/>
      <c r="I29"/>
      <c r="J29"/>
      <c r="K29"/>
      <c r="L29"/>
      <c r="M29"/>
      <c r="N29"/>
      <c r="O29" s="132"/>
      <c r="P29"/>
    </row>
    <row r="30" spans="3:16" x14ac:dyDescent="0.25">
      <c r="C30" s="132"/>
      <c r="D30" s="132"/>
      <c r="E30" s="132"/>
      <c r="F30" s="132"/>
      <c r="G30" s="132"/>
      <c r="H30" s="132"/>
      <c r="I30" s="132"/>
      <c r="J30" s="132"/>
      <c r="K30" s="132"/>
      <c r="L30" s="132"/>
      <c r="M30" s="132"/>
      <c r="N30" s="132"/>
      <c r="O30" s="132"/>
      <c r="P30"/>
    </row>
    <row r="31" spans="3:16" x14ac:dyDescent="0.25">
      <c r="D31"/>
      <c r="E31"/>
      <c r="F31"/>
      <c r="G31"/>
      <c r="H31"/>
      <c r="I31"/>
      <c r="J31"/>
      <c r="K31"/>
      <c r="L31"/>
      <c r="M31"/>
      <c r="N31"/>
      <c r="O31"/>
      <c r="P31"/>
    </row>
    <row r="32" spans="3:16" x14ac:dyDescent="0.25">
      <c r="D32"/>
      <c r="E32"/>
      <c r="F32"/>
      <c r="G32"/>
      <c r="H32"/>
      <c r="I32"/>
      <c r="J32"/>
      <c r="K32"/>
      <c r="L32"/>
      <c r="M32"/>
      <c r="N32"/>
      <c r="O32"/>
      <c r="P32"/>
    </row>
    <row r="33" spans="4:16" x14ac:dyDescent="0.25">
      <c r="D33"/>
      <c r="E33"/>
      <c r="F33"/>
      <c r="G33"/>
      <c r="H33"/>
      <c r="I33"/>
      <c r="J33"/>
      <c r="K33"/>
      <c r="L33"/>
      <c r="M33"/>
      <c r="N33"/>
      <c r="O33"/>
      <c r="P33"/>
    </row>
    <row r="34" spans="4:16" x14ac:dyDescent="0.25">
      <c r="D34"/>
      <c r="E34"/>
      <c r="F34"/>
      <c r="G34"/>
      <c r="H34"/>
      <c r="I34"/>
      <c r="J34"/>
      <c r="K34"/>
      <c r="L34"/>
      <c r="M34"/>
      <c r="N34"/>
      <c r="O34"/>
      <c r="P34"/>
    </row>
    <row r="35" spans="4:16" x14ac:dyDescent="0.25">
      <c r="D35"/>
      <c r="E35"/>
      <c r="F35"/>
      <c r="G35"/>
      <c r="H35"/>
      <c r="I35"/>
      <c r="J35"/>
      <c r="K35"/>
      <c r="L35"/>
      <c r="M35"/>
      <c r="N35"/>
      <c r="O35"/>
      <c r="P35"/>
    </row>
    <row r="36" spans="4:16" x14ac:dyDescent="0.25">
      <c r="D36"/>
      <c r="E36"/>
      <c r="F36"/>
      <c r="G36"/>
      <c r="H36"/>
      <c r="I36"/>
      <c r="J36"/>
      <c r="K36"/>
      <c r="L36"/>
      <c r="M36"/>
      <c r="N36"/>
      <c r="O36"/>
      <c r="P36"/>
    </row>
    <row r="37" spans="4:16" x14ac:dyDescent="0.25">
      <c r="D37"/>
      <c r="E37"/>
      <c r="F37"/>
      <c r="G37"/>
      <c r="H37"/>
      <c r="I37"/>
      <c r="J37"/>
      <c r="K37"/>
      <c r="L37"/>
      <c r="M37"/>
      <c r="N37"/>
      <c r="O37"/>
      <c r="P37"/>
    </row>
    <row r="38" spans="4:16" x14ac:dyDescent="0.25">
      <c r="D38"/>
      <c r="E38"/>
      <c r="F38"/>
      <c r="G38"/>
      <c r="H38"/>
      <c r="I38"/>
      <c r="J38"/>
      <c r="K38"/>
      <c r="L38"/>
      <c r="M38"/>
      <c r="N38"/>
      <c r="O38"/>
      <c r="P38"/>
    </row>
    <row r="39" spans="4:16" x14ac:dyDescent="0.25">
      <c r="D39"/>
      <c r="E39"/>
      <c r="F39"/>
      <c r="G39"/>
      <c r="H39"/>
      <c r="I39"/>
      <c r="J39"/>
      <c r="K39"/>
      <c r="L39"/>
      <c r="M39"/>
      <c r="N39"/>
      <c r="O39"/>
      <c r="P39"/>
    </row>
    <row r="40" spans="4:16" x14ac:dyDescent="0.25">
      <c r="D40"/>
      <c r="E40"/>
      <c r="F40"/>
      <c r="G40"/>
      <c r="H40"/>
      <c r="I40"/>
      <c r="J40"/>
      <c r="K40"/>
      <c r="L40"/>
      <c r="M40"/>
      <c r="N40"/>
      <c r="O40"/>
      <c r="P40"/>
    </row>
    <row r="41" spans="4:16" x14ac:dyDescent="0.25">
      <c r="D41"/>
      <c r="E41"/>
      <c r="F41"/>
      <c r="G41"/>
      <c r="H41"/>
      <c r="I41"/>
      <c r="J41"/>
      <c r="K41"/>
      <c r="L41"/>
      <c r="M41"/>
      <c r="N41"/>
      <c r="O41"/>
      <c r="P41"/>
    </row>
    <row r="42" spans="4:16" x14ac:dyDescent="0.25">
      <c r="D42"/>
      <c r="E42"/>
      <c r="F42"/>
      <c r="G42"/>
      <c r="H42"/>
      <c r="I42"/>
      <c r="J42"/>
      <c r="K42"/>
      <c r="L42"/>
      <c r="M42"/>
      <c r="N42"/>
      <c r="O42"/>
      <c r="P42"/>
    </row>
    <row r="43" spans="4:16" x14ac:dyDescent="0.25">
      <c r="D43"/>
      <c r="E43"/>
      <c r="F43"/>
      <c r="G43"/>
      <c r="H43"/>
      <c r="I43"/>
      <c r="J43"/>
      <c r="K43"/>
      <c r="L43"/>
      <c r="M43"/>
      <c r="N43"/>
      <c r="O43"/>
      <c r="P43"/>
    </row>
    <row r="44" spans="4:16" x14ac:dyDescent="0.25">
      <c r="D44"/>
      <c r="E44"/>
      <c r="F44"/>
      <c r="G44"/>
      <c r="H44"/>
      <c r="I44"/>
      <c r="J44"/>
      <c r="K44"/>
      <c r="L44"/>
      <c r="M44"/>
      <c r="N44"/>
      <c r="O44"/>
      <c r="P44"/>
    </row>
    <row r="45" spans="4:16" x14ac:dyDescent="0.25">
      <c r="D45"/>
      <c r="E45"/>
      <c r="F45"/>
      <c r="G45"/>
      <c r="H45"/>
      <c r="I45"/>
      <c r="J45"/>
      <c r="K45"/>
      <c r="L45"/>
      <c r="M45"/>
      <c r="N45"/>
      <c r="O45"/>
      <c r="P45"/>
    </row>
    <row r="46" spans="4:16" x14ac:dyDescent="0.25">
      <c r="D46"/>
      <c r="E46"/>
      <c r="F46"/>
      <c r="G46"/>
      <c r="H46"/>
      <c r="I46"/>
      <c r="J46"/>
      <c r="K46"/>
      <c r="L46"/>
      <c r="M46"/>
      <c r="N46"/>
      <c r="O46"/>
      <c r="P46"/>
    </row>
    <row r="47" spans="4:16" x14ac:dyDescent="0.25">
      <c r="D47"/>
      <c r="E47"/>
      <c r="F47"/>
      <c r="G47"/>
      <c r="H47"/>
      <c r="I47"/>
      <c r="J47"/>
      <c r="K47"/>
      <c r="L47"/>
      <c r="M47"/>
      <c r="N47"/>
      <c r="O47"/>
      <c r="P47"/>
    </row>
    <row r="48" spans="4:16" x14ac:dyDescent="0.25">
      <c r="D48"/>
      <c r="E48"/>
      <c r="F48"/>
      <c r="G48"/>
      <c r="H48"/>
      <c r="I48"/>
      <c r="J48"/>
      <c r="K48"/>
      <c r="L48"/>
      <c r="M48"/>
      <c r="N48"/>
      <c r="O48"/>
      <c r="P48"/>
    </row>
    <row r="49" spans="4:16" x14ac:dyDescent="0.25">
      <c r="D49"/>
      <c r="E49"/>
      <c r="F49"/>
      <c r="G49"/>
      <c r="H49"/>
      <c r="I49"/>
      <c r="J49"/>
      <c r="K49"/>
      <c r="L49"/>
      <c r="M49"/>
      <c r="N49"/>
      <c r="O49"/>
      <c r="P49"/>
    </row>
    <row r="57" spans="4:16" x14ac:dyDescent="0.25">
      <c r="H57" s="9">
        <v>5</v>
      </c>
      <c r="I57" s="9">
        <v>4</v>
      </c>
    </row>
    <row r="59" spans="4:16" x14ac:dyDescent="0.25">
      <c r="H59" s="9">
        <v>5</v>
      </c>
      <c r="I59" s="9">
        <v>4</v>
      </c>
      <c r="J59" s="9">
        <v>3</v>
      </c>
    </row>
    <row r="61" spans="4:16" x14ac:dyDescent="0.25">
      <c r="H61" s="9" t="str">
        <f>IF(AND(H59=H57,I59=I57),"Correto","Falso")</f>
        <v>Correto</v>
      </c>
    </row>
  </sheetData>
  <mergeCells count="1">
    <mergeCell ref="B1:K3"/>
  </mergeCells>
  <dataValidations count="2">
    <dataValidation type="list" allowBlank="1" showInputMessage="1" showErrorMessage="1" sqref="O19" xr:uid="{37B9EA46-814C-474A-9EF3-B486D2CA2740}">
      <formula1>Saídas_Dash</formula1>
    </dataValidation>
    <dataValidation type="list" allowBlank="1" showInputMessage="1" showErrorMessage="1" sqref="O8" xr:uid="{131F0C40-F501-4596-868F-1D6B52B0BEC2}">
      <formula1>Entradas_Dash</formula1>
    </dataValidation>
  </dataValidation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286D4-DB12-4749-A70A-F4DD124DD3FD}">
  <sheetPr codeName="Sheet28"/>
  <dimension ref="A1:AC13"/>
  <sheetViews>
    <sheetView showGridLines="0" zoomScale="90" zoomScaleNormal="90" workbookViewId="0">
      <selection activeCell="U10" sqref="U10"/>
    </sheetView>
  </sheetViews>
  <sheetFormatPr defaultRowHeight="15" x14ac:dyDescent="0.25"/>
  <cols>
    <col min="1" max="1" width="9.140625" style="120"/>
    <col min="2" max="2" width="9.140625" style="156" customWidth="1"/>
    <col min="3" max="3" width="5.42578125" customWidth="1"/>
    <col min="4" max="4" width="20" style="9" bestFit="1" customWidth="1"/>
    <col min="5" max="16" width="15.7109375" style="9" customWidth="1"/>
    <col min="18" max="18" width="5.140625" customWidth="1"/>
  </cols>
  <sheetData>
    <row r="1" spans="2:29" ht="15" customHeight="1" x14ac:dyDescent="0.25">
      <c r="B1" s="189" t="s">
        <v>274</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row>
    <row r="2" spans="2:29"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row>
    <row r="3" spans="2:29"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row>
    <row r="4" spans="2:29" ht="15.75" thickBot="1" x14ac:dyDescent="0.3">
      <c r="B4" s="153"/>
      <c r="C4" s="12"/>
      <c r="D4" s="13"/>
      <c r="E4" s="13"/>
      <c r="F4" s="13"/>
      <c r="G4" s="13"/>
      <c r="H4" s="13"/>
      <c r="I4" s="13"/>
      <c r="J4" s="13"/>
      <c r="K4" s="13"/>
      <c r="L4" s="13"/>
      <c r="M4" s="13"/>
      <c r="N4" s="13"/>
      <c r="O4" s="13"/>
      <c r="P4" s="13"/>
      <c r="Q4" s="12"/>
      <c r="R4" s="12"/>
      <c r="S4" s="12"/>
      <c r="T4" s="12"/>
      <c r="U4" s="12"/>
      <c r="V4" s="12"/>
      <c r="W4" s="14"/>
      <c r="X4" s="14"/>
      <c r="Y4" s="14"/>
    </row>
    <row r="5" spans="2:29" ht="16.5" thickBot="1" x14ac:dyDescent="0.3">
      <c r="C5" s="12"/>
      <c r="D5" s="108" t="s">
        <v>57</v>
      </c>
      <c r="E5" s="109">
        <v>2022</v>
      </c>
      <c r="F5" s="13"/>
      <c r="G5" s="13"/>
      <c r="H5" s="13"/>
      <c r="I5" s="13"/>
      <c r="J5" s="13"/>
      <c r="K5" s="13"/>
      <c r="L5" s="13"/>
      <c r="M5" s="13"/>
      <c r="N5" s="13"/>
      <c r="O5" s="13"/>
      <c r="P5" s="13"/>
      <c r="Q5" s="12"/>
      <c r="R5" s="12"/>
      <c r="S5" s="12"/>
      <c r="T5" s="12"/>
      <c r="U5" s="12"/>
      <c r="V5" s="12"/>
      <c r="W5" s="14"/>
      <c r="X5" s="14"/>
      <c r="Y5" s="14"/>
    </row>
    <row r="6" spans="2:29" ht="15.75" thickBot="1" x14ac:dyDescent="0.3">
      <c r="B6" s="168"/>
      <c r="C6" s="106"/>
      <c r="D6" s="106"/>
      <c r="E6" s="106"/>
      <c r="F6" s="106"/>
      <c r="G6" s="106"/>
      <c r="H6" s="106"/>
      <c r="I6" s="106"/>
      <c r="J6" s="106"/>
      <c r="K6" s="106"/>
      <c r="L6" s="106"/>
      <c r="M6" s="106"/>
      <c r="N6" s="106"/>
      <c r="O6" s="106"/>
      <c r="P6" s="106"/>
      <c r="Q6" s="106"/>
      <c r="R6" s="106"/>
      <c r="S6" s="106"/>
      <c r="T6" s="106"/>
      <c r="U6" s="106"/>
      <c r="V6" s="12"/>
      <c r="W6" s="14"/>
      <c r="X6" s="14"/>
      <c r="Y6" s="14"/>
    </row>
    <row r="8" spans="2:29" x14ac:dyDescent="0.25">
      <c r="D8" s="16" t="s">
        <v>58</v>
      </c>
      <c r="E8" s="16">
        <v>1</v>
      </c>
      <c r="F8" s="16">
        <v>2</v>
      </c>
      <c r="G8" s="16">
        <v>3</v>
      </c>
      <c r="H8" s="16">
        <v>4</v>
      </c>
      <c r="I8" s="16">
        <v>5</v>
      </c>
      <c r="J8" s="16">
        <v>6</v>
      </c>
      <c r="K8" s="16">
        <v>7</v>
      </c>
      <c r="L8" s="16">
        <v>8</v>
      </c>
      <c r="M8" s="16">
        <v>9</v>
      </c>
      <c r="N8" s="16">
        <v>10</v>
      </c>
      <c r="O8" s="16">
        <v>11</v>
      </c>
      <c r="P8" s="16">
        <v>12</v>
      </c>
    </row>
    <row r="9" spans="2:29" x14ac:dyDescent="0.25">
      <c r="D9" s="16" t="s">
        <v>71</v>
      </c>
      <c r="E9" s="17" t="s">
        <v>59</v>
      </c>
      <c r="F9" s="18" t="s">
        <v>60</v>
      </c>
      <c r="G9" s="18" t="s">
        <v>61</v>
      </c>
      <c r="H9" s="18" t="s">
        <v>62</v>
      </c>
      <c r="I9" s="18" t="s">
        <v>63</v>
      </c>
      <c r="J9" s="18" t="s">
        <v>64</v>
      </c>
      <c r="K9" s="18" t="s">
        <v>65</v>
      </c>
      <c r="L9" s="18" t="s">
        <v>66</v>
      </c>
      <c r="M9" s="18" t="s">
        <v>67</v>
      </c>
      <c r="N9" s="18" t="s">
        <v>68</v>
      </c>
      <c r="O9" s="18" t="s">
        <v>69</v>
      </c>
      <c r="P9" s="18" t="s">
        <v>70</v>
      </c>
    </row>
    <row r="10" spans="2:29" ht="15.75" x14ac:dyDescent="0.25">
      <c r="D10" s="15" t="s">
        <v>72</v>
      </c>
      <c r="E10" s="135">
        <f>SUMIFS(Tab_Fluxo[Valor Total],Tab_Fluxo[Ano],"&lt;"&amp;E5,Tab_Fluxo[Ano],"&lt;&gt;0",Tab_Fluxo[Tipo],"Entradas")-SUMIFS(Tab_Fluxo[Valor Total],Tab_Fluxo[Ano],"&lt;"&amp;E5,Tab_Fluxo[Ano],"&lt;&gt;0",Tab_Fluxo[Tipo],"Saídas")</f>
        <v>0</v>
      </c>
      <c r="F10" s="135">
        <f>E13</f>
        <v>0</v>
      </c>
      <c r="G10" s="135">
        <f t="shared" ref="G10:P10" si="0">F13</f>
        <v>0</v>
      </c>
      <c r="H10" s="135">
        <f t="shared" si="0"/>
        <v>0</v>
      </c>
      <c r="I10" s="135">
        <f t="shared" si="0"/>
        <v>0</v>
      </c>
      <c r="J10" s="135">
        <f t="shared" si="0"/>
        <v>1740</v>
      </c>
      <c r="K10" s="135">
        <f t="shared" si="0"/>
        <v>1740</v>
      </c>
      <c r="L10" s="135">
        <f t="shared" si="0"/>
        <v>1740</v>
      </c>
      <c r="M10" s="135">
        <f t="shared" si="0"/>
        <v>1740</v>
      </c>
      <c r="N10" s="135">
        <f t="shared" si="0"/>
        <v>1740</v>
      </c>
      <c r="O10" s="135">
        <f t="shared" si="0"/>
        <v>1740</v>
      </c>
      <c r="P10" s="135">
        <f t="shared" si="0"/>
        <v>1740</v>
      </c>
    </row>
    <row r="11" spans="2:29" ht="15.75" x14ac:dyDescent="0.25">
      <c r="D11" s="15" t="s">
        <v>8</v>
      </c>
      <c r="E11" s="135">
        <f>SUMIFS(Tab_Fluxo[Valor Total],Tab_Fluxo[Tipo],"Entradas",Tab_Fluxo[Mês],E8,Tab_Fluxo[Ano],$E$5)</f>
        <v>0</v>
      </c>
      <c r="F11" s="135">
        <f>SUMIFS(Tab_Fluxo[Valor Total],Tab_Fluxo[Tipo],"Entradas",Tab_Fluxo[Mês],F8,Tab_Fluxo[Ano],$E$5)</f>
        <v>0</v>
      </c>
      <c r="G11" s="135">
        <f>SUMIFS(Tab_Fluxo[Valor Total],Tab_Fluxo[Tipo],"Entradas",Tab_Fluxo[Mês],G8,Tab_Fluxo[Ano],$E$5)</f>
        <v>0</v>
      </c>
      <c r="H11" s="135">
        <f>SUMIFS(Tab_Fluxo[Valor Total],Tab_Fluxo[Tipo],"Entradas",Tab_Fluxo[Mês],H8,Tab_Fluxo[Ano],$E$5)</f>
        <v>0</v>
      </c>
      <c r="I11" s="135">
        <f>SUMIFS(Tab_Fluxo[Valor Total],Tab_Fluxo[Tipo],"Entradas",Tab_Fluxo[Mês],I8,Tab_Fluxo[Ano],$E$5)</f>
        <v>2040</v>
      </c>
      <c r="J11" s="135">
        <f>SUMIFS(Tab_Fluxo[Valor Total],Tab_Fluxo[Tipo],"Entradas",Tab_Fluxo[Mês],J8,Tab_Fluxo[Ano],$E$5)</f>
        <v>0</v>
      </c>
      <c r="K11" s="135">
        <f>SUMIFS(Tab_Fluxo[Valor Total],Tab_Fluxo[Tipo],"Entradas",Tab_Fluxo[Mês],K8,Tab_Fluxo[Ano],$E$5)</f>
        <v>0</v>
      </c>
      <c r="L11" s="135">
        <f>SUMIFS(Tab_Fluxo[Valor Total],Tab_Fluxo[Tipo],"Entradas",Tab_Fluxo[Mês],L8,Tab_Fluxo[Ano],$E$5)</f>
        <v>0</v>
      </c>
      <c r="M11" s="135">
        <f>SUMIFS(Tab_Fluxo[Valor Total],Tab_Fluxo[Tipo],"Entradas",Tab_Fluxo[Mês],M8,Tab_Fluxo[Ano],$E$5)</f>
        <v>0</v>
      </c>
      <c r="N11" s="135">
        <f>SUMIFS(Tab_Fluxo[Valor Total],Tab_Fluxo[Tipo],"Entradas",Tab_Fluxo[Mês],N8,Tab_Fluxo[Ano],$E$5)</f>
        <v>0</v>
      </c>
      <c r="O11" s="135">
        <f>SUMIFS(Tab_Fluxo[Valor Total],Tab_Fluxo[Tipo],"Entradas",Tab_Fluxo[Mês],O8,Tab_Fluxo[Ano],$E$5)</f>
        <v>0</v>
      </c>
      <c r="P11" s="135">
        <f>SUMIFS(Tab_Fluxo[Valor Total],Tab_Fluxo[Tipo],"Entradas",Tab_Fluxo[Mês],P8,Tab_Fluxo[Ano],$E$5)</f>
        <v>0</v>
      </c>
    </row>
    <row r="12" spans="2:29" ht="15.75" x14ac:dyDescent="0.25">
      <c r="D12" s="15" t="s">
        <v>7</v>
      </c>
      <c r="E12" s="135">
        <f>SUMIFS(Tab_Fluxo[Valor Total],Tab_Fluxo[Tipo],"Saídas",Tab_Fluxo[Mês],E8,Tab_Fluxo[Ano],$E$5)</f>
        <v>0</v>
      </c>
      <c r="F12" s="135">
        <f>SUMIFS(Tab_Fluxo[Valor Total],Tab_Fluxo[Tipo],"Saídas",Tab_Fluxo[Mês],F8,Tab_Fluxo[Ano],$E$5)</f>
        <v>0</v>
      </c>
      <c r="G12" s="135">
        <f>SUMIFS(Tab_Fluxo[Valor Total],Tab_Fluxo[Tipo],"Saídas",Tab_Fluxo[Mês],G8,Tab_Fluxo[Ano],$E$5)</f>
        <v>0</v>
      </c>
      <c r="H12" s="135">
        <f>SUMIFS(Tab_Fluxo[Valor Total],Tab_Fluxo[Tipo],"Saídas",Tab_Fluxo[Mês],H8,Tab_Fluxo[Ano],$E$5)</f>
        <v>0</v>
      </c>
      <c r="I12" s="135">
        <f>SUMIFS(Tab_Fluxo[Valor Total],Tab_Fluxo[Tipo],"Saídas",Tab_Fluxo[Mês],I8,Tab_Fluxo[Ano],$E$5)</f>
        <v>300</v>
      </c>
      <c r="J12" s="135">
        <f>SUMIFS(Tab_Fluxo[Valor Total],Tab_Fluxo[Tipo],"Saídas",Tab_Fluxo[Mês],J8,Tab_Fluxo[Ano],$E$5)</f>
        <v>0</v>
      </c>
      <c r="K12" s="135">
        <f>SUMIFS(Tab_Fluxo[Valor Total],Tab_Fluxo[Tipo],"Saídas",Tab_Fluxo[Mês],K8,Tab_Fluxo[Ano],$E$5)</f>
        <v>0</v>
      </c>
      <c r="L12" s="135">
        <f>SUMIFS(Tab_Fluxo[Valor Total],Tab_Fluxo[Tipo],"Saídas",Tab_Fluxo[Mês],L8,Tab_Fluxo[Ano],$E$5)</f>
        <v>0</v>
      </c>
      <c r="M12" s="135">
        <f>SUMIFS(Tab_Fluxo[Valor Total],Tab_Fluxo[Tipo],"Saídas",Tab_Fluxo[Mês],M8,Tab_Fluxo[Ano],$E$5)</f>
        <v>0</v>
      </c>
      <c r="N12" s="135">
        <f>SUMIFS(Tab_Fluxo[Valor Total],Tab_Fluxo[Tipo],"Saídas",Tab_Fluxo[Mês],N8,Tab_Fluxo[Ano],$E$5)</f>
        <v>0</v>
      </c>
      <c r="O12" s="135">
        <f>SUMIFS(Tab_Fluxo[Valor Total],Tab_Fluxo[Tipo],"Saídas",Tab_Fluxo[Mês],O8,Tab_Fluxo[Ano],$E$5)</f>
        <v>0</v>
      </c>
      <c r="P12" s="135">
        <f>SUMIFS(Tab_Fluxo[Valor Total],Tab_Fluxo[Tipo],"Saídas",Tab_Fluxo[Mês],P8,Tab_Fluxo[Ano],$E$5)</f>
        <v>0</v>
      </c>
    </row>
    <row r="13" spans="2:29" ht="15.75" x14ac:dyDescent="0.25">
      <c r="D13" s="15" t="s">
        <v>73</v>
      </c>
      <c r="E13" s="135">
        <f>E10+E11-E12</f>
        <v>0</v>
      </c>
      <c r="F13" s="135">
        <f t="shared" ref="F13:P13" si="1">F10+F11-F12</f>
        <v>0</v>
      </c>
      <c r="G13" s="135">
        <f t="shared" si="1"/>
        <v>0</v>
      </c>
      <c r="H13" s="135">
        <f t="shared" si="1"/>
        <v>0</v>
      </c>
      <c r="I13" s="135">
        <f t="shared" si="1"/>
        <v>1740</v>
      </c>
      <c r="J13" s="135">
        <f t="shared" si="1"/>
        <v>1740</v>
      </c>
      <c r="K13" s="135">
        <f t="shared" si="1"/>
        <v>1740</v>
      </c>
      <c r="L13" s="135">
        <f t="shared" si="1"/>
        <v>1740</v>
      </c>
      <c r="M13" s="135">
        <f t="shared" si="1"/>
        <v>1740</v>
      </c>
      <c r="N13" s="135">
        <f t="shared" si="1"/>
        <v>1740</v>
      </c>
      <c r="O13" s="135">
        <f t="shared" si="1"/>
        <v>1740</v>
      </c>
      <c r="P13" s="135">
        <f t="shared" si="1"/>
        <v>1740</v>
      </c>
    </row>
  </sheetData>
  <mergeCells count="1">
    <mergeCell ref="B1:AC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26A94-1F7C-44BF-B04E-338AC19FD5E2}">
  <sheetPr codeName="Sheet29"/>
  <dimension ref="A1:AC52"/>
  <sheetViews>
    <sheetView workbookViewId="0">
      <selection activeCell="J15" sqref="J15"/>
    </sheetView>
  </sheetViews>
  <sheetFormatPr defaultRowHeight="15" x14ac:dyDescent="0.25"/>
  <cols>
    <col min="1" max="1" width="9.140625" style="120"/>
    <col min="2" max="2" width="9.140625" style="156" customWidth="1"/>
    <col min="3" max="3" width="5.42578125" customWidth="1"/>
    <col min="4" max="10" width="15.7109375" style="9" customWidth="1"/>
    <col min="11" max="11" width="19.28515625" style="9" bestFit="1" customWidth="1"/>
    <col min="12" max="12" width="36.7109375" style="9" bestFit="1" customWidth="1"/>
    <col min="13" max="13" width="15.7109375" style="9" customWidth="1"/>
    <col min="14" max="14" width="17" style="9" customWidth="1"/>
    <col min="15" max="15" width="15.7109375" style="9" customWidth="1"/>
    <col min="17" max="17" width="5.140625" customWidth="1"/>
  </cols>
  <sheetData>
    <row r="1" spans="1:29" ht="15" customHeight="1" x14ac:dyDescent="0.25">
      <c r="B1" s="189" t="s">
        <v>261</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row>
    <row r="2" spans="1:29"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row>
    <row r="3" spans="1:29"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row>
    <row r="4" spans="1:29" s="157" customFormat="1" x14ac:dyDescent="0.25">
      <c r="A4" s="120"/>
      <c r="B4" s="153"/>
      <c r="D4" s="166"/>
      <c r="E4" s="166"/>
      <c r="F4" s="166"/>
      <c r="G4" s="166"/>
      <c r="H4" s="166"/>
      <c r="I4" s="166"/>
      <c r="J4" s="166"/>
      <c r="K4" s="166"/>
      <c r="L4" s="166"/>
      <c r="M4" s="166"/>
      <c r="N4" s="166"/>
      <c r="O4" s="166"/>
      <c r="V4" s="167"/>
      <c r="W4" s="167"/>
      <c r="X4" s="167"/>
    </row>
    <row r="5" spans="1:29" s="157" customFormat="1" x14ac:dyDescent="0.25">
      <c r="A5" s="120"/>
      <c r="B5" s="156"/>
      <c r="D5" s="166"/>
      <c r="E5" s="166"/>
      <c r="F5" s="166"/>
      <c r="G5" s="166"/>
      <c r="H5" s="166"/>
      <c r="I5" s="166"/>
      <c r="J5" s="166"/>
      <c r="K5" s="166"/>
      <c r="L5" s="166"/>
      <c r="M5" s="166"/>
      <c r="N5" s="166"/>
      <c r="O5" s="166"/>
      <c r="V5" s="167"/>
      <c r="W5" s="167"/>
      <c r="X5" s="167"/>
    </row>
    <row r="6" spans="1:29" s="105" customFormat="1" ht="15.75" thickBot="1" x14ac:dyDescent="0.3">
      <c r="A6" s="120"/>
      <c r="B6" s="155"/>
      <c r="D6" s="106"/>
      <c r="E6" s="106"/>
      <c r="F6" s="106"/>
      <c r="G6" s="106"/>
      <c r="H6" s="106"/>
      <c r="I6" s="106"/>
      <c r="J6" s="106"/>
      <c r="K6" s="106"/>
      <c r="L6" s="106"/>
      <c r="M6" s="106"/>
      <c r="N6" s="106"/>
      <c r="O6" s="106"/>
      <c r="V6" s="161"/>
      <c r="W6" s="161"/>
      <c r="X6" s="161"/>
    </row>
    <row r="7" spans="1:29" x14ac:dyDescent="0.25">
      <c r="D7" s="68" t="s">
        <v>136</v>
      </c>
      <c r="E7" s="68"/>
      <c r="F7" s="68"/>
      <c r="G7" s="68"/>
      <c r="H7" s="68"/>
      <c r="I7" s="68"/>
      <c r="J7" s="68"/>
      <c r="K7" s="68"/>
      <c r="L7" s="68"/>
      <c r="M7" s="68"/>
      <c r="N7" s="68"/>
      <c r="O7"/>
    </row>
    <row r="8" spans="1:29" x14ac:dyDescent="0.25">
      <c r="D8" s="67"/>
      <c r="E8" s="67"/>
      <c r="F8" s="67"/>
      <c r="G8" s="67"/>
      <c r="H8" s="67" t="s">
        <v>171</v>
      </c>
      <c r="I8" s="67"/>
      <c r="J8" s="67"/>
      <c r="K8" s="67"/>
      <c r="L8" s="67"/>
      <c r="M8" s="67"/>
      <c r="N8" s="67"/>
      <c r="O8"/>
    </row>
    <row r="9" spans="1:29" x14ac:dyDescent="0.25">
      <c r="D9" s="67"/>
      <c r="E9" s="67"/>
      <c r="F9" s="67"/>
      <c r="G9" s="67"/>
      <c r="H9" s="68" t="s">
        <v>137</v>
      </c>
      <c r="I9" s="67"/>
      <c r="J9" s="67"/>
      <c r="K9" s="67"/>
      <c r="L9" s="68" t="s">
        <v>138</v>
      </c>
      <c r="M9" s="69" t="s">
        <v>139</v>
      </c>
      <c r="N9" s="70">
        <f>E10</f>
        <v>2022</v>
      </c>
      <c r="O9"/>
    </row>
    <row r="10" spans="1:29" x14ac:dyDescent="0.25">
      <c r="D10" s="69" t="s">
        <v>140</v>
      </c>
      <c r="E10" s="71">
        <v>2022</v>
      </c>
      <c r="F10" s="67"/>
      <c r="G10" s="67"/>
      <c r="H10" s="72" t="s">
        <v>56</v>
      </c>
      <c r="I10" s="73" t="s">
        <v>141</v>
      </c>
      <c r="J10" s="72" t="s">
        <v>142</v>
      </c>
      <c r="K10" s="67"/>
      <c r="L10" s="74" t="str">
        <f>DashAtual!O9</f>
        <v>Vendas</v>
      </c>
      <c r="M10" s="72" t="s">
        <v>143</v>
      </c>
      <c r="N10" s="72" t="s">
        <v>56</v>
      </c>
      <c r="O10"/>
    </row>
    <row r="11" spans="1:29" x14ac:dyDescent="0.25">
      <c r="D11" s="69" t="s">
        <v>175</v>
      </c>
      <c r="E11" s="99">
        <f ca="1">DashAtual!E6</f>
        <v>44718</v>
      </c>
      <c r="F11" s="67"/>
      <c r="G11" s="67"/>
      <c r="H11" s="75">
        <v>1</v>
      </c>
      <c r="I11" s="76"/>
      <c r="J11" s="76"/>
      <c r="K11" s="67"/>
      <c r="L11" s="76">
        <f ca="1">IF($L$10="Tudo",SUMIFS(Tab_Fluxo[Valor Total],Tab_Fluxo[Ano],$N$9,Tab_Fluxo[Mês],H11,Tab_Fluxo[Tipo],"Entradas",Tab_Fluxo[Data],"&lt;="&amp;$E$11),SUMIFS(Tab_Fluxo[Valor Total],Tab_Fluxo[Ano],$N$9,Tab_Fluxo[Mês],H11,Tab_Fluxo[Tipo],"Entradas",Tab_Fluxo[Data],"&lt;="&amp;$E$11,Tab_Fluxo[Categoria],$L$10))</f>
        <v>0</v>
      </c>
      <c r="M11" s="76" t="e">
        <f ca="1">IF(L11=0,NA(),L11)</f>
        <v>#N/A</v>
      </c>
      <c r="N11" s="77" t="s">
        <v>144</v>
      </c>
      <c r="O11"/>
    </row>
    <row r="12" spans="1:29" x14ac:dyDescent="0.25">
      <c r="D12" s="67"/>
      <c r="E12" s="67"/>
      <c r="F12" s="67"/>
      <c r="G12" s="67"/>
      <c r="H12" s="67">
        <v>2</v>
      </c>
      <c r="I12" s="78"/>
      <c r="J12" s="78"/>
      <c r="K12" s="67"/>
      <c r="L12" s="76">
        <f ca="1">IF($L$10="Tudo",SUMIFS(Tab_Fluxo[Valor Total],Tab_Fluxo[Ano],$N$9,Tab_Fluxo[Mês],H12,Tab_Fluxo[Tipo],"Entradas",Tab_Fluxo[Data],"&lt;="&amp;$E$11),SUMIFS(Tab_Fluxo[Valor Total],Tab_Fluxo[Ano],$N$9,Tab_Fluxo[Mês],H12,Tab_Fluxo[Tipo],"Entradas",Tab_Fluxo[Data],"&lt;="&amp;$E$11,Tab_Fluxo[Categoria],$L$10))</f>
        <v>0</v>
      </c>
      <c r="M12" s="78" t="e">
        <f t="shared" ref="M12:M22" ca="1" si="0">IF(L12=0,NA(),L12)</f>
        <v>#N/A</v>
      </c>
      <c r="N12" s="69" t="s">
        <v>145</v>
      </c>
      <c r="O12"/>
    </row>
    <row r="13" spans="1:29" x14ac:dyDescent="0.25">
      <c r="D13" s="68" t="s">
        <v>146</v>
      </c>
      <c r="E13" s="67"/>
      <c r="F13" s="67"/>
      <c r="G13" s="67"/>
      <c r="H13" s="67">
        <v>3</v>
      </c>
      <c r="I13" s="78"/>
      <c r="J13" s="78"/>
      <c r="K13" s="67"/>
      <c r="L13" s="76">
        <f ca="1">IF($L$10="Tudo",SUMIFS(Tab_Fluxo[Valor Total],Tab_Fluxo[Ano],$N$9,Tab_Fluxo[Mês],H13,Tab_Fluxo[Tipo],"Entradas",Tab_Fluxo[Data],"&lt;="&amp;$E$11),SUMIFS(Tab_Fluxo[Valor Total],Tab_Fluxo[Ano],$N$9,Tab_Fluxo[Mês],H13,Tab_Fluxo[Tipo],"Entradas",Tab_Fluxo[Data],"&lt;="&amp;$E$11,Tab_Fluxo[Categoria],$L$10))</f>
        <v>0</v>
      </c>
      <c r="M13" s="78" t="e">
        <f t="shared" ca="1" si="0"/>
        <v>#N/A</v>
      </c>
      <c r="N13" s="69" t="s">
        <v>147</v>
      </c>
      <c r="O13"/>
    </row>
    <row r="14" spans="1:29" x14ac:dyDescent="0.25">
      <c r="D14" s="75" t="s">
        <v>72</v>
      </c>
      <c r="E14" s="79">
        <f>SUMIFS(Tab_Fluxo[Valor Total],Tab_Fluxo[Ano],"&lt;"&amp;E10,Tab_Fluxo[Ano],"&lt;&gt;0",Tab_Fluxo[Tipo],"Entradas")-SUMIFS(Tab_Fluxo[Valor Total],Tab_Fluxo[Ano],"&lt;"&amp;E10,Tab_Fluxo[Ano],"&lt;&gt;0",Tab_Fluxo[Tipo],"Saídas")</f>
        <v>0</v>
      </c>
      <c r="F14" s="67"/>
      <c r="G14" s="67"/>
      <c r="H14" s="67">
        <v>4</v>
      </c>
      <c r="I14" s="78"/>
      <c r="J14" s="78"/>
      <c r="K14" s="67"/>
      <c r="L14" s="76">
        <f ca="1">IF($L$10="Tudo",SUMIFS(Tab_Fluxo[Valor Total],Tab_Fluxo[Ano],$N$9,Tab_Fluxo[Mês],H14,Tab_Fluxo[Tipo],"Entradas",Tab_Fluxo[Data],"&lt;="&amp;$E$11),SUMIFS(Tab_Fluxo[Valor Total],Tab_Fluxo[Ano],$N$9,Tab_Fluxo[Mês],H14,Tab_Fluxo[Tipo],"Entradas",Tab_Fluxo[Data],"&lt;="&amp;$E$11,Tab_Fluxo[Categoria],$L$10))</f>
        <v>0</v>
      </c>
      <c r="M14" s="78" t="e">
        <f t="shared" ca="1" si="0"/>
        <v>#N/A</v>
      </c>
      <c r="N14" s="69" t="s">
        <v>148</v>
      </c>
      <c r="O14"/>
    </row>
    <row r="15" spans="1:29" x14ac:dyDescent="0.25">
      <c r="D15" s="67" t="s">
        <v>8</v>
      </c>
      <c r="E15" s="80">
        <f ca="1">SUMIFS(Tab_Fluxo[Valor Total],Tab_Fluxo[Ano],"="&amp;E10,Tab_Fluxo[Tipo],"Entradas",Tab_Fluxo[Data],"&lt;="&amp;$E$11)</f>
        <v>2040</v>
      </c>
      <c r="F15" s="67"/>
      <c r="G15" s="67"/>
      <c r="H15" s="67">
        <v>5</v>
      </c>
      <c r="I15" s="78"/>
      <c r="J15" s="78"/>
      <c r="K15" s="67"/>
      <c r="L15" s="76">
        <f ca="1">IF($L$10="Tudo",SUMIFS(Tab_Fluxo[Valor Total],Tab_Fluxo[Ano],$N$9,Tab_Fluxo[Mês],H15,Tab_Fluxo[Tipo],"Entradas",Tab_Fluxo[Data],"&lt;="&amp;$E$11),SUMIFS(Tab_Fluxo[Valor Total],Tab_Fluxo[Ano],$N$9,Tab_Fluxo[Mês],H15,Tab_Fluxo[Tipo],"Entradas",Tab_Fluxo[Data],"&lt;="&amp;$E$11,Tab_Fluxo[Categoria],$L$10))</f>
        <v>0</v>
      </c>
      <c r="M15" s="78" t="e">
        <f t="shared" ca="1" si="0"/>
        <v>#N/A</v>
      </c>
      <c r="N15" s="69" t="s">
        <v>149</v>
      </c>
      <c r="O15"/>
    </row>
    <row r="16" spans="1:29" x14ac:dyDescent="0.25">
      <c r="D16" s="67" t="s">
        <v>7</v>
      </c>
      <c r="E16" s="80">
        <f ca="1">SUMIFS(Tab_Fluxo[Valor Total],Tab_Fluxo[Ano],"="&amp;E10,Tab_Fluxo[Tipo],"Saídas",Tab_Fluxo[Data],"&lt;="&amp;$E$11)</f>
        <v>300</v>
      </c>
      <c r="F16" s="67"/>
      <c r="G16" s="67"/>
      <c r="H16" s="67">
        <v>6</v>
      </c>
      <c r="I16" s="78"/>
      <c r="J16" s="78"/>
      <c r="K16" s="67"/>
      <c r="L16" s="76">
        <f ca="1">IF($L$10="Tudo",SUMIFS(Tab_Fluxo[Valor Total],Tab_Fluxo[Ano],$N$9,Tab_Fluxo[Mês],H16,Tab_Fluxo[Tipo],"Entradas",Tab_Fluxo[Data],"&lt;="&amp;$E$11),SUMIFS(Tab_Fluxo[Valor Total],Tab_Fluxo[Ano],$N$9,Tab_Fluxo[Mês],H16,Tab_Fluxo[Tipo],"Entradas",Tab_Fluxo[Data],"&lt;="&amp;$E$11,Tab_Fluxo[Categoria],$L$10))</f>
        <v>0</v>
      </c>
      <c r="M16" s="78" t="e">
        <f t="shared" ca="1" si="0"/>
        <v>#N/A</v>
      </c>
      <c r="N16" s="69" t="s">
        <v>150</v>
      </c>
      <c r="O16"/>
    </row>
    <row r="17" spans="4:15" x14ac:dyDescent="0.25">
      <c r="D17" s="81" t="s">
        <v>6</v>
      </c>
      <c r="E17" s="82">
        <f ca="1">E14+E15-E16</f>
        <v>1740</v>
      </c>
      <c r="F17" s="67"/>
      <c r="G17" s="67"/>
      <c r="H17" s="67">
        <v>7</v>
      </c>
      <c r="I17" s="78"/>
      <c r="J17" s="78"/>
      <c r="K17" s="67"/>
      <c r="L17" s="76">
        <f ca="1">IF($L$10="Tudo",SUMIFS(Tab_Fluxo[Valor Total],Tab_Fluxo[Ano],$N$9,Tab_Fluxo[Mês],H17,Tab_Fluxo[Tipo],"Entradas",Tab_Fluxo[Data],"&lt;="&amp;$E$11),SUMIFS(Tab_Fluxo[Valor Total],Tab_Fluxo[Ano],$N$9,Tab_Fluxo[Mês],H17,Tab_Fluxo[Tipo],"Entradas",Tab_Fluxo[Data],"&lt;="&amp;$E$11,Tab_Fluxo[Categoria],$L$10))</f>
        <v>0</v>
      </c>
      <c r="M17" s="78" t="e">
        <f t="shared" ca="1" si="0"/>
        <v>#N/A</v>
      </c>
      <c r="N17" s="69" t="s">
        <v>151</v>
      </c>
      <c r="O17"/>
    </row>
    <row r="18" spans="4:15" x14ac:dyDescent="0.25">
      <c r="D18" s="67" t="s">
        <v>170</v>
      </c>
      <c r="E18" s="67"/>
      <c r="F18" s="67"/>
      <c r="G18" s="67"/>
      <c r="H18" s="67">
        <v>8</v>
      </c>
      <c r="I18" s="78"/>
      <c r="J18" s="78"/>
      <c r="K18" s="67"/>
      <c r="L18" s="76">
        <f ca="1">IF($L$10="Tudo",SUMIFS(Tab_Fluxo[Valor Total],Tab_Fluxo[Ano],$N$9,Tab_Fluxo[Mês],H18,Tab_Fluxo[Tipo],"Entradas",Tab_Fluxo[Data],"&lt;="&amp;$E$11),SUMIFS(Tab_Fluxo[Valor Total],Tab_Fluxo[Ano],$N$9,Tab_Fluxo[Mês],H18,Tab_Fluxo[Tipo],"Entradas",Tab_Fluxo[Data],"&lt;="&amp;$E$11,Tab_Fluxo[Categoria],$L$10))</f>
        <v>0</v>
      </c>
      <c r="M18" s="78" t="e">
        <f t="shared" ca="1" si="0"/>
        <v>#N/A</v>
      </c>
      <c r="N18" s="69" t="s">
        <v>152</v>
      </c>
      <c r="O18"/>
    </row>
    <row r="19" spans="4:15" x14ac:dyDescent="0.25">
      <c r="D19" s="83" t="s">
        <v>153</v>
      </c>
      <c r="E19" s="83"/>
      <c r="F19" s="79"/>
      <c r="G19" s="67"/>
      <c r="H19" s="67">
        <v>9</v>
      </c>
      <c r="I19" s="78"/>
      <c r="J19" s="78"/>
      <c r="K19" s="67"/>
      <c r="L19" s="76">
        <f ca="1">IF($L$10="Tudo",SUMIFS(Tab_Fluxo[Valor Total],Tab_Fluxo[Ano],$N$9,Tab_Fluxo[Mês],H19,Tab_Fluxo[Tipo],"Entradas",Tab_Fluxo[Data],"&lt;="&amp;$E$11),SUMIFS(Tab_Fluxo[Valor Total],Tab_Fluxo[Ano],$N$9,Tab_Fluxo[Mês],H19,Tab_Fluxo[Tipo],"Entradas",Tab_Fluxo[Data],"&lt;="&amp;$E$11,Tab_Fluxo[Categoria],$L$10))</f>
        <v>0</v>
      </c>
      <c r="M19" s="78" t="e">
        <f t="shared" ca="1" si="0"/>
        <v>#N/A</v>
      </c>
      <c r="N19" s="69" t="s">
        <v>154</v>
      </c>
      <c r="O19"/>
    </row>
    <row r="20" spans="4:15" x14ac:dyDescent="0.25">
      <c r="D20" s="84" t="s">
        <v>155</v>
      </c>
      <c r="E20" s="84"/>
      <c r="F20" s="85"/>
      <c r="G20" s="67"/>
      <c r="H20" s="67">
        <v>10</v>
      </c>
      <c r="I20" s="78"/>
      <c r="J20" s="78"/>
      <c r="K20" s="67"/>
      <c r="L20" s="76">
        <f ca="1">IF($L$10="Tudo",SUMIFS(Tab_Fluxo[Valor Total],Tab_Fluxo[Ano],$N$9,Tab_Fluxo[Mês],H20,Tab_Fluxo[Tipo],"Entradas",Tab_Fluxo[Data],"&lt;="&amp;$E$11),SUMIFS(Tab_Fluxo[Valor Total],Tab_Fluxo[Ano],$N$9,Tab_Fluxo[Mês],H20,Tab_Fluxo[Tipo],"Entradas",Tab_Fluxo[Data],"&lt;="&amp;$E$11,Tab_Fluxo[Categoria],$L$10))</f>
        <v>0</v>
      </c>
      <c r="M20" s="78" t="e">
        <f t="shared" ca="1" si="0"/>
        <v>#N/A</v>
      </c>
      <c r="N20" s="69" t="s">
        <v>156</v>
      </c>
      <c r="O20"/>
    </row>
    <row r="21" spans="4:15" x14ac:dyDescent="0.25">
      <c r="D21" s="67"/>
      <c r="E21" s="67"/>
      <c r="F21" s="67"/>
      <c r="G21" s="67"/>
      <c r="H21" s="67">
        <v>11</v>
      </c>
      <c r="I21" s="78"/>
      <c r="J21" s="78"/>
      <c r="K21" s="67"/>
      <c r="L21" s="76">
        <f ca="1">IF($L$10="Tudo",SUMIFS(Tab_Fluxo[Valor Total],Tab_Fluxo[Ano],$N$9,Tab_Fluxo[Mês],H21,Tab_Fluxo[Tipo],"Entradas",Tab_Fluxo[Data],"&lt;="&amp;$E$11),SUMIFS(Tab_Fluxo[Valor Total],Tab_Fluxo[Ano],$N$9,Tab_Fluxo[Mês],H21,Tab_Fluxo[Tipo],"Entradas",Tab_Fluxo[Data],"&lt;="&amp;$E$11,Tab_Fluxo[Categoria],$L$10))</f>
        <v>0</v>
      </c>
      <c r="M21" s="78" t="e">
        <f t="shared" ca="1" si="0"/>
        <v>#N/A</v>
      </c>
      <c r="N21" s="69" t="s">
        <v>157</v>
      </c>
      <c r="O21"/>
    </row>
    <row r="22" spans="4:15" x14ac:dyDescent="0.25">
      <c r="D22" s="67"/>
      <c r="E22" s="67"/>
      <c r="F22" s="67"/>
      <c r="G22" s="67"/>
      <c r="H22" s="81">
        <v>12</v>
      </c>
      <c r="I22" s="86"/>
      <c r="J22" s="86"/>
      <c r="K22" s="67"/>
      <c r="L22" s="76">
        <f ca="1">IF($L$10="Tudo",SUMIFS(Tab_Fluxo[Valor Total],Tab_Fluxo[Ano],$N$9,Tab_Fluxo[Mês],H22,Tab_Fluxo[Tipo],"Entradas",Tab_Fluxo[Data],"&lt;="&amp;$E$11),SUMIFS(Tab_Fluxo[Valor Total],Tab_Fluxo[Ano],$N$9,Tab_Fluxo[Mês],H22,Tab_Fluxo[Tipo],"Entradas",Tab_Fluxo[Data],"&lt;="&amp;$E$11,Tab_Fluxo[Categoria],$L$10))</f>
        <v>0</v>
      </c>
      <c r="M22" s="86" t="e">
        <f t="shared" ca="1" si="0"/>
        <v>#N/A</v>
      </c>
      <c r="N22" s="87" t="s">
        <v>158</v>
      </c>
      <c r="O22"/>
    </row>
    <row r="23" spans="4:15" x14ac:dyDescent="0.25">
      <c r="D23" s="67"/>
      <c r="E23" s="67"/>
      <c r="F23" s="67"/>
      <c r="G23" s="67"/>
      <c r="H23" s="67"/>
      <c r="I23" s="67"/>
      <c r="J23" s="67"/>
      <c r="K23" s="67"/>
      <c r="L23" s="67"/>
      <c r="M23" s="67"/>
      <c r="N23" s="67"/>
      <c r="O23"/>
    </row>
    <row r="24" spans="4:15" x14ac:dyDescent="0.25">
      <c r="D24" s="67"/>
      <c r="E24" s="67"/>
      <c r="F24" s="67"/>
      <c r="G24" s="67"/>
      <c r="H24" s="67"/>
      <c r="I24" s="67"/>
      <c r="J24" s="67"/>
      <c r="K24" s="67"/>
      <c r="L24" s="67"/>
      <c r="M24" s="67"/>
      <c r="N24" s="67"/>
      <c r="O24"/>
    </row>
    <row r="25" spans="4:15" x14ac:dyDescent="0.25">
      <c r="D25" s="67"/>
      <c r="E25" s="67"/>
      <c r="F25" s="67"/>
      <c r="G25" s="67"/>
      <c r="H25" s="67"/>
      <c r="I25" s="67"/>
      <c r="J25" s="67"/>
      <c r="K25" s="67"/>
      <c r="L25" s="67"/>
      <c r="M25" s="67"/>
      <c r="N25" s="67"/>
      <c r="O25"/>
    </row>
    <row r="26" spans="4:15" x14ac:dyDescent="0.25">
      <c r="D26" s="68" t="s">
        <v>159</v>
      </c>
      <c r="E26" s="67"/>
      <c r="F26" s="67"/>
      <c r="G26" s="88"/>
      <c r="H26" s="67"/>
      <c r="I26" s="67"/>
      <c r="J26" s="67"/>
      <c r="K26" s="67"/>
      <c r="L26" s="67"/>
      <c r="M26" s="67"/>
      <c r="N26" s="67"/>
      <c r="O26"/>
    </row>
    <row r="27" spans="4:15" x14ac:dyDescent="0.25">
      <c r="D27" s="72" t="s">
        <v>57</v>
      </c>
      <c r="E27" s="73" t="s">
        <v>129</v>
      </c>
      <c r="F27" s="73" t="s">
        <v>107</v>
      </c>
      <c r="G27" s="73" t="s">
        <v>127</v>
      </c>
      <c r="H27" s="73" t="s">
        <v>160</v>
      </c>
      <c r="I27" s="67"/>
      <c r="J27" s="67"/>
      <c r="K27" s="67"/>
      <c r="L27" s="67"/>
      <c r="M27" s="67"/>
      <c r="N27" s="67"/>
      <c r="O27"/>
    </row>
    <row r="28" spans="4:15" x14ac:dyDescent="0.25">
      <c r="D28" s="89">
        <v>2022</v>
      </c>
      <c r="E28" s="90">
        <f ca="1">SUMIFS(Tab_Fluxo[Valor Total],Tab_Fluxo[Método de Pagto],"À Vista",Tab_Fluxo[Ano],D28,Tab_Fluxo[Tipo],"Entradas",Tab_Fluxo[Data],"&lt;="&amp;$E$11)</f>
        <v>2040</v>
      </c>
      <c r="F28" s="90">
        <f ca="1">SUMIFS(Tab_Fluxo[Valor Total],Tab_Fluxo[Método de Pagto],"Cartão",Tab_Fluxo[Ano],D28,Tab_Fluxo[Tipo],"Entradas",Tab_Fluxo[Data],"&lt;="&amp;$E$11)</f>
        <v>0</v>
      </c>
      <c r="G28" s="90">
        <f ca="1">SUMIFS(Tab_Fluxo[Valor Total],Tab_Fluxo[Método de Pagto],"Parcelado",Tab_Fluxo[Ano],D28,Tab_Fluxo[Tipo],"Entradas",Tab_Fluxo[Data],"&lt;="&amp;$E$11)</f>
        <v>0</v>
      </c>
      <c r="H28" s="90">
        <f ca="1">E28+F28+G28</f>
        <v>2040</v>
      </c>
      <c r="I28" s="67"/>
      <c r="J28" s="67"/>
      <c r="K28" s="67"/>
      <c r="L28" s="67"/>
      <c r="M28" s="67"/>
      <c r="N28" s="67"/>
      <c r="O28"/>
    </row>
    <row r="29" spans="4:15" x14ac:dyDescent="0.25">
      <c r="D29" s="67"/>
      <c r="E29" s="67"/>
      <c r="F29" s="67"/>
      <c r="G29" s="67"/>
      <c r="H29" s="67"/>
      <c r="I29" s="67"/>
      <c r="J29" s="67"/>
      <c r="K29" s="67"/>
      <c r="L29" s="67"/>
      <c r="M29" s="67"/>
      <c r="N29" s="67"/>
      <c r="O29"/>
    </row>
    <row r="30" spans="4:15" x14ac:dyDescent="0.25">
      <c r="D30" s="67" t="s">
        <v>170</v>
      </c>
      <c r="E30" s="67"/>
      <c r="F30" s="67"/>
      <c r="G30" s="67"/>
      <c r="H30" s="67"/>
      <c r="I30" s="67" t="s">
        <v>170</v>
      </c>
      <c r="J30" s="67"/>
      <c r="K30" s="67"/>
      <c r="L30" s="67"/>
      <c r="M30" s="67"/>
      <c r="N30" s="67"/>
      <c r="O30"/>
    </row>
    <row r="31" spans="4:15" x14ac:dyDescent="0.25">
      <c r="D31" s="68" t="s">
        <v>161</v>
      </c>
      <c r="E31" s="67"/>
      <c r="F31" s="67"/>
      <c r="G31" s="67"/>
      <c r="H31" s="67"/>
      <c r="I31" s="68" t="s">
        <v>162</v>
      </c>
      <c r="J31" s="67"/>
      <c r="K31" s="67"/>
      <c r="L31" s="67"/>
      <c r="M31" s="67"/>
      <c r="N31" s="67"/>
      <c r="O31"/>
    </row>
    <row r="32" spans="4:15" x14ac:dyDescent="0.25">
      <c r="D32" s="72" t="s">
        <v>57</v>
      </c>
      <c r="E32" s="73" t="s">
        <v>163</v>
      </c>
      <c r="F32" s="73" t="s">
        <v>164</v>
      </c>
      <c r="G32" s="73" t="s">
        <v>165</v>
      </c>
      <c r="H32" s="67"/>
      <c r="I32" s="72" t="s">
        <v>57</v>
      </c>
      <c r="J32" s="73" t="s">
        <v>163</v>
      </c>
      <c r="K32" s="73" t="s">
        <v>164</v>
      </c>
      <c r="L32" s="73" t="s">
        <v>165</v>
      </c>
      <c r="M32" s="67"/>
      <c r="N32" s="67"/>
      <c r="O32"/>
    </row>
    <row r="33" spans="4:15" x14ac:dyDescent="0.25">
      <c r="D33" s="89">
        <f>E10</f>
        <v>2022</v>
      </c>
      <c r="E33" s="91"/>
      <c r="F33" s="91"/>
      <c r="G33" s="91"/>
      <c r="H33" s="67"/>
      <c r="I33" s="89">
        <f>E10</f>
        <v>2022</v>
      </c>
      <c r="J33" s="91"/>
      <c r="K33" s="91"/>
      <c r="L33" s="91"/>
      <c r="M33" s="67"/>
      <c r="N33" s="67"/>
      <c r="O33"/>
    </row>
    <row r="34" spans="4:15" x14ac:dyDescent="0.25">
      <c r="D34" s="67"/>
      <c r="E34" s="67"/>
      <c r="F34" s="67"/>
      <c r="G34" s="67"/>
      <c r="H34" s="67"/>
      <c r="I34" s="67"/>
      <c r="J34" s="67"/>
      <c r="K34" s="67"/>
      <c r="L34" s="67"/>
      <c r="M34" s="67"/>
      <c r="N34" s="67"/>
      <c r="O34"/>
    </row>
    <row r="35" spans="4:15" x14ac:dyDescent="0.25">
      <c r="D35" s="67"/>
      <c r="E35" s="67"/>
      <c r="F35" s="67"/>
      <c r="G35" s="67"/>
      <c r="H35" s="67"/>
      <c r="I35" s="67"/>
      <c r="J35" s="67"/>
      <c r="K35" s="67"/>
      <c r="L35" s="67"/>
      <c r="M35" s="67"/>
      <c r="N35" s="67"/>
      <c r="O35"/>
    </row>
    <row r="36" spans="4:15" x14ac:dyDescent="0.25">
      <c r="D36" s="68" t="s">
        <v>166</v>
      </c>
      <c r="E36" s="67"/>
      <c r="F36" s="67"/>
      <c r="G36" s="67"/>
      <c r="H36" s="67"/>
      <c r="I36" s="68" t="s">
        <v>167</v>
      </c>
      <c r="J36" s="92">
        <f>E10</f>
        <v>2022</v>
      </c>
      <c r="K36" s="67"/>
      <c r="L36" s="67"/>
      <c r="M36" s="67"/>
      <c r="N36" s="67"/>
      <c r="O36"/>
    </row>
    <row r="37" spans="4:15" x14ac:dyDescent="0.25">
      <c r="D37" s="93" t="s">
        <v>57</v>
      </c>
      <c r="E37" s="77" t="s">
        <v>8</v>
      </c>
      <c r="F37" s="77" t="s">
        <v>7</v>
      </c>
      <c r="G37" s="77" t="s">
        <v>168</v>
      </c>
      <c r="H37" s="67"/>
      <c r="I37" s="72" t="s">
        <v>56</v>
      </c>
      <c r="J37" s="94" t="str">
        <f>DashAtual!O20</f>
        <v>Mao_de_Obra</v>
      </c>
      <c r="K37" s="72" t="s">
        <v>56</v>
      </c>
      <c r="L37" s="67"/>
      <c r="M37" s="67"/>
      <c r="N37" s="67"/>
      <c r="O37"/>
    </row>
    <row r="38" spans="4:15" x14ac:dyDescent="0.25">
      <c r="D38" s="95">
        <f>E10</f>
        <v>2022</v>
      </c>
      <c r="E38" s="96">
        <f ca="1">SUMIFS(Tab_Fluxo[Valor Total],Tab_Fluxo[Ano],D38,Tab_Fluxo[Tipo],"Entradas",Tab_Fluxo[Data],"&lt;="&amp;$E$11)</f>
        <v>2040</v>
      </c>
      <c r="F38" s="96">
        <f ca="1">SUMIFS(Tab_Fluxo[Valor Total],Tab_Fluxo[Ano],D38,Tab_Fluxo[Tipo],"Saídas",Tab_Fluxo[Data],"&lt;="&amp;$E$11)</f>
        <v>300</v>
      </c>
      <c r="G38" s="97">
        <f ca="1">E38-F38</f>
        <v>1740</v>
      </c>
      <c r="H38" s="67"/>
      <c r="I38" s="67">
        <v>1</v>
      </c>
      <c r="J38" s="78">
        <f ca="1">IF($J$37="Tudo",SUMIFS(Tab_Fluxo[Valor Total],Tab_Fluxo[Tipo],"Saídas",Tab_Fluxo[Ano],$J$36,Tab_Fluxo[Mês],I38,Tab_Fluxo[Data],"&lt;="&amp;$E$11),SUMIFS(Tab_Fluxo[Valor Total],Tab_Fluxo[Tipo],"Saídas",Tab_Fluxo[Ano],$J$36,Tab_Fluxo[Mês],I38,Tab_Fluxo[Data],"&lt;="&amp;$E$11,Tab_Fluxo[Categoria],$J$37))</f>
        <v>0</v>
      </c>
      <c r="K38" s="77" t="s">
        <v>144</v>
      </c>
      <c r="L38" s="67"/>
      <c r="M38" s="67"/>
      <c r="N38" s="67"/>
      <c r="O38"/>
    </row>
    <row r="39" spans="4:15" x14ac:dyDescent="0.25">
      <c r="D39" s="67"/>
      <c r="E39" s="67"/>
      <c r="F39" s="67"/>
      <c r="G39" s="67"/>
      <c r="H39" s="67"/>
      <c r="I39" s="67">
        <v>2</v>
      </c>
      <c r="J39" s="78">
        <f ca="1">IF($J$37="Tudo",SUMIFS(Tab_Fluxo[Valor Total],Tab_Fluxo[Tipo],"Saídas",Tab_Fluxo[Ano],$J$36,Tab_Fluxo[Mês],I39,Tab_Fluxo[Data],"&lt;="&amp;$E$11),SUMIFS(Tab_Fluxo[Valor Total],Tab_Fluxo[Tipo],"Saídas",Tab_Fluxo[Ano],$J$36,Tab_Fluxo[Mês],I39,Tab_Fluxo[Data],"&lt;="&amp;$E$11,Tab_Fluxo[Categoria],$J$37))</f>
        <v>0</v>
      </c>
      <c r="K39" s="69" t="s">
        <v>145</v>
      </c>
      <c r="L39" s="67"/>
      <c r="M39" s="67"/>
      <c r="N39" s="67"/>
      <c r="O39"/>
    </row>
    <row r="40" spans="4:15" x14ac:dyDescent="0.25">
      <c r="D40" s="67"/>
      <c r="E40" s="67"/>
      <c r="F40" s="67"/>
      <c r="G40" s="67"/>
      <c r="H40" s="67"/>
      <c r="I40" s="67">
        <v>3</v>
      </c>
      <c r="J40" s="78">
        <f ca="1">IF($J$37="Tudo",SUMIFS(Tab_Fluxo[Valor Total],Tab_Fluxo[Tipo],"Saídas",Tab_Fluxo[Ano],$J$36,Tab_Fluxo[Mês],I40,Tab_Fluxo[Data],"&lt;="&amp;$E$11),SUMIFS(Tab_Fluxo[Valor Total],Tab_Fluxo[Tipo],"Saídas",Tab_Fluxo[Ano],$J$36,Tab_Fluxo[Mês],I40,Tab_Fluxo[Data],"&lt;="&amp;$E$11,Tab_Fluxo[Categoria],$J$37))</f>
        <v>0</v>
      </c>
      <c r="K40" s="69" t="s">
        <v>147</v>
      </c>
      <c r="L40" s="67"/>
      <c r="M40" s="67"/>
      <c r="N40" s="67"/>
      <c r="O40"/>
    </row>
    <row r="41" spans="4:15" x14ac:dyDescent="0.25">
      <c r="D41" s="67"/>
      <c r="E41" s="67"/>
      <c r="F41" s="67"/>
      <c r="G41" s="67"/>
      <c r="H41" s="67"/>
      <c r="I41" s="67">
        <v>4</v>
      </c>
      <c r="J41" s="78">
        <f ca="1">IF($J$37="Tudo",SUMIFS(Tab_Fluxo[Valor Total],Tab_Fluxo[Tipo],"Saídas",Tab_Fluxo[Ano],$J$36,Tab_Fluxo[Mês],I41,Tab_Fluxo[Data],"&lt;="&amp;$E$11),SUMIFS(Tab_Fluxo[Valor Total],Tab_Fluxo[Tipo],"Saídas",Tab_Fluxo[Ano],$J$36,Tab_Fluxo[Mês],I41,Tab_Fluxo[Data],"&lt;="&amp;$E$11,Tab_Fluxo[Categoria],$J$37))</f>
        <v>0</v>
      </c>
      <c r="K41" s="69" t="s">
        <v>148</v>
      </c>
      <c r="L41" s="67"/>
      <c r="M41" s="67"/>
      <c r="N41" s="67"/>
      <c r="O41"/>
    </row>
    <row r="42" spans="4:15" x14ac:dyDescent="0.25">
      <c r="D42" s="67"/>
      <c r="E42" s="67"/>
      <c r="F42" s="67"/>
      <c r="G42" s="67"/>
      <c r="H42" s="67"/>
      <c r="I42" s="67">
        <v>5</v>
      </c>
      <c r="J42" s="78">
        <f ca="1">IF($J$37="Tudo",SUMIFS(Tab_Fluxo[Valor Total],Tab_Fluxo[Tipo],"Saídas",Tab_Fluxo[Ano],$J$36,Tab_Fluxo[Mês],I42,Tab_Fluxo[Data],"&lt;="&amp;$E$11),SUMIFS(Tab_Fluxo[Valor Total],Tab_Fluxo[Tipo],"Saídas",Tab_Fluxo[Ano],$J$36,Tab_Fluxo[Mês],I42,Tab_Fluxo[Data],"&lt;="&amp;$E$11,Tab_Fluxo[Categoria],$J$37))</f>
        <v>0</v>
      </c>
      <c r="K42" s="69" t="s">
        <v>149</v>
      </c>
      <c r="L42" s="67"/>
      <c r="M42" s="67"/>
      <c r="N42" s="67"/>
      <c r="O42"/>
    </row>
    <row r="43" spans="4:15" x14ac:dyDescent="0.25">
      <c r="D43" s="67"/>
      <c r="E43" s="67"/>
      <c r="F43" s="67"/>
      <c r="G43" s="67"/>
      <c r="H43" s="67"/>
      <c r="I43" s="67">
        <v>6</v>
      </c>
      <c r="J43" s="78">
        <f ca="1">IF($J$37="Tudo",SUMIFS(Tab_Fluxo[Valor Total],Tab_Fluxo[Tipo],"Saídas",Tab_Fluxo[Ano],$J$36,Tab_Fluxo[Mês],I43,Tab_Fluxo[Data],"&lt;="&amp;$E$11),SUMIFS(Tab_Fluxo[Valor Total],Tab_Fluxo[Tipo],"Saídas",Tab_Fluxo[Ano],$J$36,Tab_Fluxo[Mês],I43,Tab_Fluxo[Data],"&lt;="&amp;$E$11,Tab_Fluxo[Categoria],$J$37))</f>
        <v>0</v>
      </c>
      <c r="K43" s="69" t="s">
        <v>150</v>
      </c>
      <c r="L43" s="67"/>
      <c r="M43" s="67"/>
      <c r="N43" s="67"/>
      <c r="O43"/>
    </row>
    <row r="44" spans="4:15" x14ac:dyDescent="0.25">
      <c r="D44" s="67"/>
      <c r="E44" s="67"/>
      <c r="F44" s="67"/>
      <c r="G44" s="67"/>
      <c r="H44" s="67"/>
      <c r="I44" s="67">
        <v>7</v>
      </c>
      <c r="J44" s="78">
        <f ca="1">IF($J$37="Tudo",SUMIFS(Tab_Fluxo[Valor Total],Tab_Fluxo[Tipo],"Saídas",Tab_Fluxo[Ano],$J$36,Tab_Fluxo[Mês],I44,Tab_Fluxo[Data],"&lt;="&amp;$E$11),SUMIFS(Tab_Fluxo[Valor Total],Tab_Fluxo[Tipo],"Saídas",Tab_Fluxo[Ano],$J$36,Tab_Fluxo[Mês],I44,Tab_Fluxo[Data],"&lt;="&amp;$E$11,Tab_Fluxo[Categoria],$J$37))</f>
        <v>0</v>
      </c>
      <c r="K44" s="69" t="s">
        <v>151</v>
      </c>
      <c r="L44" s="67"/>
      <c r="M44" s="67"/>
      <c r="N44" s="67"/>
      <c r="O44"/>
    </row>
    <row r="45" spans="4:15" x14ac:dyDescent="0.25">
      <c r="D45" s="67"/>
      <c r="E45" s="67"/>
      <c r="F45" s="67"/>
      <c r="G45" s="67"/>
      <c r="H45" s="67"/>
      <c r="I45" s="67">
        <v>8</v>
      </c>
      <c r="J45" s="78">
        <f ca="1">IF($J$37="Tudo",SUMIFS(Tab_Fluxo[Valor Total],Tab_Fluxo[Tipo],"Saídas",Tab_Fluxo[Ano],$J$36,Tab_Fluxo[Mês],I45,Tab_Fluxo[Data],"&lt;="&amp;$E$11),SUMIFS(Tab_Fluxo[Valor Total],Tab_Fluxo[Tipo],"Saídas",Tab_Fluxo[Ano],$J$36,Tab_Fluxo[Mês],I45,Tab_Fluxo[Data],"&lt;="&amp;$E$11,Tab_Fluxo[Categoria],$J$37))</f>
        <v>0</v>
      </c>
      <c r="K45" s="69" t="s">
        <v>152</v>
      </c>
      <c r="L45" s="67"/>
      <c r="M45" s="67"/>
      <c r="N45" s="67"/>
      <c r="O45"/>
    </row>
    <row r="46" spans="4:15" x14ac:dyDescent="0.25">
      <c r="D46" s="67"/>
      <c r="E46" s="67"/>
      <c r="F46" s="67"/>
      <c r="G46" s="67"/>
      <c r="H46" s="67"/>
      <c r="I46" s="67">
        <v>9</v>
      </c>
      <c r="J46" s="78">
        <f ca="1">IF($J$37="Tudo",SUMIFS(Tab_Fluxo[Valor Total],Tab_Fluxo[Tipo],"Saídas",Tab_Fluxo[Ano],$J$36,Tab_Fluxo[Mês],I46,Tab_Fluxo[Data],"&lt;="&amp;$E$11),SUMIFS(Tab_Fluxo[Valor Total],Tab_Fluxo[Tipo],"Saídas",Tab_Fluxo[Ano],$J$36,Tab_Fluxo[Mês],I46,Tab_Fluxo[Data],"&lt;="&amp;$E$11,Tab_Fluxo[Categoria],$J$37))</f>
        <v>0</v>
      </c>
      <c r="K46" s="69" t="s">
        <v>154</v>
      </c>
      <c r="L46" s="67"/>
      <c r="M46" s="67"/>
      <c r="N46" s="67"/>
      <c r="O46"/>
    </row>
    <row r="47" spans="4:15" x14ac:dyDescent="0.25">
      <c r="D47" s="67"/>
      <c r="E47" s="67"/>
      <c r="F47" s="67"/>
      <c r="G47" s="67"/>
      <c r="H47" s="67"/>
      <c r="I47" s="67">
        <v>10</v>
      </c>
      <c r="J47" s="78">
        <f ca="1">IF($J$37="Tudo",SUMIFS(Tab_Fluxo[Valor Total],Tab_Fluxo[Tipo],"Saídas",Tab_Fluxo[Ano],$J$36,Tab_Fluxo[Mês],I47,Tab_Fluxo[Data],"&lt;="&amp;$E$11),SUMIFS(Tab_Fluxo[Valor Total],Tab_Fluxo[Tipo],"Saídas",Tab_Fluxo[Ano],$J$36,Tab_Fluxo[Mês],I47,Tab_Fluxo[Data],"&lt;="&amp;$E$11,Tab_Fluxo[Categoria],$J$37))</f>
        <v>0</v>
      </c>
      <c r="K47" s="69" t="s">
        <v>156</v>
      </c>
      <c r="L47" s="67"/>
      <c r="M47" s="67"/>
      <c r="N47" s="67"/>
      <c r="O47"/>
    </row>
    <row r="48" spans="4:15" x14ac:dyDescent="0.25">
      <c r="D48" s="67"/>
      <c r="E48" s="67"/>
      <c r="F48" s="67"/>
      <c r="G48" s="67"/>
      <c r="H48" s="67"/>
      <c r="I48" s="67">
        <v>11</v>
      </c>
      <c r="J48" s="78">
        <f ca="1">IF($J$37="Tudo",SUMIFS(Tab_Fluxo[Valor Total],Tab_Fluxo[Tipo],"Saídas",Tab_Fluxo[Ano],$J$36,Tab_Fluxo[Mês],I48,Tab_Fluxo[Data],"&lt;="&amp;$E$11),SUMIFS(Tab_Fluxo[Valor Total],Tab_Fluxo[Tipo],"Saídas",Tab_Fluxo[Ano],$J$36,Tab_Fluxo[Mês],I48,Tab_Fluxo[Data],"&lt;="&amp;$E$11,Tab_Fluxo[Categoria],$J$37))</f>
        <v>0</v>
      </c>
      <c r="K48" s="69" t="s">
        <v>157</v>
      </c>
      <c r="L48" s="67"/>
      <c r="M48" s="67"/>
      <c r="N48" s="67"/>
      <c r="O48"/>
    </row>
    <row r="49" spans="4:15" x14ac:dyDescent="0.25">
      <c r="D49" s="67"/>
      <c r="E49" s="67"/>
      <c r="F49" s="67"/>
      <c r="G49" s="67"/>
      <c r="H49" s="67"/>
      <c r="I49" s="81">
        <v>12</v>
      </c>
      <c r="J49" s="78">
        <f ca="1">IF($J$37="Tudo",SUMIFS(Tab_Fluxo[Valor Total],Tab_Fluxo[Tipo],"Saídas",Tab_Fluxo[Ano],$J$36,Tab_Fluxo[Mês],I49,Tab_Fluxo[Data],"&lt;="&amp;$E$11),SUMIFS(Tab_Fluxo[Valor Total],Tab_Fluxo[Tipo],"Saídas",Tab_Fluxo[Ano],$J$36,Tab_Fluxo[Mês],I49,Tab_Fluxo[Data],"&lt;="&amp;$E$11,Tab_Fluxo[Categoria],$J$37))</f>
        <v>0</v>
      </c>
      <c r="K49" s="87" t="s">
        <v>158</v>
      </c>
      <c r="L49" s="67"/>
      <c r="M49" s="67"/>
      <c r="N49" s="67"/>
      <c r="O49"/>
    </row>
    <row r="50" spans="4:15" x14ac:dyDescent="0.25">
      <c r="D50" s="67"/>
      <c r="E50" s="67"/>
      <c r="F50" s="67"/>
      <c r="G50" s="67"/>
      <c r="H50" s="67"/>
      <c r="I50" s="72" t="s">
        <v>160</v>
      </c>
      <c r="J50" s="98">
        <f ca="1">SUM(J38:J49)</f>
        <v>0</v>
      </c>
      <c r="K50" s="67"/>
      <c r="L50" s="67"/>
      <c r="M50" s="67"/>
      <c r="N50" s="67"/>
      <c r="O50"/>
    </row>
    <row r="51" spans="4:15" x14ac:dyDescent="0.25">
      <c r="D51" s="67"/>
      <c r="E51" s="67"/>
      <c r="F51" s="67"/>
      <c r="G51" s="67"/>
      <c r="H51" s="67"/>
      <c r="I51" s="67"/>
      <c r="J51" s="67"/>
      <c r="K51" s="67"/>
      <c r="L51" s="67"/>
      <c r="M51" s="67"/>
      <c r="N51" s="67"/>
      <c r="O51"/>
    </row>
    <row r="52" spans="4:15" x14ac:dyDescent="0.25">
      <c r="D52"/>
      <c r="E52"/>
      <c r="F52"/>
      <c r="G52"/>
      <c r="H52" s="67"/>
      <c r="I52" s="67"/>
      <c r="J52" s="67"/>
      <c r="K52" s="67"/>
      <c r="L52"/>
      <c r="M52"/>
      <c r="N52"/>
    </row>
  </sheetData>
  <mergeCells count="1">
    <mergeCell ref="B1:AC3"/>
  </mergeCells>
  <conditionalFormatting sqref="E17">
    <cfRule type="cellIs" dxfId="1" priority="1" operator="lessThan">
      <formula>0</formula>
    </cfRule>
  </conditionalFormatting>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7D80-A834-4879-8E68-ED945F930AD3}">
  <sheetPr codeName="Sheet30"/>
  <dimension ref="A1:AC51"/>
  <sheetViews>
    <sheetView workbookViewId="0"/>
  </sheetViews>
  <sheetFormatPr defaultRowHeight="15" x14ac:dyDescent="0.25"/>
  <cols>
    <col min="1" max="1" width="9.140625" style="120"/>
    <col min="2" max="2" width="9.140625" style="156" customWidth="1"/>
    <col min="3" max="3" width="5.42578125" customWidth="1"/>
    <col min="4" max="11" width="15.7109375" style="9" customWidth="1"/>
    <col min="12" max="12" width="36.7109375" style="9" bestFit="1" customWidth="1"/>
    <col min="13" max="13" width="15.7109375" style="9" customWidth="1"/>
    <col min="14" max="14" width="17" style="9" customWidth="1"/>
    <col min="15" max="15" width="15.7109375" style="9" customWidth="1"/>
    <col min="17" max="17" width="5.140625" customWidth="1"/>
  </cols>
  <sheetData>
    <row r="1" spans="1:29" ht="15" customHeight="1" x14ac:dyDescent="0.25">
      <c r="B1" s="189" t="s">
        <v>262</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c r="AB1" s="189"/>
      <c r="AC1" s="189"/>
    </row>
    <row r="2" spans="1:29" ht="15" customHeight="1"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row>
    <row r="3" spans="1:29" ht="15" customHeight="1"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row>
    <row r="4" spans="1:29" s="157" customFormat="1" x14ac:dyDescent="0.25">
      <c r="A4" s="120"/>
      <c r="B4" s="153"/>
      <c r="D4" s="166"/>
      <c r="E4" s="166"/>
      <c r="F4" s="166"/>
      <c r="G4" s="166"/>
      <c r="H4" s="166"/>
      <c r="I4" s="166"/>
      <c r="J4" s="166"/>
      <c r="K4" s="166"/>
      <c r="L4" s="166"/>
      <c r="M4" s="166"/>
      <c r="N4" s="166"/>
      <c r="O4" s="166"/>
      <c r="V4" s="167"/>
      <c r="W4" s="167"/>
      <c r="X4" s="167"/>
    </row>
    <row r="5" spans="1:29" s="157" customFormat="1" x14ac:dyDescent="0.25">
      <c r="A5" s="120"/>
      <c r="B5" s="156"/>
      <c r="D5" s="166"/>
      <c r="E5" s="166"/>
      <c r="F5" s="166"/>
      <c r="G5" s="166"/>
      <c r="H5" s="166"/>
      <c r="I5" s="166"/>
      <c r="J5" s="166"/>
      <c r="K5" s="166"/>
      <c r="L5" s="166"/>
      <c r="M5" s="166"/>
      <c r="N5" s="166"/>
      <c r="O5" s="166"/>
      <c r="V5" s="167"/>
      <c r="W5" s="167"/>
      <c r="X5" s="167"/>
    </row>
    <row r="6" spans="1:29" s="105" customFormat="1" ht="15.75" thickBot="1" x14ac:dyDescent="0.3">
      <c r="A6" s="120"/>
      <c r="B6" s="155"/>
      <c r="D6" s="106"/>
      <c r="E6" s="106"/>
      <c r="F6" s="106"/>
      <c r="G6" s="106"/>
      <c r="H6" s="106"/>
      <c r="I6" s="106"/>
      <c r="J6" s="106"/>
      <c r="K6" s="106"/>
      <c r="L6" s="106"/>
      <c r="M6" s="106"/>
      <c r="N6" s="106"/>
      <c r="O6" s="106"/>
      <c r="V6" s="161"/>
      <c r="W6" s="161"/>
      <c r="X6" s="161"/>
    </row>
    <row r="7" spans="1:29" x14ac:dyDescent="0.25">
      <c r="D7" s="68" t="s">
        <v>136</v>
      </c>
      <c r="E7" s="68"/>
      <c r="F7" s="68"/>
      <c r="G7" s="68"/>
      <c r="H7" s="68"/>
      <c r="I7" s="68"/>
      <c r="J7" s="68"/>
      <c r="K7" s="68"/>
      <c r="L7" s="68"/>
      <c r="M7" s="68"/>
      <c r="N7" s="68"/>
      <c r="O7"/>
    </row>
    <row r="8" spans="1:29" x14ac:dyDescent="0.25">
      <c r="D8" s="67"/>
      <c r="E8" s="67"/>
      <c r="F8" s="67"/>
      <c r="G8" s="67"/>
      <c r="H8" s="67" t="s">
        <v>171</v>
      </c>
      <c r="I8" s="67"/>
      <c r="J8" s="67"/>
      <c r="K8" s="67"/>
      <c r="L8" s="67"/>
      <c r="M8" s="67"/>
      <c r="N8" s="67"/>
      <c r="O8"/>
    </row>
    <row r="9" spans="1:29" x14ac:dyDescent="0.25">
      <c r="D9" s="67"/>
      <c r="E9" s="67"/>
      <c r="F9" s="67"/>
      <c r="G9" s="67"/>
      <c r="H9" s="68" t="s">
        <v>137</v>
      </c>
      <c r="I9" s="67"/>
      <c r="J9" s="67"/>
      <c r="K9" s="67"/>
      <c r="L9" s="68" t="s">
        <v>138</v>
      </c>
      <c r="M9" s="69" t="s">
        <v>139</v>
      </c>
      <c r="N9" s="70">
        <f>E10</f>
        <v>2022</v>
      </c>
      <c r="O9"/>
    </row>
    <row r="10" spans="1:29" x14ac:dyDescent="0.25">
      <c r="D10" s="69" t="s">
        <v>140</v>
      </c>
      <c r="E10" s="71">
        <f>DashAnual!E5</f>
        <v>2022</v>
      </c>
      <c r="F10" s="67"/>
      <c r="G10" s="67"/>
      <c r="H10" s="72" t="s">
        <v>56</v>
      </c>
      <c r="I10" s="73" t="s">
        <v>141</v>
      </c>
      <c r="J10" s="72" t="s">
        <v>142</v>
      </c>
      <c r="K10" s="67"/>
      <c r="L10" s="74" t="str">
        <f>DashAnual!O9</f>
        <v>Serviços</v>
      </c>
      <c r="M10" s="72" t="s">
        <v>143</v>
      </c>
      <c r="N10" s="72" t="s">
        <v>56</v>
      </c>
      <c r="O10"/>
    </row>
    <row r="11" spans="1:29" x14ac:dyDescent="0.25">
      <c r="D11" s="67"/>
      <c r="E11" s="67"/>
      <c r="F11" s="67"/>
      <c r="G11" s="67"/>
      <c r="H11" s="75">
        <v>1</v>
      </c>
      <c r="I11" s="76"/>
      <c r="J11" s="76"/>
      <c r="K11" s="67"/>
      <c r="L11" s="76">
        <f>IF($L$10="Tudo",SUMIFS(Tab_Fluxo[Valor Total],Tab_Fluxo[Ano],$N$9,Tab_Fluxo[Mês],H11,Tab_Fluxo[Tipo],"Entradas"),SUMIFS(Tab_Fluxo[Valor Total],Tab_Fluxo[Ano],$N$9,Tab_Fluxo[Mês],H11,Tab_Fluxo[Tipo],"Entradas",Tab_Fluxo[Categoria],$L$10))</f>
        <v>0</v>
      </c>
      <c r="M11" s="76" t="e">
        <f>IF(L11=0,NA(),L11)</f>
        <v>#N/A</v>
      </c>
      <c r="N11" s="77" t="s">
        <v>144</v>
      </c>
      <c r="O11"/>
      <c r="P11">
        <f>SUMIFS(Tab_Fluxo[Valor Total],Tab_Fluxo[Ano],$N$9,Tab_Fluxo[Mês],H22,Tab_Fluxo[Tipo],"Entradas")</f>
        <v>0</v>
      </c>
    </row>
    <row r="12" spans="1:29" x14ac:dyDescent="0.25">
      <c r="D12" s="67"/>
      <c r="E12" s="67"/>
      <c r="F12" s="67"/>
      <c r="G12" s="67"/>
      <c r="H12" s="67">
        <v>2</v>
      </c>
      <c r="I12" s="78"/>
      <c r="J12" s="78"/>
      <c r="K12" s="67"/>
      <c r="L12" s="76">
        <f>IF($L$10="Tudo",SUMIFS(Tab_Fluxo[Valor Total],Tab_Fluxo[Ano],$N$9,Tab_Fluxo[Mês],H12,Tab_Fluxo[Tipo],"Entradas"),SUMIFS(Tab_Fluxo[Valor Total],Tab_Fluxo[Ano],$N$9,Tab_Fluxo[Mês],H12,Tab_Fluxo[Tipo],"Entradas",Tab_Fluxo[Categoria],$L$10))</f>
        <v>0</v>
      </c>
      <c r="M12" s="78" t="e">
        <f t="shared" ref="M12:M22" si="0">IF(L12=0,NA(),L12)</f>
        <v>#N/A</v>
      </c>
      <c r="N12" s="69" t="s">
        <v>145</v>
      </c>
      <c r="O12"/>
    </row>
    <row r="13" spans="1:29" x14ac:dyDescent="0.25">
      <c r="D13" s="68" t="s">
        <v>146</v>
      </c>
      <c r="E13" s="67"/>
      <c r="F13" s="67"/>
      <c r="G13" s="67"/>
      <c r="H13" s="67">
        <v>3</v>
      </c>
      <c r="I13" s="78"/>
      <c r="J13" s="78"/>
      <c r="K13" s="67"/>
      <c r="L13" s="76">
        <f>IF($L$10="Tudo",SUMIFS(Tab_Fluxo[Valor Total],Tab_Fluxo[Ano],$N$9,Tab_Fluxo[Mês],H13,Tab_Fluxo[Tipo],"Entradas"),SUMIFS(Tab_Fluxo[Valor Total],Tab_Fluxo[Ano],$N$9,Tab_Fluxo[Mês],H13,Tab_Fluxo[Tipo],"Entradas",Tab_Fluxo[Categoria],$L$10))</f>
        <v>0</v>
      </c>
      <c r="M13" s="78" t="e">
        <f t="shared" si="0"/>
        <v>#N/A</v>
      </c>
      <c r="N13" s="69" t="s">
        <v>147</v>
      </c>
      <c r="O13"/>
    </row>
    <row r="14" spans="1:29" x14ac:dyDescent="0.25">
      <c r="D14" s="75" t="s">
        <v>72</v>
      </c>
      <c r="E14" s="79">
        <f>SUMIFS(Tab_Fluxo[Valor Total],Tab_Fluxo[Ano],"&lt;"&amp;E10,Tab_Fluxo[Ano],"&lt;&gt;0",Tab_Fluxo[Tipo],"Entradas")-SUMIFS(Tab_Fluxo[Valor Total],Tab_Fluxo[Ano],"&lt;"&amp;E10,Tab_Fluxo[Ano],"&lt;&gt;0",Tab_Fluxo[Tipo],"Saídas")</f>
        <v>0</v>
      </c>
      <c r="F14" s="67"/>
      <c r="G14" s="67"/>
      <c r="H14" s="67">
        <v>4</v>
      </c>
      <c r="I14" s="78"/>
      <c r="J14" s="78"/>
      <c r="K14" s="67"/>
      <c r="L14" s="76">
        <f>IF($L$10="Tudo",SUMIFS(Tab_Fluxo[Valor Total],Tab_Fluxo[Ano],$N$9,Tab_Fluxo[Mês],H14,Tab_Fluxo[Tipo],"Entradas"),SUMIFS(Tab_Fluxo[Valor Total],Tab_Fluxo[Ano],$N$9,Tab_Fluxo[Mês],H14,Tab_Fluxo[Tipo],"Entradas",Tab_Fluxo[Categoria],$L$10))</f>
        <v>0</v>
      </c>
      <c r="M14" s="78" t="e">
        <f t="shared" si="0"/>
        <v>#N/A</v>
      </c>
      <c r="N14" s="69" t="s">
        <v>148</v>
      </c>
      <c r="O14"/>
    </row>
    <row r="15" spans="1:29" x14ac:dyDescent="0.25">
      <c r="D15" s="67" t="s">
        <v>8</v>
      </c>
      <c r="E15" s="80">
        <f>SUMIFS(Tab_Fluxo[Valor Total],Tab_Fluxo[Ano],"="&amp;E10,Tab_Fluxo[Tipo],"Entradas")</f>
        <v>2040</v>
      </c>
      <c r="F15" s="67"/>
      <c r="G15" s="67"/>
      <c r="H15" s="67">
        <v>5</v>
      </c>
      <c r="I15" s="78"/>
      <c r="J15" s="78"/>
      <c r="K15" s="67"/>
      <c r="L15" s="76">
        <f>IF($L$10="Tudo",SUMIFS(Tab_Fluxo[Valor Total],Tab_Fluxo[Ano],$N$9,Tab_Fluxo[Mês],H15,Tab_Fluxo[Tipo],"Entradas"),SUMIFS(Tab_Fluxo[Valor Total],Tab_Fluxo[Ano],$N$9,Tab_Fluxo[Mês],H15,Tab_Fluxo[Tipo],"Entradas",Tab_Fluxo[Categoria],$L$10))</f>
        <v>2040</v>
      </c>
      <c r="M15" s="78">
        <f t="shared" si="0"/>
        <v>2040</v>
      </c>
      <c r="N15" s="69" t="s">
        <v>149</v>
      </c>
      <c r="O15"/>
    </row>
    <row r="16" spans="1:29" x14ac:dyDescent="0.25">
      <c r="D16" s="67" t="s">
        <v>7</v>
      </c>
      <c r="E16" s="80">
        <f>SUMIFS(Tab_Fluxo[Valor Total],Tab_Fluxo[Ano],"="&amp;E10,Tab_Fluxo[Tipo],"Saídas")</f>
        <v>300</v>
      </c>
      <c r="F16" s="67"/>
      <c r="G16" s="67"/>
      <c r="H16" s="67">
        <v>6</v>
      </c>
      <c r="I16" s="78"/>
      <c r="J16" s="78"/>
      <c r="K16" s="67"/>
      <c r="L16" s="76">
        <f>IF($L$10="Tudo",SUMIFS(Tab_Fluxo[Valor Total],Tab_Fluxo[Ano],$N$9,Tab_Fluxo[Mês],H16,Tab_Fluxo[Tipo],"Entradas"),SUMIFS(Tab_Fluxo[Valor Total],Tab_Fluxo[Ano],$N$9,Tab_Fluxo[Mês],H16,Tab_Fluxo[Tipo],"Entradas",Tab_Fluxo[Categoria],$L$10))</f>
        <v>0</v>
      </c>
      <c r="M16" s="78" t="e">
        <f t="shared" si="0"/>
        <v>#N/A</v>
      </c>
      <c r="N16" s="69" t="s">
        <v>150</v>
      </c>
      <c r="O16"/>
    </row>
    <row r="17" spans="4:15" x14ac:dyDescent="0.25">
      <c r="D17" s="81" t="s">
        <v>6</v>
      </c>
      <c r="E17" s="82">
        <f>E14+E15-E16</f>
        <v>1740</v>
      </c>
      <c r="F17" s="67"/>
      <c r="G17" s="67"/>
      <c r="H17" s="67">
        <v>7</v>
      </c>
      <c r="I17" s="78"/>
      <c r="J17" s="78"/>
      <c r="K17" s="67"/>
      <c r="L17" s="76">
        <f>IF($L$10="Tudo",SUMIFS(Tab_Fluxo[Valor Total],Tab_Fluxo[Ano],$N$9,Tab_Fluxo[Mês],H17,Tab_Fluxo[Tipo],"Entradas"),SUMIFS(Tab_Fluxo[Valor Total],Tab_Fluxo[Ano],$N$9,Tab_Fluxo[Mês],H17,Tab_Fluxo[Tipo],"Entradas",Tab_Fluxo[Categoria],$L$10))</f>
        <v>0</v>
      </c>
      <c r="M17" s="78" t="e">
        <f t="shared" si="0"/>
        <v>#N/A</v>
      </c>
      <c r="N17" s="69" t="s">
        <v>151</v>
      </c>
      <c r="O17"/>
    </row>
    <row r="18" spans="4:15" x14ac:dyDescent="0.25">
      <c r="D18" s="67" t="s">
        <v>170</v>
      </c>
      <c r="E18" s="67"/>
      <c r="F18" s="67"/>
      <c r="G18" s="67"/>
      <c r="H18" s="67">
        <v>8</v>
      </c>
      <c r="I18" s="78"/>
      <c r="J18" s="78"/>
      <c r="K18" s="67"/>
      <c r="L18" s="76">
        <f>IF($L$10="Tudo",SUMIFS(Tab_Fluxo[Valor Total],Tab_Fluxo[Ano],$N$9,Tab_Fluxo[Mês],H18,Tab_Fluxo[Tipo],"Entradas"),SUMIFS(Tab_Fluxo[Valor Total],Tab_Fluxo[Ano],$N$9,Tab_Fluxo[Mês],H18,Tab_Fluxo[Tipo],"Entradas",Tab_Fluxo[Categoria],$L$10))</f>
        <v>0</v>
      </c>
      <c r="M18" s="78" t="e">
        <f t="shared" si="0"/>
        <v>#N/A</v>
      </c>
      <c r="N18" s="69" t="s">
        <v>152</v>
      </c>
      <c r="O18"/>
    </row>
    <row r="19" spans="4:15" x14ac:dyDescent="0.25">
      <c r="D19" s="83" t="s">
        <v>153</v>
      </c>
      <c r="E19" s="83"/>
      <c r="F19" s="79"/>
      <c r="G19" s="67"/>
      <c r="H19" s="67">
        <v>9</v>
      </c>
      <c r="I19" s="78"/>
      <c r="J19" s="78"/>
      <c r="K19" s="67"/>
      <c r="L19" s="76">
        <f>IF($L$10="Tudo",SUMIFS(Tab_Fluxo[Valor Total],Tab_Fluxo[Ano],$N$9,Tab_Fluxo[Mês],H19,Tab_Fluxo[Tipo],"Entradas"),SUMIFS(Tab_Fluxo[Valor Total],Tab_Fluxo[Ano],$N$9,Tab_Fluxo[Mês],H19,Tab_Fluxo[Tipo],"Entradas",Tab_Fluxo[Categoria],$L$10))</f>
        <v>0</v>
      </c>
      <c r="M19" s="78" t="e">
        <f t="shared" si="0"/>
        <v>#N/A</v>
      </c>
      <c r="N19" s="69" t="s">
        <v>154</v>
      </c>
      <c r="O19"/>
    </row>
    <row r="20" spans="4:15" x14ac:dyDescent="0.25">
      <c r="D20" s="84" t="s">
        <v>155</v>
      </c>
      <c r="E20" s="84"/>
      <c r="F20" s="85"/>
      <c r="G20" s="67"/>
      <c r="H20" s="67">
        <v>10</v>
      </c>
      <c r="I20" s="78"/>
      <c r="J20" s="78"/>
      <c r="K20" s="67"/>
      <c r="L20" s="76">
        <f>IF($L$10="Tudo",SUMIFS(Tab_Fluxo[Valor Total],Tab_Fluxo[Ano],$N$9,Tab_Fluxo[Mês],H20,Tab_Fluxo[Tipo],"Entradas"),SUMIFS(Tab_Fluxo[Valor Total],Tab_Fluxo[Ano],$N$9,Tab_Fluxo[Mês],H20,Tab_Fluxo[Tipo],"Entradas",Tab_Fluxo[Categoria],$L$10))</f>
        <v>0</v>
      </c>
      <c r="M20" s="78" t="e">
        <f t="shared" si="0"/>
        <v>#N/A</v>
      </c>
      <c r="N20" s="69" t="s">
        <v>156</v>
      </c>
      <c r="O20"/>
    </row>
    <row r="21" spans="4:15" x14ac:dyDescent="0.25">
      <c r="D21" s="67"/>
      <c r="E21" s="67"/>
      <c r="F21" s="67"/>
      <c r="G21" s="67"/>
      <c r="H21" s="67">
        <v>11</v>
      </c>
      <c r="I21" s="78"/>
      <c r="J21" s="78"/>
      <c r="K21" s="67"/>
      <c r="L21" s="76">
        <f>IF($L$10="Tudo",SUMIFS(Tab_Fluxo[Valor Total],Tab_Fluxo[Ano],$N$9,Tab_Fluxo[Mês],H21,Tab_Fluxo[Tipo],"Entradas"),SUMIFS(Tab_Fluxo[Valor Total],Tab_Fluxo[Ano],$N$9,Tab_Fluxo[Mês],H21,Tab_Fluxo[Tipo],"Entradas",Tab_Fluxo[Categoria],$L$10))</f>
        <v>0</v>
      </c>
      <c r="M21" s="78" t="e">
        <f t="shared" si="0"/>
        <v>#N/A</v>
      </c>
      <c r="N21" s="69" t="s">
        <v>157</v>
      </c>
      <c r="O21"/>
    </row>
    <row r="22" spans="4:15" x14ac:dyDescent="0.25">
      <c r="D22" s="67"/>
      <c r="E22" s="67"/>
      <c r="F22" s="67"/>
      <c r="G22" s="67"/>
      <c r="H22" s="81">
        <v>12</v>
      </c>
      <c r="I22" s="86"/>
      <c r="J22" s="86"/>
      <c r="K22" s="67"/>
      <c r="L22" s="76">
        <f>IF($L$10="Tudo",SUMIFS(Tab_Fluxo[Valor Total],Tab_Fluxo[Ano],$N$9,Tab_Fluxo[Mês],H22,Tab_Fluxo[Tipo],"Entradas"),SUMIFS(Tab_Fluxo[Valor Total],Tab_Fluxo[Ano],$N$9,Tab_Fluxo[Mês],H22,Tab_Fluxo[Tipo],"Entradas",Tab_Fluxo[Categoria],$L$10))</f>
        <v>0</v>
      </c>
      <c r="M22" s="86" t="e">
        <f t="shared" si="0"/>
        <v>#N/A</v>
      </c>
      <c r="N22" s="87" t="s">
        <v>158</v>
      </c>
      <c r="O22"/>
    </row>
    <row r="23" spans="4:15" x14ac:dyDescent="0.25">
      <c r="D23" s="67"/>
      <c r="E23" s="67"/>
      <c r="F23" s="67"/>
      <c r="G23" s="67"/>
      <c r="H23" s="67"/>
      <c r="I23" s="67"/>
      <c r="J23" s="67"/>
      <c r="K23" s="67"/>
      <c r="L23" s="67"/>
      <c r="M23" s="67"/>
      <c r="N23" s="67"/>
      <c r="O23"/>
    </row>
    <row r="24" spans="4:15" x14ac:dyDescent="0.25">
      <c r="D24" s="67"/>
      <c r="E24" s="67"/>
      <c r="F24" s="67"/>
      <c r="G24" s="67"/>
      <c r="H24" s="67"/>
      <c r="I24" s="67"/>
      <c r="J24" s="67"/>
      <c r="K24" s="67"/>
      <c r="L24" s="67"/>
      <c r="M24" s="67"/>
      <c r="N24" s="67"/>
      <c r="O24"/>
    </row>
    <row r="25" spans="4:15" x14ac:dyDescent="0.25">
      <c r="D25" s="67"/>
      <c r="E25" s="67"/>
      <c r="F25" s="67"/>
      <c r="G25" s="67"/>
      <c r="H25" s="67"/>
      <c r="I25" s="67"/>
      <c r="J25" s="67"/>
      <c r="K25" s="67"/>
      <c r="L25" s="67"/>
      <c r="M25" s="67"/>
      <c r="N25" s="67"/>
      <c r="O25"/>
    </row>
    <row r="26" spans="4:15" x14ac:dyDescent="0.25">
      <c r="D26" s="68" t="s">
        <v>159</v>
      </c>
      <c r="E26" s="67"/>
      <c r="F26" s="67"/>
      <c r="G26" s="88"/>
      <c r="H26" s="67"/>
      <c r="I26" s="67"/>
      <c r="J26" s="67"/>
      <c r="K26" s="67"/>
      <c r="L26" s="67"/>
      <c r="M26" s="67"/>
      <c r="N26" s="67"/>
      <c r="O26"/>
    </row>
    <row r="27" spans="4:15" x14ac:dyDescent="0.25">
      <c r="D27" s="72" t="s">
        <v>57</v>
      </c>
      <c r="E27" s="73" t="s">
        <v>129</v>
      </c>
      <c r="F27" s="73" t="s">
        <v>107</v>
      </c>
      <c r="G27" s="73" t="s">
        <v>127</v>
      </c>
      <c r="H27" s="73" t="s">
        <v>160</v>
      </c>
      <c r="I27" s="67"/>
      <c r="J27" s="67"/>
      <c r="K27" s="67"/>
      <c r="L27" s="67"/>
      <c r="M27" s="67"/>
      <c r="N27" s="67"/>
      <c r="O27"/>
    </row>
    <row r="28" spans="4:15" x14ac:dyDescent="0.25">
      <c r="D28" s="89">
        <v>2022</v>
      </c>
      <c r="E28" s="90">
        <f>SUMIFS(Tab_Fluxo[Valor Total],Tab_Fluxo[Método de Pagto],"À Vista",Tab_Fluxo[Ano],D28,Tab_Fluxo[Tipo],"Entradas")</f>
        <v>2040</v>
      </c>
      <c r="F28" s="90">
        <f>SUMIFS(Tab_Fluxo[Valor Total],Tab_Fluxo[Método de Pagto],"Cartão",Tab_Fluxo[Ano],D28,Tab_Fluxo[Tipo],"Entradas")</f>
        <v>0</v>
      </c>
      <c r="G28" s="90">
        <f>SUMIFS(Tab_Fluxo[Valor Total],Tab_Fluxo[Método de Pagto],"Parcelado",Tab_Fluxo[Ano],D28,Tab_Fluxo[Tipo],"Entradas")</f>
        <v>0</v>
      </c>
      <c r="H28" s="90">
        <f>E28+F28+G28</f>
        <v>2040</v>
      </c>
      <c r="I28" s="67"/>
      <c r="J28" s="67"/>
      <c r="K28" s="67"/>
      <c r="L28" s="67"/>
      <c r="M28" s="67"/>
      <c r="N28" s="67"/>
      <c r="O28"/>
    </row>
    <row r="29" spans="4:15" x14ac:dyDescent="0.25">
      <c r="D29" s="67"/>
      <c r="E29" s="67"/>
      <c r="F29" s="67"/>
      <c r="G29" s="67"/>
      <c r="H29" s="67"/>
      <c r="I29" s="67"/>
      <c r="J29" s="67"/>
      <c r="K29" s="67"/>
      <c r="L29" s="67"/>
      <c r="M29" s="67"/>
      <c r="N29" s="67"/>
      <c r="O29"/>
    </row>
    <row r="30" spans="4:15" x14ac:dyDescent="0.25">
      <c r="D30" s="67" t="s">
        <v>170</v>
      </c>
      <c r="E30" s="67"/>
      <c r="F30" s="67"/>
      <c r="G30" s="67"/>
      <c r="H30" s="67"/>
      <c r="I30" s="67" t="s">
        <v>170</v>
      </c>
      <c r="J30" s="67"/>
      <c r="K30" s="67"/>
      <c r="L30" s="67"/>
      <c r="M30" s="67"/>
      <c r="N30" s="67"/>
      <c r="O30"/>
    </row>
    <row r="31" spans="4:15" x14ac:dyDescent="0.25">
      <c r="D31" s="68" t="s">
        <v>161</v>
      </c>
      <c r="E31" s="67"/>
      <c r="F31" s="67"/>
      <c r="G31" s="67"/>
      <c r="H31" s="67"/>
      <c r="I31" s="68" t="s">
        <v>162</v>
      </c>
      <c r="J31" s="67"/>
      <c r="K31" s="67"/>
      <c r="L31" s="67"/>
      <c r="M31" s="67"/>
      <c r="N31" s="67"/>
      <c r="O31"/>
    </row>
    <row r="32" spans="4:15" x14ac:dyDescent="0.25">
      <c r="D32" s="72" t="s">
        <v>57</v>
      </c>
      <c r="E32" s="73" t="s">
        <v>163</v>
      </c>
      <c r="F32" s="73" t="s">
        <v>164</v>
      </c>
      <c r="G32" s="73" t="s">
        <v>165</v>
      </c>
      <c r="H32" s="67"/>
      <c r="I32" s="72" t="s">
        <v>57</v>
      </c>
      <c r="J32" s="73" t="s">
        <v>163</v>
      </c>
      <c r="K32" s="73" t="s">
        <v>164</v>
      </c>
      <c r="L32" s="73" t="s">
        <v>165</v>
      </c>
      <c r="M32" s="67"/>
      <c r="N32" s="67"/>
      <c r="O32"/>
    </row>
    <row r="33" spans="4:15" x14ac:dyDescent="0.25">
      <c r="D33" s="89">
        <f>E10</f>
        <v>2022</v>
      </c>
      <c r="E33" s="91"/>
      <c r="F33" s="91"/>
      <c r="G33" s="91"/>
      <c r="H33" s="67"/>
      <c r="I33" s="89">
        <f>E10</f>
        <v>2022</v>
      </c>
      <c r="J33" s="91"/>
      <c r="K33" s="91"/>
      <c r="L33" s="91"/>
      <c r="M33" s="67"/>
      <c r="N33" s="67"/>
      <c r="O33"/>
    </row>
    <row r="34" spans="4:15" x14ac:dyDescent="0.25">
      <c r="D34" s="67"/>
      <c r="E34" s="67"/>
      <c r="F34" s="67"/>
      <c r="G34" s="67"/>
      <c r="H34" s="67"/>
      <c r="I34" s="67"/>
      <c r="J34" s="67"/>
      <c r="K34" s="67"/>
      <c r="L34" s="67"/>
      <c r="M34" s="67"/>
      <c r="N34" s="67"/>
      <c r="O34"/>
    </row>
    <row r="35" spans="4:15" x14ac:dyDescent="0.25">
      <c r="D35" s="67"/>
      <c r="E35" s="67"/>
      <c r="F35" s="67"/>
      <c r="G35" s="67"/>
      <c r="H35" s="67"/>
      <c r="I35" s="67"/>
      <c r="J35" s="67"/>
      <c r="K35" s="67"/>
      <c r="L35" s="67"/>
      <c r="M35" s="67"/>
      <c r="N35" s="67"/>
      <c r="O35"/>
    </row>
    <row r="36" spans="4:15" x14ac:dyDescent="0.25">
      <c r="D36" s="68" t="s">
        <v>166</v>
      </c>
      <c r="E36" s="67"/>
      <c r="F36" s="67"/>
      <c r="G36" s="67"/>
      <c r="H36" s="67"/>
      <c r="I36" s="68" t="s">
        <v>167</v>
      </c>
      <c r="J36" s="92">
        <f>E10</f>
        <v>2022</v>
      </c>
      <c r="K36" s="67"/>
      <c r="L36" s="67"/>
      <c r="M36" s="67"/>
      <c r="N36" s="67"/>
      <c r="O36"/>
    </row>
    <row r="37" spans="4:15" x14ac:dyDescent="0.25">
      <c r="D37" s="93" t="s">
        <v>57</v>
      </c>
      <c r="E37" s="77" t="s">
        <v>8</v>
      </c>
      <c r="F37" s="77" t="s">
        <v>7</v>
      </c>
      <c r="G37" s="77" t="s">
        <v>168</v>
      </c>
      <c r="H37" s="67"/>
      <c r="I37" s="72" t="s">
        <v>56</v>
      </c>
      <c r="J37" s="94" t="str">
        <f>DashAnual!O20</f>
        <v>Tudo</v>
      </c>
      <c r="K37" s="72" t="s">
        <v>56</v>
      </c>
      <c r="L37" s="67"/>
      <c r="M37" s="67"/>
      <c r="N37" s="67"/>
      <c r="O37"/>
    </row>
    <row r="38" spans="4:15" x14ac:dyDescent="0.25">
      <c r="D38" s="95">
        <f>E10</f>
        <v>2022</v>
      </c>
      <c r="E38" s="96">
        <f>SUMIFS(Tab_Fluxo[Valor Total],Tab_Fluxo[Ano],D38,Tab_Fluxo[Tipo],"Entradas")</f>
        <v>2040</v>
      </c>
      <c r="F38" s="96">
        <f>SUMIFS(Tab_Fluxo[Valor Total],Tab_Fluxo[Ano],D38,Tab_Fluxo[Tipo],"Saídas")</f>
        <v>300</v>
      </c>
      <c r="G38" s="97">
        <f>E38-F38</f>
        <v>1740</v>
      </c>
      <c r="H38" s="67"/>
      <c r="I38" s="67">
        <v>1</v>
      </c>
      <c r="J38" s="78">
        <f>IF($J$37="Tudo",SUMIFS(Tab_Fluxo[Valor Total],Tab_Fluxo[Tipo],"Saídas",Tab_Fluxo[Ano],$J$36,Tab_Fluxo[Mês],I38),SUMIFS(Tab_Fluxo[Valor Total],Tab_Fluxo[Tipo],"Saídas",Tab_Fluxo[Ano],$J$36,Tab_Fluxo[Mês],I38,Tab_Fluxo[Categoria],$J$37))</f>
        <v>0</v>
      </c>
      <c r="K38" s="77" t="s">
        <v>144</v>
      </c>
      <c r="L38" s="67"/>
      <c r="M38" s="67"/>
      <c r="N38" s="67"/>
      <c r="O38"/>
    </row>
    <row r="39" spans="4:15" x14ac:dyDescent="0.25">
      <c r="D39" s="67"/>
      <c r="E39" s="67"/>
      <c r="F39" s="67"/>
      <c r="G39" s="67"/>
      <c r="H39" s="67"/>
      <c r="I39" s="67">
        <v>2</v>
      </c>
      <c r="J39" s="78">
        <f>IF($J$37="Tudo",SUMIFS(Tab_Fluxo[Valor Total],Tab_Fluxo[Tipo],"Saídas",Tab_Fluxo[Ano],$J$36,Tab_Fluxo[Mês],I39),SUMIFS(Tab_Fluxo[Valor Total],Tab_Fluxo[Tipo],"Saídas",Tab_Fluxo[Ano],$J$36,Tab_Fluxo[Mês],I39,Tab_Fluxo[Categoria],$J$37))</f>
        <v>0</v>
      </c>
      <c r="K39" s="69" t="s">
        <v>145</v>
      </c>
      <c r="L39" s="67"/>
      <c r="M39" s="67"/>
      <c r="N39" s="67"/>
      <c r="O39"/>
    </row>
    <row r="40" spans="4:15" x14ac:dyDescent="0.25">
      <c r="D40" s="67"/>
      <c r="E40" s="67"/>
      <c r="F40" s="67"/>
      <c r="G40" s="67"/>
      <c r="H40" s="67"/>
      <c r="I40" s="67">
        <v>3</v>
      </c>
      <c r="J40" s="78">
        <f>IF($J$37="Tudo",SUMIFS(Tab_Fluxo[Valor Total],Tab_Fluxo[Tipo],"Saídas",Tab_Fluxo[Ano],$J$36,Tab_Fluxo[Mês],I40),SUMIFS(Tab_Fluxo[Valor Total],Tab_Fluxo[Tipo],"Saídas",Tab_Fluxo[Ano],$J$36,Tab_Fluxo[Mês],I40,Tab_Fluxo[Categoria],$J$37))</f>
        <v>0</v>
      </c>
      <c r="K40" s="69" t="s">
        <v>147</v>
      </c>
      <c r="L40" s="67"/>
      <c r="M40" s="67"/>
      <c r="N40" s="67"/>
      <c r="O40"/>
    </row>
    <row r="41" spans="4:15" x14ac:dyDescent="0.25">
      <c r="D41" s="67"/>
      <c r="E41" s="67"/>
      <c r="F41" s="67"/>
      <c r="G41" s="67"/>
      <c r="H41" s="67"/>
      <c r="I41" s="67">
        <v>4</v>
      </c>
      <c r="J41" s="78">
        <f>IF($J$37="Tudo",SUMIFS(Tab_Fluxo[Valor Total],Tab_Fluxo[Tipo],"Saídas",Tab_Fluxo[Ano],$J$36,Tab_Fluxo[Mês],I41),SUMIFS(Tab_Fluxo[Valor Total],Tab_Fluxo[Tipo],"Saídas",Tab_Fluxo[Ano],$J$36,Tab_Fluxo[Mês],I41,Tab_Fluxo[Categoria],$J$37))</f>
        <v>0</v>
      </c>
      <c r="K41" s="69" t="s">
        <v>148</v>
      </c>
      <c r="L41" s="67"/>
      <c r="M41" s="67"/>
      <c r="N41" s="67"/>
      <c r="O41"/>
    </row>
    <row r="42" spans="4:15" x14ac:dyDescent="0.25">
      <c r="D42" s="67"/>
      <c r="E42" s="67"/>
      <c r="F42" s="67"/>
      <c r="G42" s="67"/>
      <c r="H42" s="67"/>
      <c r="I42" s="67">
        <v>5</v>
      </c>
      <c r="J42" s="78">
        <f>IF($J$37="Tudo",SUMIFS(Tab_Fluxo[Valor Total],Tab_Fluxo[Tipo],"Saídas",Tab_Fluxo[Ano],$J$36,Tab_Fluxo[Mês],I42),SUMIFS(Tab_Fluxo[Valor Total],Tab_Fluxo[Tipo],"Saídas",Tab_Fluxo[Ano],$J$36,Tab_Fluxo[Mês],I42,Tab_Fluxo[Categoria],$J$37))</f>
        <v>300</v>
      </c>
      <c r="K42" s="69" t="s">
        <v>149</v>
      </c>
      <c r="L42" s="67"/>
      <c r="M42" s="67"/>
      <c r="N42" s="67"/>
      <c r="O42"/>
    </row>
    <row r="43" spans="4:15" x14ac:dyDescent="0.25">
      <c r="D43" s="67"/>
      <c r="E43" s="67"/>
      <c r="F43" s="67"/>
      <c r="G43" s="67"/>
      <c r="H43" s="67"/>
      <c r="I43" s="67">
        <v>6</v>
      </c>
      <c r="J43" s="78">
        <f>IF($J$37="Tudo",SUMIFS(Tab_Fluxo[Valor Total],Tab_Fluxo[Tipo],"Saídas",Tab_Fluxo[Ano],$J$36,Tab_Fluxo[Mês],I43),SUMIFS(Tab_Fluxo[Valor Total],Tab_Fluxo[Tipo],"Saídas",Tab_Fluxo[Ano],$J$36,Tab_Fluxo[Mês],I43,Tab_Fluxo[Categoria],$J$37))</f>
        <v>0</v>
      </c>
      <c r="K43" s="69" t="s">
        <v>150</v>
      </c>
      <c r="L43" s="67"/>
      <c r="M43" s="67"/>
      <c r="N43" s="67"/>
      <c r="O43"/>
    </row>
    <row r="44" spans="4:15" x14ac:dyDescent="0.25">
      <c r="D44" s="67"/>
      <c r="E44" s="67"/>
      <c r="F44" s="67"/>
      <c r="G44" s="67"/>
      <c r="H44" s="67"/>
      <c r="I44" s="67">
        <v>7</v>
      </c>
      <c r="J44" s="78">
        <f>IF($J$37="Tudo",SUMIFS(Tab_Fluxo[Valor Total],Tab_Fluxo[Tipo],"Saídas",Tab_Fluxo[Ano],$J$36,Tab_Fluxo[Mês],I44),SUMIFS(Tab_Fluxo[Valor Total],Tab_Fluxo[Tipo],"Saídas",Tab_Fluxo[Ano],$J$36,Tab_Fluxo[Mês],I44,Tab_Fluxo[Categoria],$J$37))</f>
        <v>0</v>
      </c>
      <c r="K44" s="69" t="s">
        <v>151</v>
      </c>
      <c r="L44" s="67"/>
      <c r="M44" s="67"/>
      <c r="N44" s="67"/>
      <c r="O44"/>
    </row>
    <row r="45" spans="4:15" x14ac:dyDescent="0.25">
      <c r="D45" s="67"/>
      <c r="E45" s="67"/>
      <c r="F45" s="67"/>
      <c r="G45" s="67"/>
      <c r="H45" s="67"/>
      <c r="I45" s="67">
        <v>8</v>
      </c>
      <c r="J45" s="78">
        <f>IF($J$37="Tudo",SUMIFS(Tab_Fluxo[Valor Total],Tab_Fluxo[Tipo],"Saídas",Tab_Fluxo[Ano],$J$36,Tab_Fluxo[Mês],I45),SUMIFS(Tab_Fluxo[Valor Total],Tab_Fluxo[Tipo],"Saídas",Tab_Fluxo[Ano],$J$36,Tab_Fluxo[Mês],I45,Tab_Fluxo[Categoria],$J$37))</f>
        <v>0</v>
      </c>
      <c r="K45" s="69" t="s">
        <v>152</v>
      </c>
      <c r="L45" s="67"/>
      <c r="M45" s="67"/>
      <c r="N45" s="67"/>
      <c r="O45"/>
    </row>
    <row r="46" spans="4:15" x14ac:dyDescent="0.25">
      <c r="D46" s="67"/>
      <c r="E46" s="67"/>
      <c r="F46" s="67"/>
      <c r="G46" s="67"/>
      <c r="H46" s="67"/>
      <c r="I46" s="67">
        <v>9</v>
      </c>
      <c r="J46" s="78">
        <f>IF($J$37="Tudo",SUMIFS(Tab_Fluxo[Valor Total],Tab_Fluxo[Tipo],"Saídas",Tab_Fluxo[Ano],$J$36,Tab_Fluxo[Mês],I46),SUMIFS(Tab_Fluxo[Valor Total],Tab_Fluxo[Tipo],"Saídas",Tab_Fluxo[Ano],$J$36,Tab_Fluxo[Mês],I46,Tab_Fluxo[Categoria],$J$37))</f>
        <v>0</v>
      </c>
      <c r="K46" s="69" t="s">
        <v>154</v>
      </c>
      <c r="L46" s="67"/>
      <c r="M46" s="67"/>
      <c r="N46" s="67"/>
      <c r="O46"/>
    </row>
    <row r="47" spans="4:15" x14ac:dyDescent="0.25">
      <c r="D47" s="67"/>
      <c r="E47" s="67"/>
      <c r="F47" s="67"/>
      <c r="G47" s="67"/>
      <c r="H47" s="67"/>
      <c r="I47" s="67">
        <v>10</v>
      </c>
      <c r="J47" s="78">
        <f>IF($J$37="Tudo",SUMIFS(Tab_Fluxo[Valor Total],Tab_Fluxo[Tipo],"Saídas",Tab_Fluxo[Ano],$J$36,Tab_Fluxo[Mês],I47),SUMIFS(Tab_Fluxo[Valor Total],Tab_Fluxo[Tipo],"Saídas",Tab_Fluxo[Ano],$J$36,Tab_Fluxo[Mês],I47,Tab_Fluxo[Categoria],$J$37))</f>
        <v>0</v>
      </c>
      <c r="K47" s="69" t="s">
        <v>156</v>
      </c>
      <c r="L47" s="67"/>
      <c r="M47" s="67"/>
      <c r="N47" s="67"/>
      <c r="O47"/>
    </row>
    <row r="48" spans="4:15" x14ac:dyDescent="0.25">
      <c r="D48" s="67"/>
      <c r="E48" s="67"/>
      <c r="F48" s="67"/>
      <c r="G48" s="67"/>
      <c r="H48" s="67"/>
      <c r="I48" s="67">
        <v>11</v>
      </c>
      <c r="J48" s="78">
        <f>IF($J$37="Tudo",SUMIFS(Tab_Fluxo[Valor Total],Tab_Fluxo[Tipo],"Saídas",Tab_Fluxo[Ano],$J$36,Tab_Fluxo[Mês],I48),SUMIFS(Tab_Fluxo[Valor Total],Tab_Fluxo[Tipo],"Saídas",Tab_Fluxo[Ano],$J$36,Tab_Fluxo[Mês],I48,Tab_Fluxo[Categoria],$J$37))</f>
        <v>0</v>
      </c>
      <c r="K48" s="69" t="s">
        <v>157</v>
      </c>
      <c r="L48" s="67"/>
      <c r="M48" s="67"/>
      <c r="N48" s="67"/>
      <c r="O48"/>
    </row>
    <row r="49" spans="4:15" x14ac:dyDescent="0.25">
      <c r="D49" s="67"/>
      <c r="E49" s="67"/>
      <c r="F49" s="67"/>
      <c r="G49" s="67"/>
      <c r="H49" s="67"/>
      <c r="I49" s="81">
        <v>12</v>
      </c>
      <c r="J49" s="78">
        <f>IF($J$37="Tudo",SUMIFS(Tab_Fluxo[Valor Total],Tab_Fluxo[Tipo],"Saídas",Tab_Fluxo[Ano],$J$36,Tab_Fluxo[Mês],I49),SUMIFS(Tab_Fluxo[Valor Total],Tab_Fluxo[Tipo],"Saídas",Tab_Fluxo[Ano],$J$36,Tab_Fluxo[Mês],I49,Tab_Fluxo[Categoria],$J$37))</f>
        <v>0</v>
      </c>
      <c r="K49" s="87" t="s">
        <v>158</v>
      </c>
      <c r="L49" s="67"/>
      <c r="M49" s="67"/>
      <c r="N49" s="67"/>
      <c r="O49"/>
    </row>
    <row r="50" spans="4:15" x14ac:dyDescent="0.25">
      <c r="D50" s="67"/>
      <c r="E50" s="67"/>
      <c r="F50" s="67"/>
      <c r="G50" s="67"/>
      <c r="H50" s="67"/>
      <c r="I50" s="72" t="s">
        <v>160</v>
      </c>
      <c r="J50" s="98">
        <f>SUM(J38:J49)</f>
        <v>300</v>
      </c>
      <c r="K50" s="67"/>
      <c r="L50" s="67"/>
      <c r="M50" s="67"/>
      <c r="N50" s="67"/>
      <c r="O50"/>
    </row>
    <row r="51" spans="4:15" x14ac:dyDescent="0.25">
      <c r="D51" s="67"/>
      <c r="E51" s="67"/>
      <c r="F51" s="67"/>
      <c r="G51" s="67"/>
      <c r="H51" s="67"/>
      <c r="I51" s="67"/>
      <c r="J51" s="67"/>
      <c r="K51" s="67"/>
      <c r="L51" s="67"/>
      <c r="M51" s="67"/>
      <c r="N51" s="67"/>
      <c r="O51"/>
    </row>
  </sheetData>
  <mergeCells count="1">
    <mergeCell ref="B1:AC3"/>
  </mergeCells>
  <conditionalFormatting sqref="E17">
    <cfRule type="cellIs" dxfId="0" priority="1" operator="lessThan">
      <formula>0</formula>
    </cfRule>
  </conditionalFormatting>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6F77-9074-4269-BFAD-014B287BD1A7}">
  <sheetPr codeName="Sheet31"/>
  <dimension ref="A1:AA12"/>
  <sheetViews>
    <sheetView workbookViewId="0">
      <selection activeCell="D9" sqref="D9"/>
    </sheetView>
  </sheetViews>
  <sheetFormatPr defaultRowHeight="15" x14ac:dyDescent="0.25"/>
  <cols>
    <col min="1" max="1" width="9.140625" style="120"/>
    <col min="2" max="2" width="9.140625" style="156" customWidth="1"/>
    <col min="3" max="3" width="13.140625" bestFit="1" customWidth="1"/>
    <col min="4" max="4" width="17.85546875" bestFit="1" customWidth="1"/>
    <col min="5" max="5" width="13.7109375" bestFit="1" customWidth="1"/>
    <col min="6" max="6" width="11.85546875" bestFit="1" customWidth="1"/>
    <col min="7" max="7" width="12.140625" bestFit="1" customWidth="1"/>
    <col min="8" max="8" width="14.85546875" bestFit="1" customWidth="1"/>
    <col min="9" max="9" width="13.28515625" bestFit="1" customWidth="1"/>
    <col min="10" max="11" width="12.140625" bestFit="1" customWidth="1"/>
    <col min="12" max="12" width="13.28515625" bestFit="1" customWidth="1"/>
    <col min="13" max="13" width="10.140625" bestFit="1" customWidth="1"/>
    <col min="14" max="14" width="13.28515625" bestFit="1" customWidth="1"/>
    <col min="15" max="15" width="19.28515625" bestFit="1" customWidth="1"/>
    <col min="16" max="16" width="22.42578125" bestFit="1" customWidth="1"/>
    <col min="17" max="17" width="9.85546875" bestFit="1" customWidth="1"/>
    <col min="18" max="18" width="12.85546875" bestFit="1" customWidth="1"/>
    <col min="20" max="20" width="12.140625" bestFit="1" customWidth="1"/>
    <col min="21" max="21" width="11.28515625" bestFit="1" customWidth="1"/>
  </cols>
  <sheetData>
    <row r="1" spans="1:27" x14ac:dyDescent="0.25">
      <c r="B1" s="189" t="s">
        <v>263</v>
      </c>
      <c r="C1" s="189"/>
      <c r="D1" s="189"/>
      <c r="E1" s="189"/>
      <c r="F1" s="189"/>
      <c r="G1" s="189"/>
      <c r="H1" s="189"/>
      <c r="I1" s="189"/>
      <c r="J1" s="189"/>
      <c r="K1" s="189"/>
      <c r="L1" s="189"/>
      <c r="M1" s="189"/>
      <c r="N1" s="189"/>
      <c r="O1" s="189"/>
      <c r="P1" s="189"/>
      <c r="Q1" s="189"/>
      <c r="R1" s="189"/>
      <c r="S1" s="189"/>
      <c r="T1" s="189"/>
      <c r="U1" s="189"/>
      <c r="V1" s="189"/>
      <c r="W1" s="189"/>
      <c r="X1" s="189"/>
      <c r="Y1" s="189"/>
      <c r="Z1" s="189"/>
      <c r="AA1" s="189"/>
    </row>
    <row r="2" spans="1:27" x14ac:dyDescent="0.25">
      <c r="B2" s="189"/>
      <c r="C2" s="189"/>
      <c r="D2" s="189"/>
      <c r="E2" s="189"/>
      <c r="F2" s="189"/>
      <c r="G2" s="189"/>
      <c r="H2" s="189"/>
      <c r="I2" s="189"/>
      <c r="J2" s="189"/>
      <c r="K2" s="189"/>
      <c r="L2" s="189"/>
      <c r="M2" s="189"/>
      <c r="N2" s="189"/>
      <c r="O2" s="189"/>
      <c r="P2" s="189"/>
      <c r="Q2" s="189"/>
      <c r="R2" s="189"/>
      <c r="S2" s="189"/>
      <c r="T2" s="189"/>
      <c r="U2" s="189"/>
      <c r="V2" s="189"/>
      <c r="W2" s="189"/>
      <c r="X2" s="189"/>
      <c r="Y2" s="189"/>
      <c r="Z2" s="189"/>
      <c r="AA2" s="189"/>
    </row>
    <row r="3" spans="1:27" ht="15.75" thickBot="1" x14ac:dyDescent="0.3">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row>
    <row r="4" spans="1:27" s="157" customFormat="1" x14ac:dyDescent="0.25">
      <c r="A4" s="120"/>
      <c r="B4" s="153"/>
    </row>
    <row r="5" spans="1:27" s="157" customFormat="1" x14ac:dyDescent="0.25">
      <c r="A5" s="120"/>
      <c r="B5" s="156"/>
    </row>
    <row r="6" spans="1:27" s="105" customFormat="1" ht="15.75" thickBot="1" x14ac:dyDescent="0.3">
      <c r="A6" s="120"/>
      <c r="B6" s="155"/>
    </row>
    <row r="7" spans="1:27" x14ac:dyDescent="0.25">
      <c r="C7" s="10" t="s">
        <v>52</v>
      </c>
      <c r="D7" t="s">
        <v>76</v>
      </c>
    </row>
    <row r="8" spans="1:27" x14ac:dyDescent="0.25">
      <c r="C8" s="11">
        <v>2022</v>
      </c>
      <c r="D8" s="4">
        <v>2902790</v>
      </c>
    </row>
    <row r="9" spans="1:27" x14ac:dyDescent="0.25">
      <c r="C9" s="11">
        <v>2023</v>
      </c>
      <c r="D9" s="4">
        <v>3000</v>
      </c>
    </row>
    <row r="10" spans="1:27" x14ac:dyDescent="0.25">
      <c r="C10" s="11">
        <v>2021</v>
      </c>
      <c r="D10" s="4">
        <v>5000</v>
      </c>
    </row>
    <row r="11" spans="1:27" x14ac:dyDescent="0.25">
      <c r="C11" s="11">
        <v>2020</v>
      </c>
      <c r="D11" s="4">
        <v>-120</v>
      </c>
    </row>
    <row r="12" spans="1:27" x14ac:dyDescent="0.25">
      <c r="C12" s="11" t="s">
        <v>54</v>
      </c>
      <c r="D12" s="4">
        <v>2910670</v>
      </c>
    </row>
  </sheetData>
  <mergeCells count="1">
    <mergeCell ref="B1:AA3"/>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78</vt:i4>
      </vt:variant>
    </vt:vector>
  </HeadingPairs>
  <TitlesOfParts>
    <vt:vector size="109" baseType="lpstr">
      <vt:lpstr>Central</vt:lpstr>
      <vt:lpstr>PlanilhaFluxo</vt:lpstr>
      <vt:lpstr>Aux_CaixasdeNomes</vt:lpstr>
      <vt:lpstr>CentralLoja</vt:lpstr>
      <vt:lpstr>ListaFornecedores</vt:lpstr>
      <vt:lpstr>ListaEstoque</vt:lpstr>
      <vt:lpstr>RelatórioEstoque</vt:lpstr>
      <vt:lpstr>RelatórioEstoqueAux</vt:lpstr>
      <vt:lpstr>PivTabEstoqueAux</vt:lpstr>
      <vt:lpstr>PerfProdAnoAux</vt:lpstr>
      <vt:lpstr>LojaPerfAnualAux</vt:lpstr>
      <vt:lpstr>CentralCliente</vt:lpstr>
      <vt:lpstr>ListaClientes</vt:lpstr>
      <vt:lpstr>PerfilCliente</vt:lpstr>
      <vt:lpstr>HistóricodeLucro</vt:lpstr>
      <vt:lpstr>Ranking Score</vt:lpstr>
      <vt:lpstr>PerfilClienteAux</vt:lpstr>
      <vt:lpstr>PerformanceClienteAux</vt:lpstr>
      <vt:lpstr>PerformanceClienteAux2</vt:lpstr>
      <vt:lpstr>ExtraClienteAux</vt:lpstr>
      <vt:lpstr>CentralProjetos</vt:lpstr>
      <vt:lpstr>ListaProjetos</vt:lpstr>
      <vt:lpstr>Aux Projetos</vt:lpstr>
      <vt:lpstr>Performance da Empresa</vt:lpstr>
      <vt:lpstr>DashAtual</vt:lpstr>
      <vt:lpstr>DashAnual</vt:lpstr>
      <vt:lpstr>LucroPorAno</vt:lpstr>
      <vt:lpstr>PerformancePorMes</vt:lpstr>
      <vt:lpstr>DashAtual Aux</vt:lpstr>
      <vt:lpstr>DashAnual Aux</vt:lpstr>
      <vt:lpstr>PerformancePorAnoAux</vt:lpstr>
      <vt:lpstr>Central!a</vt:lpstr>
      <vt:lpstr>CentralCliente!a</vt:lpstr>
      <vt:lpstr>CentralLoja!a</vt:lpstr>
      <vt:lpstr>CentralProjetos!a</vt:lpstr>
      <vt:lpstr>HistóricodeLucro!a</vt:lpstr>
      <vt:lpstr>LucroPorAno!a</vt:lpstr>
      <vt:lpstr>'Performance da Empresa'!a</vt:lpstr>
      <vt:lpstr>a</vt:lpstr>
      <vt:lpstr>Central!asddsa</vt:lpstr>
      <vt:lpstr>CentralCliente!asddsa</vt:lpstr>
      <vt:lpstr>CentralLoja!asddsa</vt:lpstr>
      <vt:lpstr>CentralProjetos!asddsa</vt:lpstr>
      <vt:lpstr>HistóricodeLucro!asddsa</vt:lpstr>
      <vt:lpstr>LucroPorAno!asddsa</vt:lpstr>
      <vt:lpstr>'Performance da Empresa'!asddsa</vt:lpstr>
      <vt:lpstr>asddsa</vt:lpstr>
      <vt:lpstr>Central!Cliente</vt:lpstr>
      <vt:lpstr>CentralCliente!Cliente</vt:lpstr>
      <vt:lpstr>CentralLoja!Cliente</vt:lpstr>
      <vt:lpstr>CentralProjetos!Cliente</vt:lpstr>
      <vt:lpstr>DashAtual!Cliente</vt:lpstr>
      <vt:lpstr>'DashAtual Aux'!Cliente</vt:lpstr>
      <vt:lpstr>HistóricodeLucro!Cliente</vt:lpstr>
      <vt:lpstr>ListaEstoque!Cliente</vt:lpstr>
      <vt:lpstr>LucroPorAno!Cliente</vt:lpstr>
      <vt:lpstr>PerfilCliente!Cliente</vt:lpstr>
      <vt:lpstr>'Performance da Empresa'!Cliente</vt:lpstr>
      <vt:lpstr>PerformancePorAnoAux!Cliente</vt:lpstr>
      <vt:lpstr>PerformancePorMes!Cliente</vt:lpstr>
      <vt:lpstr>Cliente</vt:lpstr>
      <vt:lpstr>Comida</vt:lpstr>
      <vt:lpstr>Compras</vt:lpstr>
      <vt:lpstr>Emergências</vt:lpstr>
      <vt:lpstr>Entradas</vt:lpstr>
      <vt:lpstr>Entradas_Dash</vt:lpstr>
      <vt:lpstr>Investimentos</vt:lpstr>
      <vt:lpstr>Mao_de_Obra</vt:lpstr>
      <vt:lpstr>MetodosPgt</vt:lpstr>
      <vt:lpstr>Central!Operário</vt:lpstr>
      <vt:lpstr>CentralCliente!Operário</vt:lpstr>
      <vt:lpstr>CentralLoja!Operário</vt:lpstr>
      <vt:lpstr>CentralProjetos!Operário</vt:lpstr>
      <vt:lpstr>DashAtual!Operário</vt:lpstr>
      <vt:lpstr>'DashAtual Aux'!Operário</vt:lpstr>
      <vt:lpstr>HistóricodeLucro!Operário</vt:lpstr>
      <vt:lpstr>ListaEstoque!Operário</vt:lpstr>
      <vt:lpstr>LucroPorAno!Operário</vt:lpstr>
      <vt:lpstr>PerfilCliente!Operário</vt:lpstr>
      <vt:lpstr>'Performance da Empresa'!Operário</vt:lpstr>
      <vt:lpstr>Operário</vt:lpstr>
      <vt:lpstr>Central!Produtos</vt:lpstr>
      <vt:lpstr>CentralCliente!Produtos</vt:lpstr>
      <vt:lpstr>CentralLoja!Produtos</vt:lpstr>
      <vt:lpstr>CentralProjetos!Produtos</vt:lpstr>
      <vt:lpstr>HistóricodeLucro!Produtos</vt:lpstr>
      <vt:lpstr>LucroPorAno!Produtos</vt:lpstr>
      <vt:lpstr>'Performance da Empresa'!Produtos</vt:lpstr>
      <vt:lpstr>Produtos</vt:lpstr>
      <vt:lpstr>Central!Projetos</vt:lpstr>
      <vt:lpstr>CentralCliente!Projetos</vt:lpstr>
      <vt:lpstr>CentralLoja!Projetos</vt:lpstr>
      <vt:lpstr>CentralProjetos!Projetos</vt:lpstr>
      <vt:lpstr>DashAtual!Projetos</vt:lpstr>
      <vt:lpstr>'DashAtual Aux'!Projetos</vt:lpstr>
      <vt:lpstr>HistóricodeLucro!Projetos</vt:lpstr>
      <vt:lpstr>ListaEstoque!Projetos</vt:lpstr>
      <vt:lpstr>LucroPorAno!Projetos</vt:lpstr>
      <vt:lpstr>PerfilCliente!Projetos</vt:lpstr>
      <vt:lpstr>'Performance da Empresa'!Projetos</vt:lpstr>
      <vt:lpstr>PerformancePorAnoAux!Projetos</vt:lpstr>
      <vt:lpstr>PerformancePorMes!Projetos</vt:lpstr>
      <vt:lpstr>Projetos</vt:lpstr>
      <vt:lpstr>Saídas</vt:lpstr>
      <vt:lpstr>Saídas_Dash</vt:lpstr>
      <vt:lpstr>Serviços</vt:lpstr>
      <vt:lpstr>StatusProjetos</vt:lpstr>
      <vt:lpstr>Transporte</vt:lpstr>
      <vt:lpstr>Vendas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Moreira</dc:creator>
  <cp:lastModifiedBy>Matheus Moreira</cp:lastModifiedBy>
  <dcterms:created xsi:type="dcterms:W3CDTF">2022-05-17T16:52:15Z</dcterms:created>
  <dcterms:modified xsi:type="dcterms:W3CDTF">2022-06-06T22:56:20Z</dcterms:modified>
</cp:coreProperties>
</file>