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oema\Documents\VU STREEM\Thesis\"/>
    </mc:Choice>
  </mc:AlternateContent>
  <xr:revisionPtr revIDLastSave="0" documentId="8_{44139621-A6F7-4FF7-8C28-3D742EC5C212}" xr6:coauthVersionLast="47" xr6:coauthVersionMax="47" xr10:uidLastSave="{00000000-0000-0000-0000-000000000000}"/>
  <bookViews>
    <workbookView xWindow="-120" yWindow="-120" windowWidth="29040" windowHeight="15990" tabRatio="712" firstSheet="1" activeTab="6" xr2:uid="{00000000-000D-0000-FFFF-FFFF00000000}"/>
  </bookViews>
  <sheets>
    <sheet name="Overview of workbook" sheetId="1" r:id="rId1"/>
    <sheet name="Summary" sheetId="2" r:id="rId2"/>
    <sheet name="Overall estimates" sheetId="3" r:id="rId3"/>
    <sheet name="Milk loss proportion" sheetId="15" r:id="rId4"/>
    <sheet name="Male offspring" sheetId="16" r:id="rId5"/>
    <sheet name="Fish and shellfish calculations" sheetId="4" r:id="rId6"/>
    <sheet name="Feed fish" sheetId="5" r:id="rId7"/>
    <sheet name="Elasticities" sheetId="6" r:id="rId8"/>
    <sheet name="Mortality" sheetId="7" r:id="rId9"/>
    <sheet name="FAO livestock data U.S." sheetId="8" r:id="rId10"/>
    <sheet name="Fishcount fish weights" sheetId="9" r:id="rId11"/>
    <sheet name="Shellfish weights" sheetId="10" r:id="rId12"/>
    <sheet name="USDA food loss data" sheetId="11" r:id="rId13"/>
    <sheet name="Welf Footpt Data" sheetId="12" r:id="rId14"/>
    <sheet name="Fish and shellfish edible p" sheetId="13" r:id="rId15"/>
    <sheet name="USDA estimates" sheetId="14"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0" i="5" l="1"/>
  <c r="B22" i="5"/>
  <c r="B45" i="5"/>
  <c r="B46" i="5"/>
  <c r="F10" i="11"/>
  <c r="J52" i="3"/>
  <c r="I52" i="3"/>
  <c r="H52" i="3"/>
  <c r="G52" i="3"/>
  <c r="F52" i="3"/>
  <c r="E52" i="3"/>
  <c r="D52" i="3"/>
  <c r="C52" i="3"/>
  <c r="B52" i="3"/>
  <c r="K46" i="3" l="1"/>
  <c r="J46" i="3"/>
  <c r="I46" i="3"/>
  <c r="E46" i="3"/>
  <c r="C46" i="3"/>
  <c r="B46" i="3"/>
  <c r="D10" i="11"/>
  <c r="J10" i="11" s="1"/>
  <c r="B43" i="3"/>
  <c r="C43" i="3"/>
  <c r="D43" i="3"/>
  <c r="E43" i="3"/>
  <c r="F43" i="3"/>
  <c r="G43" i="3"/>
  <c r="H43" i="3"/>
  <c r="I43" i="3"/>
  <c r="J43" i="3"/>
  <c r="K43" i="3"/>
  <c r="H46" i="3" l="1"/>
  <c r="F46" i="3"/>
  <c r="G46" i="3"/>
  <c r="D46" i="3"/>
  <c r="B163" i="13" l="1"/>
  <c r="C155" i="13" s="1"/>
  <c r="B8" i="13" s="1"/>
  <c r="D63" i="3" s="1"/>
  <c r="D24" i="3" l="1"/>
  <c r="D61" i="3" s="1"/>
  <c r="H15" i="3"/>
  <c r="H5" i="3"/>
  <c r="H42" i="3" s="1"/>
  <c r="H7" i="3"/>
  <c r="H44" i="3" s="1"/>
  <c r="B29" i="15"/>
  <c r="D29" i="15" s="1"/>
  <c r="D28" i="15"/>
  <c r="C28" i="15"/>
  <c r="B28" i="15"/>
  <c r="B27" i="15"/>
  <c r="D27" i="15" s="1"/>
  <c r="B36" i="5"/>
  <c r="B37" i="5"/>
  <c r="B35" i="5"/>
  <c r="B29" i="5"/>
  <c r="G12" i="4"/>
  <c r="D8" i="12"/>
  <c r="D6" i="12"/>
  <c r="C9" i="12"/>
  <c r="H12" i="4" s="1"/>
  <c r="B8" i="12"/>
  <c r="C8" i="12" s="1"/>
  <c r="H14" i="4" s="1"/>
  <c r="H10" i="4"/>
  <c r="C7" i="12"/>
  <c r="B6" i="12"/>
  <c r="C6" i="12" s="1"/>
  <c r="H8" i="4" s="1"/>
  <c r="B22" i="4"/>
  <c r="D11" i="16"/>
  <c r="B5" i="16"/>
  <c r="E5" i="16" s="1"/>
  <c r="H5" i="16" s="1"/>
  <c r="G6" i="16"/>
  <c r="G5" i="16"/>
  <c r="B12" i="15"/>
  <c r="D12" i="15" s="1"/>
  <c r="C22" i="15"/>
  <c r="B22" i="15"/>
  <c r="B21" i="15"/>
  <c r="D21" i="15" s="1"/>
  <c r="B16" i="15"/>
  <c r="D16" i="15" s="1"/>
  <c r="C15" i="15"/>
  <c r="B15" i="15"/>
  <c r="C14" i="15"/>
  <c r="B14" i="15"/>
  <c r="C13" i="15"/>
  <c r="B13" i="15"/>
  <c r="C7" i="15"/>
  <c r="C6" i="15"/>
  <c r="B7" i="15"/>
  <c r="B6" i="15"/>
  <c r="D15" i="15" l="1"/>
  <c r="E6" i="16"/>
  <c r="H6" i="16" s="1"/>
  <c r="D30" i="15"/>
  <c r="H10" i="3" s="1"/>
  <c r="H47" i="3" s="1"/>
  <c r="H50" i="3" s="1"/>
  <c r="H48" i="3"/>
  <c r="D13" i="15"/>
  <c r="D22" i="15"/>
  <c r="D23" i="15"/>
  <c r="G10" i="3" s="1"/>
  <c r="G47" i="3" s="1"/>
  <c r="D14" i="15"/>
  <c r="D17" i="15" s="1"/>
  <c r="F10" i="3" s="1"/>
  <c r="F47" i="3" s="1"/>
  <c r="D6" i="15"/>
  <c r="D7" i="15"/>
  <c r="D15" i="3"/>
  <c r="H53" i="3" l="1"/>
  <c r="H55" i="3"/>
  <c r="D8" i="15"/>
  <c r="E10" i="3" s="1"/>
  <c r="E47" i="3" s="1"/>
  <c r="N2" i="2"/>
  <c r="O2" i="2"/>
  <c r="G15" i="3"/>
  <c r="F15" i="3"/>
  <c r="E15" i="3"/>
  <c r="G7" i="3"/>
  <c r="G44" i="3" s="1"/>
  <c r="F7" i="3"/>
  <c r="F44" i="3" s="1"/>
  <c r="E7" i="3"/>
  <c r="E44" i="3" s="1"/>
  <c r="G5" i="3"/>
  <c r="G42" i="3" s="1"/>
  <c r="F5" i="3"/>
  <c r="F42" i="3" s="1"/>
  <c r="E5" i="3"/>
  <c r="E42" i="3" s="1"/>
  <c r="P14" i="14"/>
  <c r="K14" i="14"/>
  <c r="C13" i="14"/>
  <c r="B13" i="14"/>
  <c r="B12" i="14" s="1"/>
  <c r="C12" i="14"/>
  <c r="C11" i="14"/>
  <c r="B11" i="14"/>
  <c r="C10" i="14"/>
  <c r="B10" i="14"/>
  <c r="C9" i="14"/>
  <c r="B9" i="14"/>
  <c r="C8" i="14"/>
  <c r="B8" i="14"/>
  <c r="C7" i="14"/>
  <c r="B7" i="14"/>
  <c r="C6" i="14"/>
  <c r="B6" i="14"/>
  <c r="B6" i="13"/>
  <c r="B7" i="13"/>
  <c r="B5" i="13"/>
  <c r="O15" i="11"/>
  <c r="D26" i="3" s="1"/>
  <c r="O14" i="11"/>
  <c r="O13" i="11"/>
  <c r="D11" i="14" s="1"/>
  <c r="N13" i="11"/>
  <c r="O12" i="11"/>
  <c r="D10" i="14" s="1"/>
  <c r="N12" i="11"/>
  <c r="O11" i="11"/>
  <c r="D9" i="14" s="1"/>
  <c r="N11" i="11"/>
  <c r="O10" i="11"/>
  <c r="N10" i="11"/>
  <c r="O9" i="11"/>
  <c r="D7" i="14" s="1"/>
  <c r="N9" i="11"/>
  <c r="O8" i="11"/>
  <c r="D6" i="14" s="1"/>
  <c r="N8" i="11"/>
  <c r="C15" i="10"/>
  <c r="B14" i="10"/>
  <c r="B13" i="10"/>
  <c r="B12" i="10"/>
  <c r="B11" i="10"/>
  <c r="E69" i="7"/>
  <c r="D6" i="7" s="1"/>
  <c r="E68" i="7"/>
  <c r="E67" i="7"/>
  <c r="E66" i="7"/>
  <c r="D66" i="7"/>
  <c r="E65" i="7"/>
  <c r="D65" i="7"/>
  <c r="C65" i="7"/>
  <c r="C66" i="7" s="1"/>
  <c r="D60" i="7"/>
  <c r="D4" i="7" s="1"/>
  <c r="D59" i="7"/>
  <c r="D58" i="7"/>
  <c r="C58" i="7"/>
  <c r="C59" i="7" s="1"/>
  <c r="D51" i="7"/>
  <c r="D7" i="7" s="1"/>
  <c r="D50" i="7"/>
  <c r="D49" i="7"/>
  <c r="D48" i="7"/>
  <c r="C48" i="7"/>
  <c r="C49" i="7" s="1"/>
  <c r="C50" i="7" s="1"/>
  <c r="B51" i="7" s="1"/>
  <c r="B7" i="7" s="1"/>
  <c r="C7" i="7" s="1"/>
  <c r="C43" i="7"/>
  <c r="C42" i="7"/>
  <c r="B42" i="7"/>
  <c r="C41" i="7"/>
  <c r="B37" i="7"/>
  <c r="B9" i="7" s="1"/>
  <c r="C9" i="7" s="1"/>
  <c r="E28" i="7"/>
  <c r="D8" i="7" s="1"/>
  <c r="E27" i="7"/>
  <c r="B27" i="7"/>
  <c r="E26" i="7"/>
  <c r="C26" i="7"/>
  <c r="E25" i="7"/>
  <c r="D25" i="7"/>
  <c r="C25" i="7"/>
  <c r="E24" i="7"/>
  <c r="D24" i="7"/>
  <c r="C24" i="7"/>
  <c r="B17" i="7"/>
  <c r="D5" i="7" s="1"/>
  <c r="B16" i="7"/>
  <c r="B5" i="7" s="1"/>
  <c r="C5" i="7" s="1"/>
  <c r="C11" i="7"/>
  <c r="D11" i="7" s="1"/>
  <c r="E11" i="7" s="1"/>
  <c r="F11" i="7" s="1"/>
  <c r="G11" i="7" s="1"/>
  <c r="C10" i="7"/>
  <c r="D10" i="7" s="1"/>
  <c r="E10" i="7" s="1"/>
  <c r="F10" i="7" s="1"/>
  <c r="G10" i="7" s="1"/>
  <c r="D56" i="6"/>
  <c r="D55" i="6"/>
  <c r="D54" i="6"/>
  <c r="D53" i="6"/>
  <c r="D52" i="6"/>
  <c r="D51" i="6"/>
  <c r="D50" i="6"/>
  <c r="H42" i="6"/>
  <c r="G42" i="6"/>
  <c r="F42" i="6"/>
  <c r="E42" i="6"/>
  <c r="D42" i="6"/>
  <c r="C42" i="6"/>
  <c r="B42" i="6"/>
  <c r="C10" i="6"/>
  <c r="B10" i="6"/>
  <c r="B9" i="6"/>
  <c r="B11" i="6" s="1"/>
  <c r="D66" i="5"/>
  <c r="D64" i="5"/>
  <c r="D65" i="5" s="1"/>
  <c r="B42" i="5" s="1"/>
  <c r="C65" i="5"/>
  <c r="C67" i="5" s="1"/>
  <c r="B65" i="5"/>
  <c r="B66" i="5" s="1"/>
  <c r="B67" i="5" s="1"/>
  <c r="B63" i="5"/>
  <c r="C63" i="5" s="1"/>
  <c r="C57" i="5"/>
  <c r="B57" i="5"/>
  <c r="B54" i="5"/>
  <c r="C53" i="5"/>
  <c r="B53" i="5"/>
  <c r="B40" i="5"/>
  <c r="B18" i="5"/>
  <c r="B17" i="5"/>
  <c r="B14" i="5"/>
  <c r="B9" i="5"/>
  <c r="B13" i="5" s="1"/>
  <c r="B8" i="5"/>
  <c r="B12" i="5" s="1"/>
  <c r="B7" i="5"/>
  <c r="B55" i="5" s="1"/>
  <c r="B6" i="5"/>
  <c r="B5" i="5"/>
  <c r="J20" i="4"/>
  <c r="H19" i="4"/>
  <c r="C24" i="3" s="1"/>
  <c r="C61" i="3" s="1"/>
  <c r="G19" i="4"/>
  <c r="D19" i="4"/>
  <c r="C19" i="4"/>
  <c r="B15" i="4"/>
  <c r="G14" i="4"/>
  <c r="J14" i="4" s="1"/>
  <c r="D14" i="4"/>
  <c r="C14" i="4"/>
  <c r="J13" i="4"/>
  <c r="D13" i="4"/>
  <c r="C13" i="4"/>
  <c r="J12" i="4"/>
  <c r="D12" i="4"/>
  <c r="C12" i="4"/>
  <c r="J11" i="4"/>
  <c r="D11" i="4"/>
  <c r="C11" i="4"/>
  <c r="G10" i="4"/>
  <c r="J10" i="4" s="1"/>
  <c r="D10" i="4"/>
  <c r="C10" i="4"/>
  <c r="J9" i="4"/>
  <c r="D9" i="4"/>
  <c r="C9" i="4"/>
  <c r="G8" i="4"/>
  <c r="J8" i="4" s="1"/>
  <c r="D8" i="4"/>
  <c r="C8" i="4"/>
  <c r="J15" i="3"/>
  <c r="I15" i="3"/>
  <c r="C15" i="3"/>
  <c r="B15" i="3"/>
  <c r="B9" i="3"/>
  <c r="K7" i="3"/>
  <c r="J7" i="3"/>
  <c r="I7" i="3"/>
  <c r="I44" i="3" s="1"/>
  <c r="D7" i="3"/>
  <c r="D44" i="3" s="1"/>
  <c r="C7" i="3"/>
  <c r="B7" i="3"/>
  <c r="B44" i="3" s="1"/>
  <c r="K5" i="3"/>
  <c r="K42" i="3" s="1"/>
  <c r="J5" i="3"/>
  <c r="J42" i="3" s="1"/>
  <c r="I5" i="3"/>
  <c r="I42" i="3" s="1"/>
  <c r="D5" i="3"/>
  <c r="D42" i="3" s="1"/>
  <c r="C5" i="3"/>
  <c r="C42" i="3" s="1"/>
  <c r="B5" i="3"/>
  <c r="B42" i="3" s="1"/>
  <c r="C63" i="3" l="1"/>
  <c r="C26" i="3"/>
  <c r="D48" i="3"/>
  <c r="D50" i="3"/>
  <c r="F8" i="7"/>
  <c r="J44" i="3"/>
  <c r="J50" i="3" s="1"/>
  <c r="E26" i="3"/>
  <c r="E63" i="3"/>
  <c r="I48" i="3"/>
  <c r="I50" i="3"/>
  <c r="F9" i="7"/>
  <c r="K44" i="3"/>
  <c r="C48" i="3"/>
  <c r="J48" i="3"/>
  <c r="K49" i="3"/>
  <c r="K48" i="3"/>
  <c r="K50" i="3"/>
  <c r="F48" i="3"/>
  <c r="F50" i="3"/>
  <c r="E50" i="3"/>
  <c r="E48" i="3"/>
  <c r="F5" i="7"/>
  <c r="C44" i="3"/>
  <c r="C50" i="3" s="1"/>
  <c r="D8" i="14"/>
  <c r="H9" i="3"/>
  <c r="G50" i="3"/>
  <c r="G48" i="3"/>
  <c r="G49" i="3"/>
  <c r="B50" i="3"/>
  <c r="B48" i="3"/>
  <c r="D12" i="14"/>
  <c r="B63" i="3"/>
  <c r="D9" i="7"/>
  <c r="G54" i="3"/>
  <c r="M9" i="14" a="1"/>
  <c r="M9" i="14" s="1"/>
  <c r="C9" i="3"/>
  <c r="C11" i="3" s="1"/>
  <c r="C16" i="3" s="1"/>
  <c r="D63" i="5"/>
  <c r="M6" i="14" a="1"/>
  <c r="M7" i="14" s="1"/>
  <c r="K9" i="3"/>
  <c r="K11" i="3" s="1"/>
  <c r="E9" i="3"/>
  <c r="D28" i="7"/>
  <c r="B8" i="7" s="1"/>
  <c r="C8" i="7" s="1"/>
  <c r="E12" i="4"/>
  <c r="E13" i="3"/>
  <c r="I9" i="3"/>
  <c r="I13" i="3" s="1"/>
  <c r="F9" i="3"/>
  <c r="G9" i="3"/>
  <c r="G12" i="3" s="1"/>
  <c r="C43" i="6"/>
  <c r="J9" i="3"/>
  <c r="J11" i="3" s="1"/>
  <c r="J18" i="3" s="1"/>
  <c r="B11" i="3"/>
  <c r="I6" i="14" a="1"/>
  <c r="E13" i="4"/>
  <c r="B68" i="5"/>
  <c r="E5" i="7"/>
  <c r="D9" i="3"/>
  <c r="D11" i="3" s="1"/>
  <c r="E8" i="4"/>
  <c r="E10" i="4"/>
  <c r="H15" i="4"/>
  <c r="B24" i="3" s="1"/>
  <c r="B61" i="3" s="1"/>
  <c r="D13" i="14"/>
  <c r="E9" i="4"/>
  <c r="E11" i="4"/>
  <c r="B14" i="14"/>
  <c r="G15" i="4"/>
  <c r="I49" i="3"/>
  <c r="I54" i="3" s="1"/>
  <c r="D67" i="5"/>
  <c r="D68" i="5" s="1"/>
  <c r="D43" i="6"/>
  <c r="C14" i="14"/>
  <c r="B26" i="3"/>
  <c r="K12" i="3"/>
  <c r="B41" i="5"/>
  <c r="B43" i="5" s="1"/>
  <c r="C49" i="3" s="1"/>
  <c r="C54" i="3" s="1"/>
  <c r="E8" i="7"/>
  <c r="E7" i="7"/>
  <c r="G5" i="7"/>
  <c r="E6" i="14"/>
  <c r="F6" i="14" s="1"/>
  <c r="G6" i="14" s="1"/>
  <c r="F6" i="7"/>
  <c r="G6" i="7" s="1"/>
  <c r="B13" i="3"/>
  <c r="E7" i="14"/>
  <c r="F7" i="14" s="1"/>
  <c r="G7" i="14" s="1"/>
  <c r="H7" i="14" s="1"/>
  <c r="F7" i="7"/>
  <c r="G7" i="7" s="1"/>
  <c r="C13" i="3"/>
  <c r="E14" i="4"/>
  <c r="F43" i="6"/>
  <c r="C14" i="10"/>
  <c r="C12" i="10"/>
  <c r="E19" i="4"/>
  <c r="G8" i="7"/>
  <c r="E9" i="14"/>
  <c r="F9" i="14" s="1"/>
  <c r="G9" i="14" s="1"/>
  <c r="H9" i="14" s="1"/>
  <c r="D15" i="4"/>
  <c r="H43" i="6"/>
  <c r="D69" i="7"/>
  <c r="B6" i="7" s="1"/>
  <c r="C6" i="7" s="1"/>
  <c r="C67" i="7"/>
  <c r="B68" i="7" s="1"/>
  <c r="E10" i="14"/>
  <c r="F10" i="14" s="1"/>
  <c r="G10" i="14" s="1"/>
  <c r="H10" i="14" s="1"/>
  <c r="J19" i="4"/>
  <c r="G22" i="4"/>
  <c r="E8" i="14"/>
  <c r="F8" i="14" s="1"/>
  <c r="G8" i="14" s="1"/>
  <c r="H8" i="14" s="1"/>
  <c r="E11" i="14"/>
  <c r="F11" i="14" s="1"/>
  <c r="G11" i="14" s="1"/>
  <c r="H11" i="14" s="1"/>
  <c r="J15" i="4"/>
  <c r="H22" i="4"/>
  <c r="E24" i="3" s="1"/>
  <c r="E61" i="3" s="1"/>
  <c r="B56" i="5"/>
  <c r="C55" i="5"/>
  <c r="C58" i="5" s="1"/>
  <c r="B58" i="5"/>
  <c r="C68" i="5"/>
  <c r="B43" i="6"/>
  <c r="G43" i="6"/>
  <c r="E43" i="6"/>
  <c r="B19" i="5"/>
  <c r="I8" i="4" s="1"/>
  <c r="F4" i="7"/>
  <c r="G4" i="7" s="1"/>
  <c r="B60" i="7"/>
  <c r="B4" i="7" s="1"/>
  <c r="C4" i="7" s="1"/>
  <c r="E4" i="7" s="1"/>
  <c r="B8" i="3" s="1"/>
  <c r="B21" i="5"/>
  <c r="C15" i="4"/>
  <c r="B49" i="3" l="1"/>
  <c r="B54" i="3" s="1"/>
  <c r="C55" i="3"/>
  <c r="C53" i="3"/>
  <c r="C54" i="5"/>
  <c r="C23" i="3"/>
  <c r="K13" i="3"/>
  <c r="E6" i="7"/>
  <c r="H8" i="3" s="1"/>
  <c r="H45" i="3" s="1"/>
  <c r="H51" i="3" s="1"/>
  <c r="H49" i="3"/>
  <c r="H54" i="3" s="1"/>
  <c r="K15" i="3"/>
  <c r="B3" i="2" s="1" a="1"/>
  <c r="K52" i="3"/>
  <c r="K54" i="3" s="1"/>
  <c r="G9" i="7"/>
  <c r="K11" i="4" s="1"/>
  <c r="L11" i="4" s="1"/>
  <c r="E53" i="3"/>
  <c r="E55" i="3"/>
  <c r="J55" i="3"/>
  <c r="J53" i="3"/>
  <c r="G53" i="3"/>
  <c r="G55" i="3"/>
  <c r="E49" i="3"/>
  <c r="E54" i="3" s="1"/>
  <c r="D49" i="3"/>
  <c r="D54" i="3" s="1"/>
  <c r="F49" i="3"/>
  <c r="F54" i="3" s="1"/>
  <c r="I55" i="3"/>
  <c r="I53" i="3"/>
  <c r="D55" i="3"/>
  <c r="D53" i="3"/>
  <c r="M8" i="14"/>
  <c r="E12" i="3"/>
  <c r="H13" i="3"/>
  <c r="H12" i="3"/>
  <c r="H17" i="3" s="1"/>
  <c r="H11" i="3"/>
  <c r="B55" i="3"/>
  <c r="B53" i="3"/>
  <c r="F53" i="3"/>
  <c r="F55" i="3"/>
  <c r="J13" i="3"/>
  <c r="B16" i="3"/>
  <c r="E9" i="7"/>
  <c r="K8" i="3" s="1"/>
  <c r="K14" i="3" s="1"/>
  <c r="B19" i="3"/>
  <c r="B45" i="3"/>
  <c r="I11" i="3"/>
  <c r="I12" i="3"/>
  <c r="I17" i="3" s="1"/>
  <c r="M10" i="14"/>
  <c r="M6" i="14"/>
  <c r="M11" i="14"/>
  <c r="E11" i="3"/>
  <c r="E16" i="3" s="1"/>
  <c r="F12" i="3"/>
  <c r="F17" i="3" s="1"/>
  <c r="D12" i="3"/>
  <c r="D17" i="3" s="1"/>
  <c r="B18" i="3"/>
  <c r="I19" i="4"/>
  <c r="I22" i="4" s="1"/>
  <c r="E15" i="4"/>
  <c r="B23" i="3" s="1"/>
  <c r="B15" i="10"/>
  <c r="D20" i="4" s="1"/>
  <c r="D22" i="4" s="1"/>
  <c r="E17" i="3"/>
  <c r="I6" i="14"/>
  <c r="I8" i="14"/>
  <c r="I7" i="14"/>
  <c r="G13" i="3"/>
  <c r="G17" i="3"/>
  <c r="G11" i="3"/>
  <c r="F13" i="3"/>
  <c r="D13" i="3"/>
  <c r="D16" i="3"/>
  <c r="D18" i="3"/>
  <c r="F11" i="3"/>
  <c r="C18" i="3"/>
  <c r="N7" i="14"/>
  <c r="J16" i="3"/>
  <c r="C8" i="3"/>
  <c r="C45" i="3" s="1"/>
  <c r="C51" i="3" s="1"/>
  <c r="C12" i="3"/>
  <c r="C17" i="3" s="1"/>
  <c r="N9" i="14"/>
  <c r="N10" i="14"/>
  <c r="N11" i="14"/>
  <c r="B44" i="5"/>
  <c r="M12" i="14" a="1"/>
  <c r="M12" i="14" s="1"/>
  <c r="I8" i="3"/>
  <c r="B14" i="3"/>
  <c r="K9" i="4"/>
  <c r="L9" i="4" s="1"/>
  <c r="I14" i="4"/>
  <c r="I10" i="4"/>
  <c r="I12" i="4"/>
  <c r="N8" i="14"/>
  <c r="B45" i="6"/>
  <c r="B31" i="6" s="1"/>
  <c r="C9" i="6" s="1"/>
  <c r="B12" i="3"/>
  <c r="J22" i="4"/>
  <c r="C56" i="5"/>
  <c r="H6" i="14"/>
  <c r="C56" i="3" l="1"/>
  <c r="K18" i="3"/>
  <c r="K8" i="4"/>
  <c r="L8" i="4" s="1"/>
  <c r="K20" i="4"/>
  <c r="L20" i="4" s="1"/>
  <c r="D25" i="3" s="1"/>
  <c r="D62" i="3" s="1"/>
  <c r="K13" i="4"/>
  <c r="L13" i="4" s="1"/>
  <c r="K17" i="3"/>
  <c r="E8" i="3"/>
  <c r="E45" i="3" s="1"/>
  <c r="E56" i="3" s="1"/>
  <c r="D8" i="3"/>
  <c r="D19" i="3" s="1"/>
  <c r="H56" i="3"/>
  <c r="K12" i="4"/>
  <c r="L12" i="4" s="1"/>
  <c r="G8" i="3"/>
  <c r="G45" i="3" s="1"/>
  <c r="G56" i="3" s="1"/>
  <c r="K14" i="4"/>
  <c r="K19" i="4"/>
  <c r="L19" i="4" s="1"/>
  <c r="K10" i="4"/>
  <c r="L10" i="4" s="1"/>
  <c r="F8" i="3"/>
  <c r="F45" i="3" s="1"/>
  <c r="F51" i="3" s="1"/>
  <c r="C60" i="3"/>
  <c r="C28" i="3"/>
  <c r="C27" i="3"/>
  <c r="C29" i="3"/>
  <c r="I9" i="14" a="1"/>
  <c r="I11" i="14" s="1"/>
  <c r="J12" i="3"/>
  <c r="J17" i="3" s="1"/>
  <c r="J49" i="3"/>
  <c r="J54" i="3" s="1"/>
  <c r="C20" i="2" s="1" a="1"/>
  <c r="B3" i="2"/>
  <c r="B8" i="2"/>
  <c r="B11" i="2"/>
  <c r="B6" i="2"/>
  <c r="B9" i="2"/>
  <c r="B4" i="2"/>
  <c r="B10" i="2"/>
  <c r="B7" i="2"/>
  <c r="B12" i="2"/>
  <c r="B5" i="2"/>
  <c r="K53" i="3"/>
  <c r="B20" i="2" s="1" a="1"/>
  <c r="B27" i="3"/>
  <c r="B60" i="3"/>
  <c r="K55" i="3"/>
  <c r="D20" i="2" s="1" a="1"/>
  <c r="K16" i="3"/>
  <c r="I3" i="2" a="1"/>
  <c r="H16" i="3"/>
  <c r="H18" i="3"/>
  <c r="I4" i="2"/>
  <c r="I11" i="2"/>
  <c r="I6" i="2"/>
  <c r="I8" i="2"/>
  <c r="I7" i="2"/>
  <c r="I9" i="2"/>
  <c r="I10" i="2"/>
  <c r="I12" i="2"/>
  <c r="I3" i="2"/>
  <c r="I5" i="2"/>
  <c r="D3" i="2" a="1"/>
  <c r="B51" i="3"/>
  <c r="B56" i="3"/>
  <c r="K19" i="3"/>
  <c r="K45" i="3"/>
  <c r="I14" i="3"/>
  <c r="I45" i="3"/>
  <c r="N6" i="14"/>
  <c r="I18" i="3"/>
  <c r="I16" i="3"/>
  <c r="E18" i="3"/>
  <c r="J8" i="3"/>
  <c r="J45" i="3" s="1"/>
  <c r="B29" i="3"/>
  <c r="G16" i="3"/>
  <c r="G18" i="3"/>
  <c r="F16" i="3"/>
  <c r="F18" i="3"/>
  <c r="C20" i="4"/>
  <c r="E20" i="4" s="1"/>
  <c r="M13" i="14"/>
  <c r="I19" i="3"/>
  <c r="C14" i="3"/>
  <c r="C19" i="3"/>
  <c r="B17" i="3"/>
  <c r="I15" i="4"/>
  <c r="C11" i="6"/>
  <c r="C22" i="4"/>
  <c r="E3" i="2" l="1" a="1"/>
  <c r="E12" i="2" s="1"/>
  <c r="I10" i="14"/>
  <c r="K22" i="4"/>
  <c r="G51" i="3"/>
  <c r="E14" i="3"/>
  <c r="G14" i="3"/>
  <c r="E51" i="3"/>
  <c r="D14" i="3"/>
  <c r="D45" i="3"/>
  <c r="D51" i="3" s="1"/>
  <c r="I9" i="14"/>
  <c r="E19" i="3"/>
  <c r="K15" i="4"/>
  <c r="F19" i="3"/>
  <c r="F14" i="3"/>
  <c r="L14" i="4"/>
  <c r="L15" i="4" s="1"/>
  <c r="B25" i="3" s="1"/>
  <c r="G19" i="3"/>
  <c r="F56" i="3"/>
  <c r="D22" i="2"/>
  <c r="D39" i="2" s="1"/>
  <c r="D23" i="2"/>
  <c r="D40" i="2" s="1"/>
  <c r="D27" i="2"/>
  <c r="D44" i="2" s="1"/>
  <c r="D29" i="2"/>
  <c r="D46" i="2" s="1"/>
  <c r="D25" i="2"/>
  <c r="D42" i="2" s="1"/>
  <c r="D24" i="2"/>
  <c r="D41" i="2" s="1"/>
  <c r="D21" i="2"/>
  <c r="D38" i="2" s="1"/>
  <c r="D26" i="2"/>
  <c r="D43" i="2" s="1"/>
  <c r="D28" i="2"/>
  <c r="D45" i="2" s="1"/>
  <c r="D20" i="2"/>
  <c r="D37" i="2" s="1"/>
  <c r="B20" i="2"/>
  <c r="B37" i="2" s="1"/>
  <c r="B21" i="2"/>
  <c r="B38" i="2" s="1"/>
  <c r="B27" i="2"/>
  <c r="B44" i="2" s="1"/>
  <c r="B29" i="2"/>
  <c r="B46" i="2" s="1"/>
  <c r="B23" i="2"/>
  <c r="B40" i="2" s="1"/>
  <c r="B26" i="2"/>
  <c r="B43" i="2" s="1"/>
  <c r="B28" i="2"/>
  <c r="B45" i="2" s="1"/>
  <c r="B22" i="2"/>
  <c r="B39" i="2" s="1"/>
  <c r="B24" i="2"/>
  <c r="B41" i="2" s="1"/>
  <c r="B25" i="2"/>
  <c r="B42" i="2" s="1"/>
  <c r="C28" i="2"/>
  <c r="C45" i="2" s="1"/>
  <c r="C20" i="2"/>
  <c r="C37" i="2" s="1"/>
  <c r="C27" i="2"/>
  <c r="C44" i="2" s="1"/>
  <c r="C24" i="2"/>
  <c r="C41" i="2" s="1"/>
  <c r="C29" i="2"/>
  <c r="C46" i="2" s="1"/>
  <c r="C25" i="2"/>
  <c r="C42" i="2" s="1"/>
  <c r="C23" i="2"/>
  <c r="C40" i="2" s="1"/>
  <c r="C22" i="2"/>
  <c r="C39" i="2" s="1"/>
  <c r="C21" i="2"/>
  <c r="C38" i="2" s="1"/>
  <c r="C26" i="2"/>
  <c r="C43" i="2" s="1"/>
  <c r="B66" i="3"/>
  <c r="B64" i="3"/>
  <c r="E22" i="4"/>
  <c r="E23" i="3" s="1"/>
  <c r="D23" i="3"/>
  <c r="C32" i="3"/>
  <c r="E68" i="3"/>
  <c r="D68" i="3"/>
  <c r="C68" i="3"/>
  <c r="B68" i="3"/>
  <c r="D31" i="3"/>
  <c r="C31" i="3"/>
  <c r="C34" i="3" s="1"/>
  <c r="E31" i="3"/>
  <c r="G3" i="2" a="1"/>
  <c r="G4" i="2" s="1"/>
  <c r="L3" i="2" a="1"/>
  <c r="L7" i="2" s="1"/>
  <c r="C65" i="3"/>
  <c r="C64" i="3"/>
  <c r="C66" i="3"/>
  <c r="H3" i="2" a="1"/>
  <c r="H10" i="2" s="1"/>
  <c r="D3" i="2"/>
  <c r="D12" i="2"/>
  <c r="D7" i="2"/>
  <c r="D6" i="2"/>
  <c r="D8" i="2"/>
  <c r="D4" i="2"/>
  <c r="D5" i="2"/>
  <c r="D10" i="2"/>
  <c r="D11" i="2"/>
  <c r="D9" i="2"/>
  <c r="K51" i="3"/>
  <c r="B28" i="3"/>
  <c r="B65" i="3"/>
  <c r="K56" i="3"/>
  <c r="J51" i="3"/>
  <c r="J56" i="3"/>
  <c r="I51" i="3"/>
  <c r="I56" i="3"/>
  <c r="L22" i="4"/>
  <c r="E25" i="3" s="1"/>
  <c r="E62" i="3" s="1"/>
  <c r="C25" i="3"/>
  <c r="C62" i="3" s="1"/>
  <c r="J19" i="3"/>
  <c r="J14" i="3"/>
  <c r="B31" i="3"/>
  <c r="E12" i="14" a="1"/>
  <c r="E5" i="2" l="1"/>
  <c r="E7" i="2"/>
  <c r="E9" i="2"/>
  <c r="E4" i="2"/>
  <c r="E3" i="2"/>
  <c r="E11" i="2"/>
  <c r="E6" i="2"/>
  <c r="E8" i="2"/>
  <c r="E10" i="2"/>
  <c r="C70" i="3"/>
  <c r="D56" i="3"/>
  <c r="E20" i="2" s="1" a="1"/>
  <c r="E26" i="2" s="1"/>
  <c r="E43" i="2" s="1"/>
  <c r="L11" i="2"/>
  <c r="G3" i="2"/>
  <c r="H12" i="2"/>
  <c r="G11" i="2"/>
  <c r="G9" i="2"/>
  <c r="H11" i="2"/>
  <c r="G12" i="2"/>
  <c r="H3" i="2"/>
  <c r="G5" i="2"/>
  <c r="G10" i="2"/>
  <c r="G6" i="2"/>
  <c r="G8" i="2"/>
  <c r="B71" i="3"/>
  <c r="B69" i="3"/>
  <c r="H9" i="2"/>
  <c r="L12" i="2"/>
  <c r="L3" i="2"/>
  <c r="L9" i="2"/>
  <c r="L5" i="2"/>
  <c r="H7" i="2"/>
  <c r="H6" i="2"/>
  <c r="L8" i="2"/>
  <c r="C33" i="3"/>
  <c r="H4" i="2"/>
  <c r="L10" i="2"/>
  <c r="B13" i="2" a="1"/>
  <c r="H8" i="2"/>
  <c r="L4" i="2"/>
  <c r="G7" i="2"/>
  <c r="H5" i="2"/>
  <c r="L6" i="2"/>
  <c r="C71" i="3"/>
  <c r="C69" i="3"/>
  <c r="D60" i="3"/>
  <c r="D28" i="3"/>
  <c r="D33" i="3" s="1"/>
  <c r="D27" i="3"/>
  <c r="D29" i="3"/>
  <c r="I13" i="2" s="1" a="1"/>
  <c r="E60" i="3"/>
  <c r="E28" i="3"/>
  <c r="E33" i="3" s="1"/>
  <c r="E27" i="3"/>
  <c r="E29" i="3"/>
  <c r="B70" i="3"/>
  <c r="E67" i="3"/>
  <c r="C67" i="3"/>
  <c r="C72" i="3"/>
  <c r="B30" i="3"/>
  <c r="B62" i="3"/>
  <c r="B33" i="3"/>
  <c r="B35" i="3"/>
  <c r="I12" i="14" a="1"/>
  <c r="B34" i="3"/>
  <c r="B32" i="3"/>
  <c r="E13" i="14"/>
  <c r="F13" i="14" s="1"/>
  <c r="G13" i="14" s="1"/>
  <c r="H13" i="14" s="1"/>
  <c r="E12" i="14"/>
  <c r="F12" i="14" s="1"/>
  <c r="G12" i="14" s="1"/>
  <c r="E21" i="2" l="1"/>
  <c r="E38" i="2" s="1"/>
  <c r="E20" i="2"/>
  <c r="E37" i="2" s="1"/>
  <c r="E28" i="2"/>
  <c r="E45" i="2" s="1"/>
  <c r="E24" i="2"/>
  <c r="E41" i="2" s="1"/>
  <c r="E27" i="2"/>
  <c r="E44" i="2" s="1"/>
  <c r="E29" i="2"/>
  <c r="E46" i="2" s="1"/>
  <c r="E23" i="2"/>
  <c r="E40" i="2" s="1"/>
  <c r="E25" i="2"/>
  <c r="E42" i="2" s="1"/>
  <c r="E22" i="2"/>
  <c r="E39" i="2" s="1"/>
  <c r="D65" i="3"/>
  <c r="D70" i="3" s="1"/>
  <c r="D66" i="3"/>
  <c r="D64" i="3"/>
  <c r="D67" i="3"/>
  <c r="B15" i="2"/>
  <c r="B14" i="2"/>
  <c r="B16" i="2"/>
  <c r="B13" i="2"/>
  <c r="E34" i="3"/>
  <c r="E32" i="3"/>
  <c r="E13" i="2" a="1"/>
  <c r="H13" i="2" a="1"/>
  <c r="H15" i="2" s="1"/>
  <c r="E65" i="3"/>
  <c r="E70" i="3" s="1"/>
  <c r="C30" i="2" s="1" a="1"/>
  <c r="C31" i="2" s="1"/>
  <c r="C48" i="2" s="1"/>
  <c r="E64" i="3"/>
  <c r="E66" i="3"/>
  <c r="I16" i="2"/>
  <c r="I13" i="2"/>
  <c r="I15" i="2"/>
  <c r="I14" i="2"/>
  <c r="D34" i="3"/>
  <c r="L13" i="2" s="1" a="1"/>
  <c r="D32" i="3"/>
  <c r="G13" i="2" s="1" a="1"/>
  <c r="D13" i="2" a="1"/>
  <c r="B67" i="3"/>
  <c r="B72" i="3"/>
  <c r="J10" i="14"/>
  <c r="L10" i="14" s="1"/>
  <c r="N11" i="2" s="1"/>
  <c r="O10" i="14"/>
  <c r="Q10" i="14" s="1"/>
  <c r="O11" i="2" s="1"/>
  <c r="J7" i="14"/>
  <c r="L7" i="14" s="1"/>
  <c r="N4" i="2" s="1"/>
  <c r="O7" i="14"/>
  <c r="Q7" i="14" s="1"/>
  <c r="O4" i="2" s="1"/>
  <c r="J8" i="14"/>
  <c r="L8" i="14" s="1"/>
  <c r="N9" i="2" s="1"/>
  <c r="O8" i="14"/>
  <c r="Q8" i="14" s="1"/>
  <c r="O9" i="2" s="1"/>
  <c r="O6" i="14"/>
  <c r="Q6" i="14" s="1"/>
  <c r="O3" i="2" s="1"/>
  <c r="J6" i="14"/>
  <c r="L6" i="14" s="1"/>
  <c r="N3" i="2" s="1"/>
  <c r="J9" i="14"/>
  <c r="L9" i="14" s="1"/>
  <c r="N10" i="2" s="1"/>
  <c r="O9" i="14"/>
  <c r="Q9" i="14" s="1"/>
  <c r="O10" i="2" s="1"/>
  <c r="J11" i="14"/>
  <c r="L11" i="14" s="1"/>
  <c r="N12" i="2" s="1"/>
  <c r="O11" i="14"/>
  <c r="Q11" i="14" s="1"/>
  <c r="O12" i="2" s="1"/>
  <c r="I12" i="14"/>
  <c r="I13" i="14"/>
  <c r="J13" i="14" s="1"/>
  <c r="L13" i="14" s="1"/>
  <c r="N16" i="2" s="1"/>
  <c r="H12" i="14"/>
  <c r="G14" i="14"/>
  <c r="N13" i="14"/>
  <c r="H14" i="2" l="1"/>
  <c r="G15" i="2"/>
  <c r="G16" i="2"/>
  <c r="G13" i="2"/>
  <c r="G14" i="2"/>
  <c r="L13" i="2"/>
  <c r="L16" i="2"/>
  <c r="L14" i="2"/>
  <c r="L15" i="2"/>
  <c r="C30" i="2"/>
  <c r="C47" i="2" s="1"/>
  <c r="C32" i="2"/>
  <c r="C49" i="2" s="1"/>
  <c r="C33" i="2"/>
  <c r="C50" i="2" s="1"/>
  <c r="E14" i="2"/>
  <c r="E15" i="2"/>
  <c r="E13" i="2"/>
  <c r="E16" i="2"/>
  <c r="E69" i="3"/>
  <c r="E71" i="3"/>
  <c r="E72" i="3"/>
  <c r="H13" i="2"/>
  <c r="D71" i="3"/>
  <c r="D69" i="3"/>
  <c r="D72" i="3"/>
  <c r="H16" i="2"/>
  <c r="D16" i="2"/>
  <c r="D13" i="2"/>
  <c r="D15" i="2"/>
  <c r="D14" i="2"/>
  <c r="N5" i="2"/>
  <c r="N8" i="2"/>
  <c r="N7" i="2"/>
  <c r="N6" i="2"/>
  <c r="O5" i="2"/>
  <c r="O7" i="2"/>
  <c r="O6" i="2"/>
  <c r="O8" i="2"/>
  <c r="O13" i="14"/>
  <c r="Q13" i="14" s="1"/>
  <c r="O16" i="2" s="1"/>
  <c r="J12" i="14"/>
  <c r="H14" i="14"/>
  <c r="N12" i="14"/>
  <c r="E30" i="2" l="1" a="1"/>
  <c r="E33" i="2" s="1"/>
  <c r="E50" i="2" s="1"/>
  <c r="D30" i="2" a="1"/>
  <c r="D30" i="2" s="1"/>
  <c r="D47" i="2" s="1"/>
  <c r="B30" i="2" a="1"/>
  <c r="O12" i="14"/>
  <c r="N14" i="14"/>
  <c r="L12" i="14"/>
  <c r="N13" i="2" s="1"/>
  <c r="J14" i="14"/>
  <c r="L14" i="14" s="1"/>
  <c r="D33" i="2" l="1"/>
  <c r="D50" i="2" s="1"/>
  <c r="D32" i="2"/>
  <c r="D49" i="2" s="1"/>
  <c r="E31" i="2"/>
  <c r="E48" i="2" s="1"/>
  <c r="E30" i="2"/>
  <c r="E47" i="2" s="1"/>
  <c r="E32" i="2"/>
  <c r="E49" i="2" s="1"/>
  <c r="D31" i="2"/>
  <c r="D48" i="2" s="1"/>
  <c r="B33" i="2"/>
  <c r="B50" i="2" s="1"/>
  <c r="B32" i="2"/>
  <c r="B49" i="2" s="1"/>
  <c r="B31" i="2"/>
  <c r="B48" i="2" s="1"/>
  <c r="B30" i="2"/>
  <c r="B47" i="2" s="1"/>
  <c r="Q12" i="14"/>
  <c r="O13" i="2" s="1"/>
  <c r="O14" i="14"/>
  <c r="Q14" i="14" s="1"/>
  <c r="H19" i="3" l="1"/>
  <c r="M3" i="2" s="1" a="1"/>
  <c r="H14" i="3"/>
  <c r="J3" i="2" s="1" a="1"/>
  <c r="J3" i="2" l="1"/>
  <c r="J7" i="2"/>
  <c r="J11" i="2"/>
  <c r="J4" i="2"/>
  <c r="J8" i="2"/>
  <c r="J5" i="2"/>
  <c r="J9" i="2"/>
  <c r="J12" i="2"/>
  <c r="J6" i="2"/>
  <c r="J10" i="2"/>
  <c r="M3" i="2"/>
  <c r="M7" i="2"/>
  <c r="M11" i="2"/>
  <c r="M4" i="2"/>
  <c r="M8" i="2"/>
  <c r="M5" i="2"/>
  <c r="M9" i="2"/>
  <c r="M12" i="2"/>
  <c r="M6" i="2"/>
  <c r="M10" i="2"/>
  <c r="D30" i="3"/>
  <c r="D35" i="3"/>
  <c r="C30" i="3" l="1"/>
  <c r="C35" i="3"/>
  <c r="E30" i="3" l="1"/>
  <c r="J13" i="2" s="1" a="1"/>
  <c r="E35" i="3"/>
  <c r="M13" i="2" s="1" a="1"/>
  <c r="M14" i="2" l="1"/>
  <c r="M15" i="2"/>
  <c r="M16" i="2"/>
  <c r="M13" i="2"/>
  <c r="J14" i="2"/>
  <c r="J16" i="2"/>
  <c r="J13" i="2"/>
  <c r="J1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Jo</author>
  </authors>
  <commentList>
    <comment ref="D5" authorId="0" shapeId="0" xr:uid="{00000000-0006-0000-0200-000001000000}">
      <text>
        <r>
          <rPr>
            <sz val="10"/>
            <color rgb="FF000000"/>
            <rFont val="Arial"/>
            <family val="2"/>
          </rPr>
          <t>This is the annual yield per dairy cow.</t>
        </r>
      </text>
    </comment>
    <comment ref="J5" authorId="0" shapeId="0" xr:uid="{00000000-0006-0000-0200-000002000000}">
      <text>
        <r>
          <rPr>
            <sz val="10"/>
            <color rgb="FF000000"/>
            <rFont val="Arial"/>
            <family val="2"/>
          </rPr>
          <t>This is the annual yield per layer hen.</t>
        </r>
      </text>
    </comment>
    <comment ref="A6" authorId="0" shapeId="0" xr:uid="{00000000-0006-0000-0200-000003000000}">
      <text>
        <r>
          <rPr>
            <sz val="10"/>
            <color rgb="FF000000"/>
            <rFont val="Arial"/>
            <family val="2"/>
          </rPr>
          <t>This row applies only to dairy and eggs to calculate the total product produced over the lifetime of the animal (calculated as the yield per animal (row 5) multiplied by the years producing product (row 6). For the other animal products, we have assumed a value of 1 for this row, as the product per life is simply equal to the yield per animal.</t>
        </r>
      </text>
    </comment>
    <comment ref="B6" authorId="0" shapeId="0" xr:uid="{00000000-0006-0000-0200-000004000000}">
      <text>
        <r>
          <rPr>
            <sz val="10"/>
            <color rgb="FF000000"/>
            <rFont val="Arial"/>
            <family val="2"/>
          </rPr>
          <t xml:space="preserve">Not applicable, 1 assumed (see comment in cell A6)
</t>
        </r>
      </text>
    </comment>
    <comment ref="C6" authorId="0" shapeId="0" xr:uid="{00000000-0006-0000-0200-000005000000}">
      <text>
        <r>
          <rPr>
            <sz val="10"/>
            <color rgb="FF000000"/>
            <rFont val="Arial"/>
            <family val="2"/>
          </rPr>
          <t>Not applicable, 1 assumed (see comment in cell A6)</t>
        </r>
      </text>
    </comment>
    <comment ref="D6" authorId="0" shapeId="0" xr:uid="{00000000-0006-0000-0200-000006000000}">
      <text>
        <r>
          <rPr>
            <sz val="10"/>
            <color rgb="FF000000"/>
            <rFont val="Arial"/>
            <family val="2"/>
          </rPr>
          <t>Producing milk from age 2.5 to 5.5:
https://www.ciwf.org.uk/media/5235185/the-life-of-dairy-cows.pdf</t>
        </r>
      </text>
    </comment>
    <comment ref="I6" authorId="0" shapeId="0" xr:uid="{00000000-0006-0000-0200-000007000000}">
      <text>
        <r>
          <rPr>
            <sz val="10"/>
            <color rgb="FF000000"/>
            <rFont val="Arial"/>
            <family val="2"/>
          </rPr>
          <t>Not applicable, 1 assumed (see comment in cell A6)</t>
        </r>
      </text>
    </comment>
    <comment ref="J6" authorId="0" shapeId="0" xr:uid="{00000000-0006-0000-0200-000008000000}">
      <text>
        <r>
          <rPr>
            <sz val="10"/>
            <color rgb="FF000000"/>
            <rFont val="Arial"/>
            <family val="2"/>
          </rPr>
          <t>Start laying eggs at 20 weeks, end at 72 weeks:
http://www.fao.org/3/y4628e/y4628e03.htm
http://www.fao.org/3/y4628e/y4628e03.htm</t>
        </r>
      </text>
    </comment>
    <comment ref="K6" authorId="0" shapeId="0" xr:uid="{00000000-0006-0000-0200-000009000000}">
      <text>
        <r>
          <rPr>
            <sz val="10"/>
            <color rgb="FF000000"/>
            <rFont val="Arial"/>
            <family val="2"/>
          </rPr>
          <t>Not applicable, 1 assumed (see comment in cell A6)</t>
        </r>
      </text>
    </comment>
    <comment ref="B7" authorId="0" shapeId="0" xr:uid="{00000000-0006-0000-0200-00000A000000}">
      <text>
        <r>
          <rPr>
            <sz val="10"/>
            <color rgb="FF000000"/>
            <rFont val="Arial"/>
            <family val="2"/>
          </rPr>
          <t>30-42 months: https://www.ams.usda.gov/grades-standards/slaughter-cattle</t>
        </r>
      </text>
    </comment>
    <comment ref="C7" authorId="0" shapeId="0" xr:uid="{00000000-0006-0000-0200-00000B000000}">
      <text>
        <r>
          <rPr>
            <sz val="10"/>
            <color rgb="FF000000"/>
            <rFont val="Arial"/>
            <family val="2"/>
          </rPr>
          <t>7 weeks: https://ask.usda.gov/s/article/How-old-are-chickens-used-for-meat</t>
        </r>
      </text>
    </comment>
    <comment ref="D7" authorId="0" shapeId="0" xr:uid="{00000000-0006-0000-0200-00000C000000}">
      <text>
        <r>
          <rPr>
            <sz val="10"/>
            <color rgb="FF000000"/>
            <rFont val="Arial"/>
            <family val="2"/>
          </rPr>
          <t>5.5 years: https://www.ciwf.org.uk/media/5235185/the-life-of-dairy-cows.pdf</t>
        </r>
      </text>
    </comment>
    <comment ref="I7" authorId="0" shapeId="0" xr:uid="{00000000-0006-0000-0200-00000D000000}">
      <text>
        <r>
          <rPr>
            <sz val="10"/>
            <color rgb="FF000000"/>
            <rFont val="Arial"/>
            <family val="2"/>
          </rPr>
          <t xml:space="preserve">22-26 weeks: https://www.ers.usda.gov/topics/animal-products/hogs-pork/sector-at-a-glance/#Loc1
</t>
        </r>
      </text>
    </comment>
    <comment ref="J7" authorId="0" shapeId="0" xr:uid="{00000000-0006-0000-0200-00000E000000}">
      <text>
        <r>
          <rPr>
            <sz val="10"/>
            <color rgb="FF000000"/>
            <rFont val="Arial"/>
            <family val="2"/>
          </rPr>
          <t>72 weeks: http://www.fao.org/3/y4628e/y4628e03.htm</t>
        </r>
      </text>
    </comment>
    <comment ref="K7" authorId="0" shapeId="0" xr:uid="{00000000-0006-0000-0200-00000F000000}">
      <text>
        <r>
          <rPr>
            <sz val="10"/>
            <color rgb="FF000000"/>
            <rFont val="Arial"/>
            <family val="2"/>
          </rPr>
          <t>4-5 months: https://www.fsis.usda.gov/wps/portal/fsis/topics/food-safety-education/get-answers/food-safety-fact-sheets/poultry-preparation/food-safety-of-turkeyfrom-farm-to-table/CT_Index</t>
        </r>
      </text>
    </comment>
    <comment ref="A8" authorId="0" shapeId="0" xr:uid="{00000000-0006-0000-0200-000010000000}">
      <text>
        <r>
          <rPr>
            <sz val="10"/>
            <color rgb="FF000000"/>
            <rFont val="Arial"/>
            <family val="2"/>
          </rPr>
          <t>One additional day of life for male chicks.
Feed fish calculations in 'fish and shellfish consumption' and 'feed fish and bycatch' tabs.
Mortality calculations in 'Mortality' tab.</t>
        </r>
      </text>
    </comment>
    <comment ref="J8" authorId="0" shapeId="0" xr:uid="{00000000-0006-0000-0200-000011000000}">
      <text>
        <r>
          <rPr>
            <sz val="10"/>
            <color rgb="FF000000"/>
            <rFont val="Arial"/>
            <family val="2"/>
          </rPr>
          <t>Additional day for male chicks</t>
        </r>
      </text>
    </comment>
    <comment ref="A12" authorId="0" shapeId="0" xr:uid="{00000000-0006-0000-0200-000012000000}">
      <text>
        <r>
          <rPr>
            <sz val="10"/>
            <color rgb="FF000000"/>
            <rFont val="Arial"/>
            <family val="2"/>
          </rPr>
          <t>Calculated as the total edible weight per direct life divided by the total number of lives (direct and indirect)</t>
        </r>
      </text>
    </comment>
    <comment ref="J12" authorId="0" shapeId="0" xr:uid="{00000000-0006-0000-0200-000013000000}">
      <text>
        <r>
          <rPr>
            <sz val="10"/>
            <color rgb="FF000000"/>
            <rFont val="Arial"/>
            <family val="2"/>
          </rPr>
          <t>Additional life for male chicks</t>
        </r>
      </text>
    </comment>
    <comment ref="A14" authorId="0" shapeId="0" xr:uid="{00000000-0006-0000-0200-000014000000}">
      <text>
        <r>
          <rPr>
            <sz val="10"/>
            <color rgb="FF000000"/>
            <rFont val="Arial"/>
            <family val="2"/>
          </rPr>
          <t>Calculation is based on assumption that if you consume enough of the product to cause one direct death, you cause the total direct + indirect days of suffering</t>
        </r>
      </text>
    </comment>
    <comment ref="A19" authorId="0" shapeId="0" xr:uid="{00000000-0006-0000-0200-000015000000}">
      <text>
        <r>
          <rPr>
            <sz val="10"/>
            <color rgb="FF000000"/>
            <rFont val="Arial"/>
            <family val="2"/>
          </rPr>
          <t>Calculation is based on assumption that if you consume enough of the product to cause one direct death, you cause the total direct + indirect days of suffering</t>
        </r>
      </text>
    </comment>
    <comment ref="A23" authorId="0" shapeId="0" xr:uid="{00000000-0006-0000-0200-000016000000}">
      <text>
        <r>
          <rPr>
            <sz val="10"/>
            <color rgb="FF000000"/>
            <rFont val="Arial"/>
            <family val="2"/>
          </rPr>
          <t>This is calculated as the weighted average weight of the most commonly consumed species in the US. We use the mid-point of the upper and lower bound estimates from Fishcount. See 'Fish and shellfish calculations' sheet.</t>
        </r>
      </text>
    </comment>
    <comment ref="B24" authorId="0" shapeId="0" xr:uid="{00000000-0006-0000-0200-000017000000}">
      <text>
        <r>
          <rPr>
            <sz val="10"/>
            <color rgb="FF000000"/>
            <rFont val="Arial"/>
            <family val="2"/>
          </rPr>
          <t>Weighted average of most consumed products - see 'Fish and shellfish data (consumption)' sheet</t>
        </r>
      </text>
    </comment>
    <comment ref="E24" authorId="0" shapeId="0" xr:uid="{AF8D165C-125A-4D90-AD32-41996B0E5621}">
      <text>
        <r>
          <rPr>
            <sz val="10"/>
            <color rgb="FF000000"/>
            <rFont val="Arial"/>
            <family val="2"/>
          </rPr>
          <t>Weighted average of most consumed products - see 'Fish and shellfish data (consumption)' sheet</t>
        </r>
      </text>
    </comment>
    <comment ref="A30" authorId="1" shapeId="0" xr:uid="{7C7BFAD9-D271-4600-A72E-78F0C71AC7D0}">
      <text>
        <r>
          <rPr>
            <sz val="9"/>
            <color indexed="81"/>
            <rFont val="Tahoma"/>
            <family val="2"/>
          </rPr>
          <t>Calculated as the total edible weight per direct life divided by the total lifetime in days (direct and indirect)</t>
        </r>
      </text>
    </comment>
    <comment ref="A35" authorId="0" shapeId="0" xr:uid="{00000000-0006-0000-0200-00001A000000}">
      <text>
        <r>
          <rPr>
            <sz val="10"/>
            <color rgb="FF000000"/>
            <rFont val="Arial"/>
            <family val="2"/>
          </rPr>
          <t>Calculation is based on assumption that if you consume enough of the product to cause one direct death, you cause the total direct + indirect days of suffering</t>
        </r>
      </text>
    </comment>
    <comment ref="D42" authorId="0" shapeId="0" xr:uid="{E98C9482-ABCC-47EC-8BCC-6EB47140CE83}">
      <text>
        <r>
          <rPr>
            <sz val="10"/>
            <color rgb="FF000000"/>
            <rFont val="Arial"/>
            <family val="2"/>
          </rPr>
          <t>This is the annual yield per dairy cow.</t>
        </r>
      </text>
    </comment>
    <comment ref="J42" authorId="0" shapeId="0" xr:uid="{CD7AFBDE-288C-4CD4-B0EE-B939F2FCDF0E}">
      <text>
        <r>
          <rPr>
            <sz val="10"/>
            <color rgb="FF000000"/>
            <rFont val="Arial"/>
            <family val="2"/>
          </rPr>
          <t>This is the annual yield per layer hen.</t>
        </r>
      </text>
    </comment>
    <comment ref="A43" authorId="0" shapeId="0" xr:uid="{01DF04A6-F398-4A45-AE45-61BC837C5531}">
      <text>
        <r>
          <rPr>
            <sz val="10"/>
            <color rgb="FF000000"/>
            <rFont val="Arial"/>
            <family val="2"/>
          </rPr>
          <t>This row applies only to dairy and eggs to calculate the total product produced over the lifetime of the animal (calculated as the yield per animal (row 5) multiplied by the years producing product (row 6). For the other animal products, we have assumed a value of 1 for this row, as the product per life is simply equal to the yield per animal.</t>
        </r>
      </text>
    </comment>
    <comment ref="B43" authorId="0" shapeId="0" xr:uid="{5BA7BAA0-3864-41FB-AA3E-2804F0BCA3DE}">
      <text>
        <r>
          <rPr>
            <sz val="10"/>
            <color rgb="FF000000"/>
            <rFont val="Arial"/>
            <family val="2"/>
          </rPr>
          <t xml:space="preserve">Not applicable, 1 assumed (see comment in cell A6)
</t>
        </r>
      </text>
    </comment>
    <comment ref="C43" authorId="0" shapeId="0" xr:uid="{FBF4981F-47A3-415B-8A50-BF5C40E2F12C}">
      <text>
        <r>
          <rPr>
            <sz val="10"/>
            <color rgb="FF000000"/>
            <rFont val="Arial"/>
            <family val="2"/>
          </rPr>
          <t>Not applicable, 1 assumed (see comment in cell A6)</t>
        </r>
      </text>
    </comment>
    <comment ref="D43" authorId="0" shapeId="0" xr:uid="{BF84E32A-BD6D-42EB-A029-E42506C4725F}">
      <text>
        <r>
          <rPr>
            <sz val="10"/>
            <color rgb="FF000000"/>
            <rFont val="Arial"/>
            <family val="2"/>
          </rPr>
          <t>Producing milk from age 2.5 to 5.5:
https://www.ciwf.org.uk/media/5235185/the-life-of-dairy-cows.pdf</t>
        </r>
      </text>
    </comment>
    <comment ref="I43" authorId="0" shapeId="0" xr:uid="{74355FCB-891C-4AED-B1DE-B64393D5EFC1}">
      <text>
        <r>
          <rPr>
            <sz val="10"/>
            <color rgb="FF000000"/>
            <rFont val="Arial"/>
            <family val="2"/>
          </rPr>
          <t>Not applicable, 1 assumed (see comment in cell A6)</t>
        </r>
      </text>
    </comment>
    <comment ref="J43" authorId="0" shapeId="0" xr:uid="{4ABD5633-AECF-4C97-90DC-3D36D11183E1}">
      <text>
        <r>
          <rPr>
            <sz val="10"/>
            <color rgb="FF000000"/>
            <rFont val="Arial"/>
            <family val="2"/>
          </rPr>
          <t>Start laying eggs at 20 weeks, end at 72 weeks:
http://www.fao.org/3/y4628e/y4628e03.htm
http://www.fao.org/3/y4628e/y4628e03.htm</t>
        </r>
      </text>
    </comment>
    <comment ref="K43" authorId="0" shapeId="0" xr:uid="{DCCA38B2-067B-4598-9F1C-011628C8E0C8}">
      <text>
        <r>
          <rPr>
            <sz val="10"/>
            <color rgb="FF000000"/>
            <rFont val="Arial"/>
            <family val="2"/>
          </rPr>
          <t>Not applicable, 1 assumed (see comment in cell A6)</t>
        </r>
      </text>
    </comment>
    <comment ref="B44" authorId="0" shapeId="0" xr:uid="{507129D4-5BCE-4291-9680-750E96289187}">
      <text>
        <r>
          <rPr>
            <sz val="10"/>
            <color rgb="FF000000"/>
            <rFont val="Arial"/>
            <family val="2"/>
          </rPr>
          <t>30-42 months: https://www.ams.usda.gov/grades-standards/slaughter-cattle</t>
        </r>
      </text>
    </comment>
    <comment ref="C44" authorId="0" shapeId="0" xr:uid="{76CF267C-FAE9-4968-936D-841DF721EDA7}">
      <text>
        <r>
          <rPr>
            <sz val="10"/>
            <color rgb="FF000000"/>
            <rFont val="Arial"/>
            <family val="2"/>
          </rPr>
          <t>7 weeks: https://ask.usda.gov/s/article/How-old-are-chickens-used-for-meat</t>
        </r>
      </text>
    </comment>
    <comment ref="D44" authorId="0" shapeId="0" xr:uid="{2B4B1882-DDEA-49B8-84A3-1C3BCBAFD439}">
      <text>
        <r>
          <rPr>
            <sz val="10"/>
            <color rgb="FF000000"/>
            <rFont val="Arial"/>
            <family val="2"/>
          </rPr>
          <t>5.5 years: https://www.ciwf.org.uk/media/5235185/the-life-of-dairy-cows.pdf</t>
        </r>
      </text>
    </comment>
    <comment ref="I44" authorId="0" shapeId="0" xr:uid="{ADDB1BE7-467A-4B87-8304-F7B843967199}">
      <text>
        <r>
          <rPr>
            <sz val="10"/>
            <color rgb="FF000000"/>
            <rFont val="Arial"/>
            <family val="2"/>
          </rPr>
          <t xml:space="preserve">22-26 weeks: https://www.ers.usda.gov/topics/animal-products/hogs-pork/sector-at-a-glance/#Loc1
</t>
        </r>
      </text>
    </comment>
    <comment ref="J44" authorId="0" shapeId="0" xr:uid="{299C650B-EA77-41BE-8B04-EE067DC464DB}">
      <text>
        <r>
          <rPr>
            <sz val="10"/>
            <color rgb="FF000000"/>
            <rFont val="Arial"/>
            <family val="2"/>
          </rPr>
          <t>72 weeks: http://www.fao.org/3/y4628e/y4628e03.htm</t>
        </r>
      </text>
    </comment>
    <comment ref="K44" authorId="0" shapeId="0" xr:uid="{0A655618-E9F4-49D3-8912-6D72C0201F0C}">
      <text>
        <r>
          <rPr>
            <sz val="10"/>
            <color rgb="FF000000"/>
            <rFont val="Arial"/>
            <family val="2"/>
          </rPr>
          <t>4-5 months: https://www.fsis.usda.gov/wps/portal/fsis/topics/food-safety-education/get-answers/food-safety-fact-sheets/poultry-preparation/food-safety-of-turkeyfrom-farm-to-table/CT_Index</t>
        </r>
      </text>
    </comment>
    <comment ref="A45" authorId="0" shapeId="0" xr:uid="{7AF6B4D7-E950-48E4-A2FD-C2D39DFD977A}">
      <text>
        <r>
          <rPr>
            <sz val="10"/>
            <color rgb="FF000000"/>
            <rFont val="Arial"/>
            <family val="2"/>
          </rPr>
          <t>One additional day of life for male chicks.
Feed fish calculations in 'fish and shellfish consumption' and 'feed fish and bycatch' tabs.
Mortality calculations in 'Mortality' tab.</t>
        </r>
      </text>
    </comment>
    <comment ref="J45" authorId="0" shapeId="0" xr:uid="{0BE53F45-8EDF-4426-96A4-635F6F783162}">
      <text>
        <r>
          <rPr>
            <sz val="10"/>
            <color rgb="FF000000"/>
            <rFont val="Arial"/>
            <family val="2"/>
          </rPr>
          <t>Additional day for male chicks</t>
        </r>
      </text>
    </comment>
    <comment ref="J49" authorId="0" shapeId="0" xr:uid="{0D3E4344-7359-4CA3-9B76-9321846E6610}">
      <text>
        <r>
          <rPr>
            <sz val="10"/>
            <color rgb="FF000000"/>
            <rFont val="Arial"/>
            <family val="2"/>
          </rPr>
          <t>Additional life for male chicks</t>
        </r>
      </text>
    </comment>
    <comment ref="A51" authorId="1" shapeId="0" xr:uid="{F840DE66-4209-4677-BFBB-54DC5DE5C6BF}">
      <text>
        <r>
          <rPr>
            <sz val="9"/>
            <color indexed="81"/>
            <rFont val="Tahoma"/>
            <family val="2"/>
          </rPr>
          <t>Calculated as the total edible weight per direct life divided by the total lifetime in days (direct and indirect)</t>
        </r>
      </text>
    </comment>
    <comment ref="A56" authorId="0" shapeId="0" xr:uid="{1353CF97-961B-4C0D-AF96-E2C1868B90BC}">
      <text>
        <r>
          <rPr>
            <sz val="10"/>
            <color rgb="FF000000"/>
            <rFont val="Arial"/>
            <family val="2"/>
          </rPr>
          <t>Calculation is based on assumption that if you consume enough of the product to cause one direct death, you cause the total direct + indirect days of suffering</t>
        </r>
      </text>
    </comment>
    <comment ref="A60" authorId="0" shapeId="0" xr:uid="{BC59DEC3-FDFE-4720-A00B-5F29CFBBE87F}">
      <text>
        <r>
          <rPr>
            <sz val="10"/>
            <color rgb="FF000000"/>
            <rFont val="Arial"/>
            <family val="2"/>
          </rPr>
          <t>This is calculated as the weighted average weight of the most commonly consumed species in the US. We use the mid-point of the upper and lower bound estimates from Fishcount. See 'Fish and shellfish calculations' sheet.</t>
        </r>
      </text>
    </comment>
    <comment ref="B61" authorId="0" shapeId="0" xr:uid="{FAB44F42-39F4-45ED-A3C7-078313466D0A}">
      <text>
        <r>
          <rPr>
            <sz val="10"/>
            <color rgb="FF000000"/>
            <rFont val="Arial"/>
            <family val="2"/>
          </rPr>
          <t>Weighted average of most consumed products - see 'Fish and shellfish data (consumption)' sheet</t>
        </r>
      </text>
    </comment>
    <comment ref="E61" authorId="0" shapeId="0" xr:uid="{8BECAAC8-0F4E-41FE-840A-D6BEE0A28EAF}">
      <text>
        <r>
          <rPr>
            <sz val="10"/>
            <color rgb="FF000000"/>
            <rFont val="Arial"/>
            <family val="2"/>
          </rPr>
          <t>Weighted average of most consumed products - see 'Fish and shellfish data (consumption)' sheet</t>
        </r>
      </text>
    </comment>
    <comment ref="A67" authorId="1" shapeId="0" xr:uid="{11DEEE55-F072-4F8E-AB0D-9A19DDBA6DCE}">
      <text>
        <r>
          <rPr>
            <sz val="9"/>
            <color indexed="81"/>
            <rFont val="Tahoma"/>
            <family val="2"/>
          </rPr>
          <t>Calculated as the total edible weight per direct life divided by the total lifetime in days (direct and indirect)</t>
        </r>
      </text>
    </comment>
    <comment ref="A72" authorId="0" shapeId="0" xr:uid="{1FCCF323-FD7F-41BA-9479-98FEC6D733AE}">
      <text>
        <r>
          <rPr>
            <sz val="10"/>
            <color rgb="FF000000"/>
            <rFont val="Arial"/>
            <family val="2"/>
          </rPr>
          <t>Calculation is based on assumption that if you consume enough of the product to cause one direct death, you cause the total direct + indirect days of suffering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author>
    <author>CLARA SANCHEZ GARCIA</author>
  </authors>
  <commentList>
    <comment ref="C5" authorId="0" shapeId="0" xr:uid="{C42EBFD4-38A8-4102-895B-AE2D5032D280}">
      <text>
        <r>
          <rPr>
            <b/>
            <sz val="9"/>
            <color indexed="81"/>
            <rFont val="Tahoma"/>
            <family val="2"/>
          </rPr>
          <t>Jo:</t>
        </r>
        <r>
          <rPr>
            <sz val="9"/>
            <color indexed="81"/>
            <rFont val="Tahoma"/>
            <family val="2"/>
          </rPr>
          <t xml:space="preserve">
USDA standard says ice cream must be at least 4.5 pounds per gallon.
https://www.ams.usda.gov/grades-standards/ice-cream#</t>
        </r>
      </text>
    </comment>
    <comment ref="C11" authorId="1" shapeId="0" xr:uid="{C64D17B3-447E-429E-94F6-43F345296DC3}">
      <text>
        <r>
          <rPr>
            <b/>
            <sz val="9"/>
            <color indexed="81"/>
            <rFont val="Tahoma"/>
            <charset val="1"/>
          </rPr>
          <t>According to JEE Main Chapter Wise Numerical Response Questions with Solution for Chemistry (As Per NTA Latest Pattern). (2020). (n.p.): CP Publication. We have that 1 litre of milk weighs 1.035kg.</t>
        </r>
      </text>
    </comment>
    <comment ref="C20" authorId="1" shapeId="0" xr:uid="{6F300396-7E80-4E3C-A708-5B9CC78B9A93}">
      <text>
        <r>
          <rPr>
            <b/>
            <sz val="9"/>
            <color indexed="81"/>
            <rFont val="Tahoma"/>
            <charset val="1"/>
          </rPr>
          <t>According to JEE Main Chapter Wise Numerical Response Questions with Solution for Chemistry (As Per NTA Latest Pattern). (2020). (n.p.): CP Publication. We have that 1 litre of milk weighs 1.035kg.</t>
        </r>
      </text>
    </comment>
    <comment ref="C26" authorId="1" shapeId="0" xr:uid="{9F060F37-2F5C-4160-8797-9798E4A85443}">
      <text>
        <r>
          <rPr>
            <b/>
            <sz val="9"/>
            <color indexed="81"/>
            <rFont val="Tahoma"/>
            <charset val="1"/>
          </rPr>
          <t>According to JEE Main Chapter Wise Numerical Response Questions with Solution for Chemistry (As Per NTA Latest Pattern). (2020). (n.p.): CP Publication. We have that 1 litre of milk weighs 1.035kg.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300-000001000000}">
      <text>
        <r>
          <rPr>
            <sz val="10"/>
            <color rgb="FF000000"/>
            <rFont val="Arial"/>
            <family val="2"/>
          </rPr>
          <t xml:space="preserve">These are the most commonly consumed species of fish in the U.S. based on the sources cited above. </t>
        </r>
      </text>
    </comment>
    <comment ref="G7" authorId="0" shapeId="0" xr:uid="{00000000-0006-0000-0300-000002000000}">
      <text>
        <r>
          <rPr>
            <sz val="10"/>
            <color rgb="FF000000"/>
            <rFont val="Arial"/>
            <family val="2"/>
          </rPr>
          <t>Welfare Footprint data on farmed fish mortality. This applies only to farmed fish; wild caught fish is assumed 0% as mortality in the wild is not due to human consumption.</t>
        </r>
      </text>
    </comment>
    <comment ref="H7" authorId="0" shapeId="0" xr:uid="{00000000-0006-0000-0300-000003000000}">
      <text>
        <r>
          <rPr>
            <sz val="10"/>
            <color rgb="FF000000"/>
            <rFont val="Arial"/>
            <family val="2"/>
          </rPr>
          <t>Calculated as the average of the lifespan of farmed and wild caught, weighted by proportion of farmed and wild caught. Wild caught are assumed to have [consumption-relevant] lifespans of one day as a simplifying assumption to account for the fact that consumers are only responsible for the suffering caused once they are caught.</t>
        </r>
      </text>
    </comment>
    <comment ref="I7" authorId="0" shapeId="0" xr:uid="{00000000-0006-0000-0300-000004000000}">
      <text>
        <r>
          <rPr>
            <sz val="10"/>
            <color rgb="FF000000"/>
            <rFont val="Arial"/>
            <family val="2"/>
          </rPr>
          <t>Calculated as the proportion of the species that are farmed multiplied by the feed fish weighting factor * the number of feed fish. The overall average is weighted by the amount of each species consumed in the U.S.</t>
        </r>
      </text>
    </comment>
    <comment ref="J7" authorId="0" shapeId="0" xr:uid="{00000000-0006-0000-0300-000005000000}">
      <text>
        <r>
          <rPr>
            <sz val="10"/>
            <color rgb="FF000000"/>
            <rFont val="Arial"/>
            <family val="2"/>
          </rPr>
          <t>The number of additional lives lost due to mortality per animal, calculated based on the 'Mortality rate' column. Wild caught fish is assumed 0 as mortality in the wild is not due to human consumption.</t>
        </r>
      </text>
    </comment>
    <comment ref="K7" authorId="0" shapeId="0" xr:uid="{00000000-0006-0000-0300-000006000000}">
      <text>
        <r>
          <rPr>
            <sz val="10"/>
            <color rgb="FF000000"/>
            <rFont val="Arial"/>
            <family val="2"/>
          </rPr>
          <t>This estimate assumes the average death occurs at same point as average across all livestock, due to lack of data on fish and shellfish mortality. See 'Mortality' tab.</t>
        </r>
      </text>
    </comment>
    <comment ref="L7" authorId="0" shapeId="0" xr:uid="{00000000-0006-0000-0300-000007000000}">
      <text>
        <r>
          <rPr>
            <sz val="10"/>
            <color rgb="FF000000"/>
            <rFont val="Arial"/>
            <family val="2"/>
          </rPr>
          <t>This is calculated as the sum of the lifespan of the animal, the additional days due to mortality, and the additional days due to feed fish. Each feed fish is assumed to add one day to the overall lifespan, based on the assumption that feed fish are generally wild caught and so consumers are responsible for the harm caused during the last day of their lives (when they are caught).</t>
        </r>
      </text>
    </comment>
    <comment ref="C10" authorId="0" shapeId="0" xr:uid="{00000000-0006-0000-0300-000008000000}">
      <text>
        <r>
          <rPr>
            <sz val="10"/>
            <color rgb="FF000000"/>
            <rFont val="Arial"/>
            <family val="2"/>
          </rPr>
          <t>Lower estimate of Nile tilapia used, as this is the lowest weight of all the farmed tilapia species.</t>
        </r>
      </text>
    </comment>
    <comment ref="D10" authorId="0" shapeId="0" xr:uid="{00000000-0006-0000-0300-000009000000}">
      <text>
        <r>
          <rPr>
            <sz val="10"/>
            <color rgb="FF000000"/>
            <rFont val="Arial"/>
            <family val="2"/>
          </rPr>
          <t>Upper estimate of Nile tilapia used, as this is the highest weight of all the farmed tilapia species.</t>
        </r>
      </text>
    </comment>
    <comment ref="A18" authorId="0" shapeId="0" xr:uid="{00000000-0006-0000-0300-00000A000000}">
      <text>
        <r>
          <rPr>
            <sz val="10"/>
            <color rgb="FF000000"/>
            <rFont val="Arial"/>
            <family val="2"/>
          </rPr>
          <t xml:space="preserve">These are the most commonly consumed species of shellfish in the U.S. based on the sources cited above. </t>
        </r>
      </text>
    </comment>
    <comment ref="G18" authorId="0" shapeId="0" xr:uid="{00000000-0006-0000-0300-00000B000000}">
      <text>
        <r>
          <rPr>
            <sz val="10"/>
            <color rgb="FF000000"/>
            <rFont val="Arial"/>
            <family val="2"/>
          </rPr>
          <t>Open Phil data on farmed fish mortality. This applies only to farmed fish; wild caught fish is assumed 0% as mortality in the wild is not due to human consumption.</t>
        </r>
      </text>
    </comment>
    <comment ref="H18" authorId="0" shapeId="0" xr:uid="{00000000-0006-0000-0300-00000C000000}">
      <text>
        <r>
          <rPr>
            <sz val="10"/>
            <color rgb="FF000000"/>
            <rFont val="Arial"/>
            <family val="2"/>
          </rPr>
          <t>Calculated as the average of the lifespan of farmed and wild caught, weighted by proportion of farmed and wild caught. Wild caught are assumed to have lifespans of one day as a simplifying assumption to account for the fact that consumers are only responsible for the suffering caused once they are caught.</t>
        </r>
      </text>
    </comment>
    <comment ref="I18" authorId="0" shapeId="0" xr:uid="{00000000-0006-0000-0300-00000D000000}">
      <text>
        <r>
          <rPr>
            <sz val="10"/>
            <color rgb="FF000000"/>
            <rFont val="Arial"/>
            <family val="2"/>
          </rPr>
          <t>Calculated as the proportion of the species that are farmed multiplied by the feed fish weighting factor * the number of feed fish. The overall average is weighted by the amount of each species consumed in the U.S.</t>
        </r>
      </text>
    </comment>
    <comment ref="J18" authorId="0" shapeId="0" xr:uid="{00000000-0006-0000-0300-00000E000000}">
      <text>
        <r>
          <rPr>
            <sz val="10"/>
            <color rgb="FF000000"/>
            <rFont val="Arial"/>
            <family val="2"/>
          </rPr>
          <t>The number of additional lives lost due to mortality per animal, calculated based on the 'Mortality rate' column. Wild caught shellfish is assumed 0 as mortality in the wild is not due to human consumption.</t>
        </r>
      </text>
    </comment>
    <comment ref="K18" authorId="0" shapeId="0" xr:uid="{00000000-0006-0000-0300-00000F000000}">
      <text>
        <r>
          <rPr>
            <sz val="10"/>
            <color rgb="FF000000"/>
            <rFont val="Arial"/>
            <family val="2"/>
          </rPr>
          <t>This estimate assumes the average death occurs at same point as average across all livestock, due to lack of data on fish and shellfish mortality. See 'Mortality' tab.</t>
        </r>
      </text>
    </comment>
    <comment ref="L18" authorId="0" shapeId="0" xr:uid="{00000000-0006-0000-0300-000010000000}">
      <text>
        <r>
          <rPr>
            <sz val="10"/>
            <color rgb="FF000000"/>
            <rFont val="Arial"/>
            <family val="2"/>
          </rPr>
          <t>This is calculated as the sum of the lifespan of the animal, the additional days due to mortality, and the additional days due to feed fish. Each feed fish is assumed to add one day to the overall lifespan, based on the assumption that feed fish are generally wild caught and so consumers are responsible for the harm caused during the last day of their lives (when they are caught).</t>
        </r>
      </text>
    </comment>
    <comment ref="G19" authorId="0" shapeId="0" xr:uid="{00000000-0006-0000-0300-000011000000}">
      <text>
        <r>
          <rPr>
            <sz val="10"/>
            <color rgb="FF000000"/>
            <rFont val="Arial"/>
            <family val="2"/>
          </rPr>
          <t>26% mortality rate for farmed shrimp from largest producing countries, https://www.shrimpfarm.tech/</t>
        </r>
      </text>
    </comment>
    <comment ref="H19" authorId="0" shapeId="0" xr:uid="{00000000-0006-0000-0300-000012000000}">
      <text>
        <r>
          <rPr>
            <sz val="10"/>
            <color rgb="FF000000"/>
            <rFont val="Arial"/>
            <family val="2"/>
          </rPr>
          <t xml:space="preserve">For farmed: 12-18 hours in hatching tank, 26-31 days in larval rearing tank, 3-6 months in pond tank. See sources.
</t>
        </r>
      </text>
    </comment>
    <comment ref="F20" authorId="0" shapeId="0" xr:uid="{00000000-0006-0000-0300-000013000000}">
      <text>
        <r>
          <rPr>
            <sz val="10"/>
            <color rgb="FF000000"/>
            <rFont val="Arial"/>
            <family val="2"/>
          </rPr>
          <t>According to wikipedia globally 15% is farmed (https://en.wikipedia.org/wiki/Crab_fisheries), but data on the US seems to be unavailable.
According to https://www.fishwatch.gov/sustainable-seafood/the-global-picture, it's one of the US top wild caught imports and not one of its top aquaculture imports.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9" authorId="0" shapeId="0" xr:uid="{00000000-0006-0000-0400-000001000000}">
      <text>
        <r>
          <rPr>
            <sz val="10"/>
            <color rgb="FF000000"/>
            <rFont val="Arial"/>
            <family val="2"/>
          </rPr>
          <t>http://fishcount.org.uk/farmed-fish-welfare/numbers-of-fish-used-for-feed-in-aquaculture
" A study by Tacon and Metian1 estimated that respectively 88.5% and 68.2% of global fish oil and fishmeal production were fed to farmed fish and crustaceans in 2006, of which respectively 76% and 47% of global fish oil and fishmeal production were fed to farmed fish. If the proportions by numbers are similar to the proportions by meal/oil tonnage, this suggests that respectively 400-910 and 310-700 billion feed fish are used to make fish oil and fishmeal for aquaculture each year. Of these, respectively 340-780 and 210-480 billion feed fish are used to make the fish oil and fishmeal fed to farmed fish. This huge number of animals die without any method of humane slaughter."
The sentence is a bit ambiguous, but I calculate that 76% and 47% figures are of the global total feed fish and not proportions of the feed fish which is used for aquaculture. The calculation is based on this assumption.</t>
        </r>
      </text>
    </comment>
    <comment ref="C30" authorId="0" shapeId="0" xr:uid="{00000000-0006-0000-0400-000002000000}">
      <text>
        <r>
          <rPr>
            <sz val="10"/>
            <color rgb="FF000000"/>
            <rFont val="Arial"/>
            <family val="2"/>
          </rPr>
          <t xml:space="preserve">This estimate is based on the global proportion of fish meal used for pig feed. It is unclear whether the same proportion is used in the US. Several sources suggest that fishmeal is used for nursery pigs in the US, but there doesn't seem to be good data on this so it is difficult to make a judgement about this estimate.
Alternative rough calculate:
Nursery pigs fed 20lb of feed; 5% of that is fish meal; at 30g per feed fish that's 15 feed fish per pig.
http://porkgateway.org/resource/nursery-swine-nutrient-recommendations-and-feeding-management/
http://porkcdn.s3.amazonaws.com/sites/all/files/documents/Resources/04836.pdf
http://fishcount.org.uk/studydatascreens/numbers-of-fish-caught-for-fishmeal2009.php?
</t>
        </r>
      </text>
    </comment>
    <comment ref="A53" authorId="0" shapeId="0" xr:uid="{00000000-0006-0000-0400-000003000000}">
      <text>
        <r>
          <rPr>
            <sz val="10"/>
            <color rgb="FF000000"/>
            <rFont val="Arial"/>
            <family val="2"/>
          </rPr>
          <t>This refers to the kilograms of output fish produced per kilogram of input fish. It is the inverse of the usual FIFO ratio.
https://effop.org/wp-content/uploads/2019/10/5-IFFO-EUFM-FIFO-251019.pdf</t>
        </r>
      </text>
    </comment>
    <comment ref="B53" authorId="0" shapeId="0" xr:uid="{00000000-0006-0000-0400-000004000000}">
      <text>
        <r>
          <rPr>
            <sz val="10"/>
            <color rgb="FF000000"/>
            <rFont val="Arial"/>
            <family val="2"/>
          </rPr>
          <t>https://www.iffo.net/fish-fish-out-fifo-ratios-conversion-wild-feed</t>
        </r>
      </text>
    </comment>
    <comment ref="C53" authorId="0" shapeId="0" xr:uid="{00000000-0006-0000-0400-000005000000}">
      <text>
        <r>
          <rPr>
            <sz val="10"/>
            <color rgb="FF000000"/>
            <rFont val="Arial"/>
            <family val="2"/>
          </rPr>
          <t>https://www.iffo.net/fish-fish-out-fifo-ratios-conversion-wild-feed</t>
        </r>
      </text>
    </comment>
    <comment ref="B54" authorId="0" shapeId="0" xr:uid="{00000000-0006-0000-0400-000006000000}">
      <text>
        <r>
          <rPr>
            <sz val="10"/>
            <color rgb="FF000000"/>
            <rFont val="Arial"/>
            <family val="2"/>
          </rPr>
          <t>Weighted average of farmed fish based on U.S. consumption data</t>
        </r>
      </text>
    </comment>
    <comment ref="B55" authorId="0" shapeId="0" xr:uid="{00000000-0006-0000-0400-000007000000}">
      <text>
        <r>
          <rPr>
            <sz val="10"/>
            <color rgb="FF000000"/>
            <rFont val="Arial"/>
            <family val="2"/>
          </rPr>
          <t>http://fishcount.org.uk/studydatascreens/2016/numbers-of-fish-caught-for-fishmeal2016.php
Total tonnage of fish divided by number of feed fish</t>
        </r>
      </text>
    </comment>
    <comment ref="B57" authorId="0" shapeId="0" xr:uid="{00000000-0006-0000-0400-000008000000}">
      <text>
        <r>
          <rPr>
            <sz val="10"/>
            <color rgb="FF000000"/>
            <rFont val="Arial"/>
            <family val="2"/>
          </rPr>
          <t>http://fishcount.org.uk/studydatascreens2/2017/numbers-of-farmed-fish-A0-2017.php?sort2/full</t>
        </r>
      </text>
    </comment>
    <comment ref="C57" authorId="0" shapeId="0" xr:uid="{00000000-0006-0000-0400-000009000000}">
      <text>
        <r>
          <rPr>
            <sz val="10"/>
            <color rgb="FF000000"/>
            <rFont val="Arial"/>
            <family val="2"/>
          </rPr>
          <t>http://fishcount.org.uk/studydatascreens2/2017/numbers-of-farmed-decapods-A0-2017.php?sort2/full</t>
        </r>
      </text>
    </comment>
    <comment ref="A62" authorId="0" shapeId="0" xr:uid="{00000000-0006-0000-0400-00000A000000}">
      <text>
        <r>
          <rPr>
            <sz val="10"/>
            <color rgb="FF000000"/>
            <rFont val="Arial"/>
            <family val="2"/>
          </rPr>
          <t>The amount of feed per kg of live weight gained</t>
        </r>
      </text>
    </comment>
    <comment ref="B62" authorId="0" shapeId="0" xr:uid="{00000000-0006-0000-0400-00000B000000}">
      <text>
        <r>
          <rPr>
            <sz val="10"/>
            <color rgb="FF000000"/>
            <rFont val="Arial"/>
            <family val="2"/>
          </rPr>
          <t>Several sources, e.g: https://thepigsite.com/news/2019/01/save-money-by-focusing-on-feed-conversion</t>
        </r>
      </text>
    </comment>
    <comment ref="C62" authorId="0" shapeId="0" xr:uid="{00000000-0006-0000-0400-00000C000000}">
      <text>
        <r>
          <rPr>
            <sz val="10"/>
            <color rgb="FF000000"/>
            <rFont val="Arial"/>
            <family val="2"/>
          </rPr>
          <t>Several sources, e.g: https://www.feedstrategy.com/poultry/poultry-performance-improves-over-past-decades/</t>
        </r>
      </text>
    </comment>
    <comment ref="D62" authorId="0" shapeId="0" xr:uid="{00000000-0006-0000-0400-00000D000000}">
      <text>
        <r>
          <rPr>
            <sz val="10"/>
            <color rgb="FF000000"/>
            <rFont val="Arial"/>
            <family val="2"/>
          </rPr>
          <t>Several sources, e.g: https://www.feedstrategy.com/poultry/poultry-performance-improves-over-past-decades/</t>
        </r>
      </text>
    </comment>
    <comment ref="A63" authorId="0" shapeId="0" xr:uid="{00000000-0006-0000-0400-00000E000000}">
      <text>
        <r>
          <rPr>
            <sz val="10"/>
            <color rgb="FF000000"/>
            <rFont val="Arial"/>
            <family val="2"/>
          </rPr>
          <t>The amount of fish needed to produce one kg of fishmeal</t>
        </r>
      </text>
    </comment>
    <comment ref="B63" authorId="0" shapeId="0" xr:uid="{00000000-0006-0000-0400-00000F000000}">
      <text>
        <r>
          <rPr>
            <sz val="10"/>
            <color rgb="FF000000"/>
            <rFont val="Arial"/>
            <family val="2"/>
          </rPr>
          <t>"From these 2.5 kg [of forage fish], we also get approx. 560 g of fishmeal": https://thefishsite.com/articles/the-fish-feed-story
We divide this figure by 2 to get an estimate which is consistent with the top down estimates, because in the top down estimates we take into account that feed fish are also used for fish oil.</t>
        </r>
      </text>
    </comment>
    <comment ref="B64" authorId="0" shapeId="0" xr:uid="{00000000-0006-0000-0400-000010000000}">
      <text>
        <r>
          <rPr>
            <sz val="10"/>
            <color rgb="FF000000"/>
            <rFont val="Arial"/>
            <family val="2"/>
          </rPr>
          <t>https://www.nass.usda.gov/Publications/Todays_Reports/reports/lstk0420.pdf</t>
        </r>
      </text>
    </comment>
    <comment ref="C64" authorId="0" shapeId="0" xr:uid="{00000000-0006-0000-0400-000011000000}">
      <text>
        <r>
          <rPr>
            <sz val="10"/>
            <color rgb="FF000000"/>
            <rFont val="Arial"/>
            <family val="2"/>
          </rPr>
          <t>https://www.nass.usda.gov/Publications/Todays_Reports/reports/psla0120.pdf</t>
        </r>
      </text>
    </comment>
    <comment ref="D64" authorId="0" shapeId="0" xr:uid="{00000000-0006-0000-0400-000012000000}">
      <text>
        <r>
          <rPr>
            <sz val="10"/>
            <color rgb="FF000000"/>
            <rFont val="Arial"/>
            <family val="2"/>
          </rPr>
          <t xml:space="preserve">FAO data, eggs
</t>
        </r>
      </text>
    </comment>
    <comment ref="B66" authorId="0" shapeId="0" xr:uid="{00000000-0006-0000-0400-000013000000}">
      <text>
        <r>
          <rPr>
            <sz val="10"/>
            <color rgb="FF000000"/>
            <rFont val="Arial"/>
            <family val="2"/>
          </rPr>
          <t>Fishmeal recommended in phase 1 to 3 of nursery pig feed (20lb total consumption): http://porkgateway.org/resource/nursery-swine-nutrient-recommendations-and-feeding-management/
Maximum of 5% of starter diet:
http://porkcdn.s3.amazonaws.com/sites/all/files/documents/Resources/04836.pdf
(20lb diet * 5% * conversion to kg) / total diet</t>
        </r>
      </text>
    </comment>
    <comment ref="C66" authorId="0" shapeId="0" xr:uid="{00000000-0006-0000-0400-000014000000}">
      <text>
        <r>
          <rPr>
            <sz val="10"/>
            <color rgb="FF000000"/>
            <rFont val="Arial"/>
            <family val="2"/>
          </rPr>
          <t>Historically 5-10%, now much less: https://www.feedstrategy.com/poultry-nutrition/fish-meal-in-poultry-diets-to-use-or-not-to-use/
Recommended 2-5%: https://www.poultryworld.net/Nutrition/Articles/2016/11/Understanding-protein-requirements-2914798W/
This article suggests that 5% is used in the diet of day old chicks:
http://www.countinganimals.com/the-fish-we-kill-to-feed-the-fish-we-eat/
5% of 1 day is closer to 0.1%, which gives a figure close to the top down estimates.
I spoke to an expert in the field who said it is very rare nowadays to use fishmeal in poultry feed</t>
        </r>
      </text>
    </comment>
    <comment ref="D66" authorId="0" shapeId="0" xr:uid="{00000000-0006-0000-0400-000015000000}">
      <text>
        <r>
          <rPr>
            <sz val="10"/>
            <color rgb="FF000000"/>
            <rFont val="Arial"/>
            <family val="2"/>
          </rPr>
          <t>Historically 5-10%, now much less: https://www.feedstrategy.com/poultry-nutrition/fish-meal-in-poultry-diets-to-use-or-not-to-use/
Recommended 2-5%: https://www.poultryworld.net/Nutrition/Articles/2016/11/Understanding-protein-requirements-2914798W/
This article suggests that 5% is used in the diet of day old chicks:
http://www.countinganimals.com/the-fish-we-kill-to-feed-the-fish-we-eat/
5% of 1 day is closer to 0.1%, which gives a figure close to the top down estimates.
I spoke to an expert in the field who said it is very rare nowadays to use fishmeal in poultry feed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500-000001000000}">
      <text>
        <r>
          <rPr>
            <sz val="10"/>
            <color rgb="FF000000"/>
            <rFont val="Arial"/>
            <family val="2"/>
          </rPr>
          <t>Conventionally raised.
Crate free = -0.8, shelter pasture = -0.9</t>
        </r>
      </text>
    </comment>
    <comment ref="A8" authorId="0" shapeId="0" xr:uid="{00000000-0006-0000-0500-000002000000}">
      <text>
        <r>
          <rPr>
            <sz val="10"/>
            <color rgb="FF000000"/>
            <rFont val="Arial"/>
            <family val="2"/>
          </rPr>
          <t>Caged. Cage free = -0.4</t>
        </r>
      </text>
    </comment>
    <comment ref="C10" authorId="0" shapeId="0" xr:uid="{00000000-0006-0000-0500-000003000000}">
      <text>
        <r>
          <rPr>
            <sz val="10"/>
            <color rgb="FF000000"/>
            <rFont val="Arial"/>
            <family val="2"/>
          </rPr>
          <t>Assumed same as chicken</t>
        </r>
      </text>
    </comment>
    <comment ref="A11" authorId="0" shapeId="0" xr:uid="{00000000-0006-0000-0500-000004000000}">
      <text>
        <r>
          <rPr>
            <sz val="10"/>
            <color rgb="FF000000"/>
            <rFont val="Arial"/>
            <family val="2"/>
          </rPr>
          <t>Assumed same as fish. Not much data otherwise, this review suggests a similar figure: https://www.foodandlandusecoalition.org/wp-content/uploads/2019/08/Seafood-Demand-Literature-Review-_final.pdf</t>
        </r>
      </text>
    </comment>
    <comment ref="A13" authorId="0" shapeId="0" xr:uid="{00000000-0006-0000-0500-00000B000000}">
      <text>
        <r>
          <rPr>
            <sz val="10"/>
            <color rgb="FF000000"/>
            <rFont val="Arial"/>
            <family val="2"/>
          </rPr>
          <t>..."due to lack of data" , right?
	-Jo Anderson
Actually, I see it in a note above. The notes format has been more standard in the rest of your sheets than this sort of thing, so I think you'd be okay to remove these in-cell notes. :)
	-Jo Anderson</t>
        </r>
      </text>
    </comment>
    <comment ref="C18" authorId="0" shapeId="0" xr:uid="{00000000-0006-0000-0500-000005000000}">
      <text>
        <r>
          <rPr>
            <sz val="10"/>
            <color rgb="FF000000"/>
            <rFont val="Arial"/>
            <family val="2"/>
          </rPr>
          <t xml:space="preserve">Fresh/frozen fish, not significant
Canned/cured fish 0.0350, not significant
</t>
        </r>
      </text>
    </comment>
    <comment ref="B19" authorId="0" shapeId="0" xr:uid="{00000000-0006-0000-0500-000006000000}">
      <text>
        <r>
          <rPr>
            <sz val="10"/>
            <color rgb="FF000000"/>
            <rFont val="Arial"/>
            <family val="2"/>
          </rPr>
          <t xml:space="preserve">For poultry
</t>
        </r>
      </text>
    </comment>
    <comment ref="B21" authorId="0" shapeId="0" xr:uid="{00000000-0006-0000-0500-000007000000}">
      <text>
        <r>
          <rPr>
            <sz val="10"/>
            <color rgb="FF000000"/>
            <rFont val="Arial"/>
            <family val="2"/>
          </rPr>
          <t xml:space="preserve">For poultry
</t>
        </r>
      </text>
    </comment>
    <comment ref="C23" authorId="0" shapeId="0" xr:uid="{00000000-0006-0000-0500-000008000000}">
      <text>
        <r>
          <rPr>
            <sz val="10"/>
            <color rgb="FF000000"/>
            <rFont val="Arial"/>
            <family val="2"/>
          </rPr>
          <t>For fluid milk, -0.82 for dried milk, -0.33 for cheese</t>
        </r>
      </text>
    </comment>
    <comment ref="B24" authorId="0" shapeId="0" xr:uid="{00000000-0006-0000-0500-000009000000}">
      <text>
        <r>
          <rPr>
            <sz val="10"/>
            <color rgb="FF000000"/>
            <rFont val="Arial"/>
            <family val="2"/>
          </rPr>
          <t>Not significant</t>
        </r>
      </text>
    </comment>
    <comment ref="D24" authorId="0" shapeId="0" xr:uid="{00000000-0006-0000-0500-00000A000000}">
      <text>
        <r>
          <rPr>
            <sz val="10"/>
            <color rgb="FF000000"/>
            <rFont val="Arial"/>
            <family val="2"/>
          </rPr>
          <t>There's a range of estimates in the paper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16" authorId="0" shapeId="0" xr:uid="{00000000-0006-0000-0600-000001000000}">
      <text>
        <r>
          <rPr>
            <sz val="10"/>
            <color rgb="FF000000"/>
            <rFont val="Arial"/>
            <family val="2"/>
          </rPr>
          <t xml:space="preserve">Midpoint of Poultry Industry Manual - page 33, 2-4% for 6 week flock, average in 2011 was 3.6% https://www.aphis.usda.gov/animal_health/emergency_management/downloads/documents_manuals/poultry_ind_manual.pdf
Other sources suggest could be 4-5%: https://www.nrcs.usda.gov/Internet/FSE_DOCUMENTS/nrcseprd380437.pdf
</t>
        </r>
      </text>
    </comment>
    <comment ref="B17" authorId="0" shapeId="0" xr:uid="{00000000-0006-0000-0600-000002000000}">
      <text>
        <r>
          <rPr>
            <sz val="10"/>
            <color rgb="FF000000"/>
            <rFont val="Arial"/>
            <family val="2"/>
          </rPr>
          <t xml:space="preserve">Average age of death roughly midway through life; spike early and then late but otherwise flat: https://thepoultrysite.com/articles/mortality-patterns-associated-with-commercial-broiler-production
Age of death is calculated as midpoint of 7 week average lifespan: https://ask.usda.gov/s/article/How-old-are-chickens-used-for-meat
</t>
        </r>
      </text>
    </comment>
    <comment ref="B23" authorId="0" shapeId="0" xr:uid="{00000000-0006-0000-0600-000003000000}">
      <text>
        <r>
          <rPr>
            <sz val="10"/>
            <color rgb="FF000000"/>
            <rFont val="Arial"/>
            <family val="2"/>
          </rPr>
          <t>Pre-slaughter mortality rate refers to the mortality rate up to the point of slaughter (i.e. both on pre-production phases (small chicks/brooder and grower) and during production (layer phase). Compare with 'Mortality rate (pre-production), and see note and that cell for how we use mortality rate in our analysis.</t>
        </r>
      </text>
    </comment>
    <comment ref="D23" authorId="0" shapeId="0" xr:uid="{00000000-0006-0000-0600-000004000000}">
      <text>
        <r>
          <rPr>
            <sz val="10"/>
            <color rgb="FF000000"/>
            <rFont val="Arial"/>
            <family val="2"/>
          </rPr>
          <t>Pre-production mortality rate refers to the mortality rate before the period that the hens are producing eggs (i.e. the layer phase). Our estimate of the mortality impact of egg consumption excludes mortality during the production period, as those deaths are accounted for by the consumption of the eggs produced by those hens.</t>
        </r>
      </text>
    </comment>
    <comment ref="D26" authorId="0" shapeId="0" xr:uid="{00000000-0006-0000-0600-000005000000}">
      <text>
        <r>
          <rPr>
            <sz val="10"/>
            <color rgb="FF000000"/>
            <rFont val="Arial"/>
            <family val="2"/>
          </rPr>
          <t>Mortality during laying phase excluded</t>
        </r>
      </text>
    </comment>
    <comment ref="B27" authorId="0" shapeId="0" xr:uid="{00000000-0006-0000-0600-000006000000}">
      <text>
        <r>
          <rPr>
            <sz val="10"/>
            <color rgb="FF000000"/>
            <rFont val="Arial"/>
            <family val="2"/>
          </rPr>
          <t>Overall pre-slaughter mortality rate. FAO source suggests overall rate of 20-25%, but it's quite old. More recent sources suggest 10-14%, these are also the sources we've used for other estimates so these are used here.
The breakdown is taken from the FAO source.</t>
        </r>
      </text>
    </comment>
    <comment ref="E27" authorId="0" shapeId="0" xr:uid="{00000000-0006-0000-0600-000007000000}">
      <text>
        <r>
          <rPr>
            <sz val="10"/>
            <color rgb="FF000000"/>
            <rFont val="Arial"/>
            <family val="2"/>
          </rPr>
          <t>Age of death based on pre-slaughter mortality (including mortality at layer phase)</t>
        </r>
      </text>
    </comment>
    <comment ref="D28" authorId="0" shapeId="0" xr:uid="{00000000-0006-0000-0600-000008000000}">
      <text>
        <r>
          <rPr>
            <sz val="10"/>
            <color rgb="FF000000"/>
            <rFont val="Arial"/>
            <family val="2"/>
          </rPr>
          <t>Overall pre production mortality rate (excluding mortality at layer phase).</t>
        </r>
      </text>
    </comment>
    <comment ref="E28" authorId="0" shapeId="0" xr:uid="{00000000-0006-0000-0600-000009000000}">
      <text>
        <r>
          <rPr>
            <sz val="10"/>
            <color rgb="FF000000"/>
            <rFont val="Arial"/>
            <family val="2"/>
          </rPr>
          <t>Age of death based on pre-production mortality (excluding mortality at layer phase)</t>
        </r>
      </text>
    </comment>
    <comment ref="A31" authorId="0" shapeId="0" xr:uid="{00000000-0006-0000-0600-00000A000000}">
      <text>
        <r>
          <rPr>
            <sz val="10"/>
            <color rgb="FF000000"/>
            <rFont val="Arial"/>
            <family val="2"/>
          </rPr>
          <t>Page 42</t>
        </r>
      </text>
    </comment>
    <comment ref="A38" authorId="0" shapeId="0" xr:uid="{00000000-0006-0000-0600-00000B000000}">
      <text>
        <r>
          <rPr>
            <sz val="10"/>
            <color rgb="FF000000"/>
            <rFont val="Arial"/>
            <family val="2"/>
          </rPr>
          <t>Numbers from page 67:
"Mortality includes birds that die and those that are culled (see above). It results from a variety of causes including
failure to adapt after hatching, infections and infectious diseases, genetic disorders, developmental defects, accidents,
and other non-infectious disorders. In well-managed flocks, the majority of deaths result from non-infectious causes.
Losses are greatest during the first week of life, but should not exceed 2%, unless poults are from either young or
very old breeders, in which case it may be as high as 4-5%. Poults from young breeders are smaller, not as developed,
and have greater difficulty starting. After the first week, mortality should be less than 0.5% weekly. Investigation of
daily mortality exceeding 0.1% or weekly mortality exceeding 1% should be done. In tom flocks, mortality gradually
increases after 16 weeks and may reach 1% per week by the time they are processed because of increased aggression
as they approach sexual maturity and musculoskeletal disorders. Total mortality depends on the type of turkey and
duration of the production cycle. Hens usually finish with total mortality of 5-6% while total tom mortality is 10-12%."</t>
        </r>
      </text>
    </comment>
    <comment ref="B41" authorId="0" shapeId="0" xr:uid="{00000000-0006-0000-0600-00000C000000}">
      <text>
        <r>
          <rPr>
            <sz val="10"/>
            <color rgb="FF000000"/>
            <rFont val="Arial"/>
            <family val="2"/>
          </rPr>
          <t>From main source: 
"Losses are greatest during the first week of life, but should not exceed 2%"</t>
        </r>
      </text>
    </comment>
    <comment ref="A42" authorId="0" shapeId="0" xr:uid="{00000000-0006-0000-0600-00000D000000}">
      <text>
        <r>
          <rPr>
            <sz val="10"/>
            <color rgb="FF000000"/>
            <rFont val="Arial"/>
            <family val="2"/>
          </rPr>
          <t>Based on lifespan of 4-5 months: https://www.fsis.usda.gov/wps/portal/fsis/topics/food-safety-education/get-answers/food-safety-fact-sheets/poultry-preparation/food-safety-of-turkeyfrom-farm-to-table/CT_Index</t>
        </r>
      </text>
    </comment>
    <comment ref="B42" authorId="0" shapeId="0" xr:uid="{00000000-0006-0000-0600-00000E000000}">
      <text>
        <r>
          <rPr>
            <sz val="10"/>
            <color rgb="FF000000"/>
            <rFont val="Arial"/>
            <family val="2"/>
          </rPr>
          <t>Calculation based on overall death rate of 8% and first week death rate of 2%</t>
        </r>
      </text>
    </comment>
    <comment ref="A44" authorId="0" shapeId="0" xr:uid="{00000000-0006-0000-0600-00000F000000}">
      <text>
        <r>
          <rPr>
            <sz val="10"/>
            <color rgb="FF000000"/>
            <rFont val="Arial"/>
            <family val="2"/>
          </rPr>
          <t>Numbers from page 67:
"Mortality includes birds that die and those that are culled (see above). It results from a variety of causes including
failure to adapt after hatching, infections and infectious diseases, genetic disorders, developmental defects, accidents,
and other non-infectious disorders. In well-managed flocks, the majority of deaths result from non-infectious causes.
Losses are greatest during the first week of life, but should not exceed 2%, unless poults are from either young or
very old breeders, in which case it may be as high as 4-5%. Poults from young breeders are smaller, not as developed,
and have greater difficulty starting. After the first week, mortality should be less than 0.5% weekly. Investigation of
daily mortality exceeding 0.1% or weekly mortality exceeding 1% should be done. In tom flocks, mortality gradually
increases after 16 weeks and may reach 1% per week by the time they are processed because of increased aggression
as they approach sexual maturity and musculoskeletal disorders. Total mortality depends on the type of turkey and
duration of the production cycle. Hens usually finish with total mortality of 5-6% while total tom mortality is 10-12%."</t>
        </r>
      </text>
    </comment>
    <comment ref="C47" authorId="0" shapeId="0" xr:uid="{00000000-0006-0000-0600-000010000000}">
      <text>
        <r>
          <rPr>
            <sz val="10"/>
            <color rgb="FF000000"/>
            <rFont val="Arial"/>
            <family val="2"/>
          </rPr>
          <t>The number of animals dying per 1000 animals. Used to calculate overall mortality rate.</t>
        </r>
      </text>
    </comment>
    <comment ref="D47" authorId="0" shapeId="0" xr:uid="{00000000-0006-0000-0600-000011000000}">
      <text>
        <r>
          <rPr>
            <sz val="10"/>
            <color rgb="FF000000"/>
            <rFont val="Arial"/>
            <family val="2"/>
          </rPr>
          <t>Assumes slaughter age is 24 weeks (mid point of 22-26 weeks, used for lifespan: https://www.ers.usda.gov/topics/animal-products/hogs-pork/sector-at-a-glance/#Loc1)
Days in each stage estimated from above and https://www.pork.org/facts/pig-farming/life-cycle-of-a-market-pig/</t>
        </r>
      </text>
    </comment>
    <comment ref="B48" authorId="0" shapeId="0" xr:uid="{00000000-0006-0000-0600-000012000000}">
      <text>
        <r>
          <rPr>
            <sz val="10"/>
            <color rgb="FF000000"/>
            <rFont val="Arial"/>
            <family val="2"/>
          </rPr>
          <t>p45-46
https://www.aphis.usda.gov/animal_health/nahms/swine/downloads/swine2012/Swine2012_dr_PartI.pdf</t>
        </r>
      </text>
    </comment>
    <comment ref="B49" authorId="0" shapeId="0" xr:uid="{00000000-0006-0000-0600-000013000000}">
      <text>
        <r>
          <rPr>
            <sz val="10"/>
            <color rgb="FF000000"/>
            <rFont val="Arial"/>
            <family val="2"/>
          </rPr>
          <t>p71
https://www.aphis.usda.gov/animal_health/nahms/swine/downloads/swine2012/Swine2012_dr_PartI.pdf</t>
        </r>
      </text>
    </comment>
    <comment ref="B50" authorId="0" shapeId="0" xr:uid="{00000000-0006-0000-0600-000014000000}">
      <text>
        <r>
          <rPr>
            <sz val="10"/>
            <color rgb="FF000000"/>
            <rFont val="Arial"/>
            <family val="2"/>
          </rPr>
          <t>p86
https://www.aphis.usda.gov/animal_health/nahms/swine/downloads/swine2012/Swine2012_dr_PartI.pdf</t>
        </r>
      </text>
    </comment>
    <comment ref="C57" authorId="0" shapeId="0" xr:uid="{00000000-0006-0000-0600-000015000000}">
      <text>
        <r>
          <rPr>
            <sz val="10"/>
            <color rgb="FF000000"/>
            <rFont val="Arial"/>
            <family val="2"/>
          </rPr>
          <t>The number of animals dying per 1000 animals. Used to calculate overall mortality rate.</t>
        </r>
      </text>
    </comment>
    <comment ref="A58" authorId="0" shapeId="0" xr:uid="{00000000-0006-0000-0600-000016000000}">
      <text>
        <r>
          <rPr>
            <sz val="10"/>
            <color rgb="FF000000"/>
            <rFont val="Arial"/>
            <family val="2"/>
          </rPr>
          <t>Calves up to about 1 year or 500lb
https://beef2live.com/story-usda-cattle-terms-definitions-85-143143</t>
        </r>
      </text>
    </comment>
    <comment ref="B58" authorId="0" shapeId="0" xr:uid="{00000000-0006-0000-0600-000017000000}">
      <text>
        <r>
          <rPr>
            <sz val="10"/>
            <color rgb="FF000000"/>
            <rFont val="Arial"/>
            <family val="2"/>
          </rPr>
          <t>death loss as a percentage of calf crop, year 2015</t>
        </r>
      </text>
    </comment>
    <comment ref="A59" authorId="0" shapeId="0" xr:uid="{00000000-0006-0000-0600-000018000000}">
      <text>
        <r>
          <rPr>
            <sz val="10"/>
            <color rgb="FF000000"/>
            <rFont val="Arial"/>
            <family val="2"/>
          </rPr>
          <t>30-42 months: https://www.ams.usda.gov/grades-standards/slaughter-cattle</t>
        </r>
      </text>
    </comment>
    <comment ref="B59" authorId="0" shapeId="0" xr:uid="{00000000-0006-0000-0600-000019000000}">
      <text>
        <r>
          <rPr>
            <sz val="10"/>
            <color rgb="FF000000"/>
            <rFont val="Arial"/>
            <family val="2"/>
          </rPr>
          <t>percentage of inventory of cattle 500 lb or more, year 2015</t>
        </r>
      </text>
    </comment>
    <comment ref="B64" authorId="0" shapeId="0" xr:uid="{00000000-0006-0000-0600-00001A000000}">
      <text>
        <r>
          <rPr>
            <sz val="10"/>
            <color rgb="FF000000"/>
            <rFont val="Arial"/>
            <family val="2"/>
          </rPr>
          <t>Pre-slaughter mortality rate refers to the mortality rate up to the point of slaughter (i.e. both on pre-production phases (preweaned heifer and weaned heifer) and during production (dairy cow). Compare with 'Mortality rate (pre-production), and see note and that cell for how we use mortality rate in our analysis.</t>
        </r>
      </text>
    </comment>
    <comment ref="C64" authorId="0" shapeId="0" xr:uid="{00000000-0006-0000-0600-00001B000000}">
      <text>
        <r>
          <rPr>
            <sz val="10"/>
            <color rgb="FF000000"/>
            <rFont val="Arial"/>
            <family val="2"/>
          </rPr>
          <t>The number of animals dying per 1000 animals. Used to calculate overall mortality rate.</t>
        </r>
      </text>
    </comment>
    <comment ref="D64" authorId="0" shapeId="0" xr:uid="{00000000-0006-0000-0600-00001C000000}">
      <text>
        <r>
          <rPr>
            <sz val="10"/>
            <color rgb="FF000000"/>
            <rFont val="Arial"/>
            <family val="2"/>
          </rPr>
          <t>Pre-production mortality rate refers to the mortality rate before the period that the cows are producing milk (i.e. the diary phase). Our estimate of the mortality impact of dairy consumption excludes mortality during the production period, as those deaths are accounted for by the consumption of the dairy produced by those cows.</t>
        </r>
      </text>
    </comment>
    <comment ref="A65" authorId="0" shapeId="0" xr:uid="{00000000-0006-0000-0600-00001D000000}">
      <text>
        <r>
          <rPr>
            <sz val="10"/>
            <color rgb="FF000000"/>
            <rFont val="Arial"/>
            <family val="2"/>
          </rPr>
          <t>https://projects.ncsu.edu/cals/an_sci/extension/dairy/202D.pdf</t>
        </r>
      </text>
    </comment>
    <comment ref="A66" authorId="0" shapeId="0" xr:uid="{00000000-0006-0000-0600-00001E000000}">
      <text>
        <r>
          <rPr>
            <sz val="10"/>
            <color rgb="FF000000"/>
            <rFont val="Arial"/>
            <family val="2"/>
          </rPr>
          <t>Producing milk from age 2.5 to 5.5:
https://www.ciwf.org.uk/media/5235185/the-life-of-dairy-cows.pdf</t>
        </r>
      </text>
    </comment>
    <comment ref="A67" authorId="0" shapeId="0" xr:uid="{00000000-0006-0000-0600-00001F000000}">
      <text>
        <r>
          <rPr>
            <sz val="10"/>
            <color rgb="FF000000"/>
            <rFont val="Arial"/>
            <family val="2"/>
          </rPr>
          <t>Producing milk from age 2.5 to 5.5:
https://www.ciwf.org.uk/media/5235185/the-life-of-dairy-cows.pdf</t>
        </r>
      </text>
    </comment>
    <comment ref="D67" authorId="0" shapeId="0" xr:uid="{00000000-0006-0000-0600-000020000000}">
      <text>
        <r>
          <rPr>
            <sz val="10"/>
            <color rgb="FF000000"/>
            <rFont val="Arial"/>
            <family val="2"/>
          </rPr>
          <t>Mortality during dairy phase excluded</t>
        </r>
      </text>
    </comment>
    <comment ref="E68" authorId="0" shapeId="0" xr:uid="{00000000-0006-0000-0600-000021000000}">
      <text>
        <r>
          <rPr>
            <sz val="10"/>
            <color rgb="FF000000"/>
            <rFont val="Arial"/>
            <family val="2"/>
          </rPr>
          <t>Including mortality at dairy phase</t>
        </r>
      </text>
    </comment>
    <comment ref="D69" authorId="0" shapeId="0" xr:uid="{00000000-0006-0000-0600-000022000000}">
      <text>
        <r>
          <rPr>
            <sz val="10"/>
            <color rgb="FF000000"/>
            <rFont val="Arial"/>
            <family val="2"/>
          </rPr>
          <t>Overall mortality at pre-production (excluding mortality at dairy phase).</t>
        </r>
      </text>
    </comment>
    <comment ref="E69" authorId="0" shapeId="0" xr:uid="{00000000-0006-0000-0600-000023000000}">
      <text>
        <r>
          <rPr>
            <sz val="10"/>
            <color rgb="FF000000"/>
            <rFont val="Arial"/>
            <family val="2"/>
          </rPr>
          <t>Excluding mortality at dairy phase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900-000001000000}">
      <text>
        <r>
          <rPr>
            <sz val="10"/>
            <color rgb="FF000000"/>
            <rFont val="Arial"/>
            <family val="2"/>
          </rPr>
          <t>We estimate the average weights of wild caught crabs in the U.S.; Fishcount does not have data on wild caught shellfish.</t>
        </r>
      </text>
    </comment>
    <comment ref="C10" authorId="0" shapeId="0" xr:uid="{00000000-0006-0000-0900-000002000000}">
      <text>
        <r>
          <rPr>
            <sz val="10"/>
            <color rgb="FF000000"/>
            <rFont val="Arial"/>
            <family val="2"/>
          </rPr>
          <t>Amount caught from seafoodhealthfacts.org. We could not find data on the amount caught for snow crabs and king crabs, so of the remaining amount of crabs caught (the total minus blue crabs and dungeness crabs), we have assumed half is snow crabs and half is king crabs.</t>
        </r>
      </text>
    </comment>
    <comment ref="B11" authorId="0" shapeId="0" xr:uid="{00000000-0006-0000-0900-000003000000}">
      <text>
        <r>
          <rPr>
            <sz val="10"/>
            <color rgb="FF000000"/>
            <rFont val="Arial"/>
            <family val="2"/>
          </rPr>
          <t>Blue crabs weight 1/3lb, converted to grams</t>
        </r>
      </text>
    </comment>
    <comment ref="B12" authorId="0" shapeId="0" xr:uid="{00000000-0006-0000-0900-000004000000}">
      <text>
        <r>
          <rPr>
            <sz val="10"/>
            <color rgb="FF000000"/>
            <rFont val="Arial"/>
            <family val="2"/>
          </rPr>
          <t>Source suggests a range of 0.5kg to 1.35kg</t>
        </r>
      </text>
    </comment>
    <comment ref="B13" authorId="0" shapeId="0" xr:uid="{00000000-0006-0000-0900-000005000000}">
      <text>
        <r>
          <rPr>
            <sz val="10"/>
            <color rgb="FF000000"/>
            <rFont val="Arial"/>
            <family val="2"/>
          </rPr>
          <t>Source says can weigh up to 2kg</t>
        </r>
      </text>
    </comment>
    <comment ref="B14" authorId="0" shapeId="0" xr:uid="{00000000-0006-0000-0900-000006000000}">
      <text>
        <r>
          <rPr>
            <sz val="10"/>
            <color rgb="FF000000"/>
            <rFont val="Arial"/>
            <family val="2"/>
          </rPr>
          <t>Average weight is 6 to 10lb, converted to kg</t>
        </r>
      </text>
    </comment>
    <comment ref="C15" authorId="0" shapeId="0" xr:uid="{00000000-0006-0000-0900-000007000000}">
      <text>
        <r>
          <rPr>
            <sz val="10"/>
            <color rgb="FF000000"/>
            <rFont val="Arial"/>
            <family val="2"/>
          </rPr>
          <t>From https://www.seafoodhealthfacts.org/description-top-commercial-seafood-items/crab
"Total commercial landings of all crab species in the United States over the past decade have ranged from 275 to 350 million pounds per year"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C6" authorId="0" shapeId="0" xr:uid="{00000000-0006-0000-0A00-000001000000}">
      <text>
        <r>
          <rPr>
            <sz val="10"/>
            <color rgb="FF000000"/>
            <rFont val="Arial"/>
            <family val="2"/>
          </rPr>
          <t>Primary weight refers to carcass weight: https://www.ers.usda.gov/data-products/food-availability-per-capita-data-system/glossary/#primarywt
Fish and shellfish are already boneless equivalent/edible weights</t>
        </r>
      </text>
    </comment>
    <comment ref="E6" authorId="0" shapeId="0" xr:uid="{00000000-0006-0000-0A00-000002000000}">
      <text>
        <r>
          <rPr>
            <sz val="10"/>
            <color rgb="FF000000"/>
            <rFont val="Arial"/>
            <family val="2"/>
          </rPr>
          <t>Boneless equivalent or edible weight</t>
        </r>
      </text>
    </comment>
    <comment ref="N14" authorId="0" shapeId="0" xr:uid="{00000000-0006-0000-0A00-000003000000}">
      <text>
        <r>
          <rPr>
            <sz val="10"/>
            <color rgb="FF000000"/>
            <rFont val="Arial"/>
            <family val="2"/>
          </rPr>
          <t>See FAO fish and shellfish edible proportions for estimate</t>
        </r>
      </text>
    </comment>
    <comment ref="O14" authorId="0" shapeId="0" xr:uid="{00000000-0006-0000-0A00-000004000000}">
      <text>
        <r>
          <rPr>
            <sz val="10"/>
            <color rgb="FF000000"/>
            <rFont val="Arial"/>
            <family val="2"/>
          </rPr>
          <t>Does not account for loss from live or carcass to edible weight, see FAO fish and shellfish edible proportions</t>
        </r>
      </text>
    </comment>
    <comment ref="N15" authorId="0" shapeId="0" xr:uid="{00000000-0006-0000-0A00-000005000000}">
      <text>
        <r>
          <rPr>
            <sz val="10"/>
            <color rgb="FF000000"/>
            <rFont val="Arial"/>
            <family val="2"/>
          </rPr>
          <t>See FAO fish and shellfish edible proportions for estimate</t>
        </r>
      </text>
    </comment>
    <comment ref="O15" authorId="0" shapeId="0" xr:uid="{00000000-0006-0000-0A00-000006000000}">
      <text>
        <r>
          <rPr>
            <sz val="10"/>
            <color rgb="FF000000"/>
            <rFont val="Arial"/>
            <family val="2"/>
          </rPr>
          <t>Does not account for loss from live or carcass to edible weight, see FAO fish and shellfish edible proportions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D00-000001000000}">
      <text>
        <r>
          <rPr>
            <sz val="10"/>
            <color rgb="FF000000"/>
            <rFont val="Arial"/>
            <family val="2"/>
          </rPr>
          <t>Edible weight for fish and shellfish</t>
        </r>
      </text>
    </comment>
    <comment ref="K5" authorId="0" shapeId="0" xr:uid="{00000000-0006-0000-0D00-000002000000}">
      <text>
        <r>
          <rPr>
            <sz val="10"/>
            <color rgb="FF000000"/>
            <rFont val="Arial"/>
            <family val="2"/>
          </rPr>
          <t>These numbers are estimated by running the analysis using NHANES data with the multiplier set to 1. They include direct impacts only.</t>
        </r>
      </text>
    </comment>
    <comment ref="P5" authorId="0" shapeId="0" xr:uid="{00000000-0006-0000-0D00-000003000000}">
      <text>
        <r>
          <rPr>
            <sz val="10"/>
            <color rgb="FF000000"/>
            <rFont val="Arial"/>
            <family val="2"/>
          </rPr>
          <t>These numbers are estimated by running the analysis using NHANES data with the multiplier set to 1. They include direct impacts only.</t>
        </r>
      </text>
    </comment>
    <comment ref="B12" authorId="0" shapeId="0" xr:uid="{00000000-0006-0000-0D00-000004000000}">
      <text>
        <r>
          <rPr>
            <sz val="10"/>
            <color rgb="FF000000"/>
            <rFont val="Arial"/>
            <family val="2"/>
          </rPr>
          <t>From USDA loss adjusted availability data 'meat, poultry, fish, eggs and nuts' spreadsheet -  https://www.ers.usda.gov/data-products/food-availability-per-capita-data-system/
Calculated as 16lb total fish and shellfish minus 5.8lb fresh and frozen shellfish and 0.5lb canned shellfish from row below
The total fish figure is used here; in the USDA loss data sheet only fresh and frozen fish is used for calculation</t>
        </r>
      </text>
    </comment>
    <comment ref="C12" authorId="0" shapeId="0" xr:uid="{00000000-0006-0000-0D00-000005000000}">
      <text>
        <r>
          <rPr>
            <sz val="10"/>
            <color rgb="FF000000"/>
            <rFont val="Arial"/>
            <family val="2"/>
          </rPr>
          <t>From USDA loss adjusted availability data 'meat, poultry, fish, eggs and nuts' spreadsheet -  https://www.ers.usda.gov/data-products/food-availability-per-capita-data-system/
This is the sum of loss adjusted: fresh and frozen fish (3.4lb), canned salmon (0.2lb),  canned sardines (0.2lb), canned tuna (1.6lb), other canned fish (0.4lb), cured fish (0.3lb)
The total fish figure is used here; in the USDA loss data sheet only fresh and frozen fish is used for calculation</t>
        </r>
      </text>
    </comment>
    <comment ref="D12" authorId="0" shapeId="0" xr:uid="{00000000-0006-0000-0D00-000006000000}">
      <text>
        <r>
          <rPr>
            <sz val="10"/>
            <color rgb="FF000000"/>
            <rFont val="Arial"/>
            <family val="2"/>
          </rPr>
          <t>Edible proportion from FAO data is multiplied by the USDA food loss proportion, as the USDA food loss proportion for fish refers to the proportion of the edible weight.</t>
        </r>
      </text>
    </comment>
    <comment ref="B13" authorId="0" shapeId="0" xr:uid="{00000000-0006-0000-0D00-000007000000}">
      <text>
        <r>
          <rPr>
            <sz val="10"/>
            <color rgb="FF000000"/>
            <rFont val="Arial"/>
            <family val="2"/>
          </rPr>
          <t>From USDA loss adjusted availability data 'meat, poultry, fish, eggs and nuts' spreadsheet -  https://www.ers.usda.gov/data-products/food-availability-per-capita-data-system/
Calculated as 5.8lb fresh and frozen shellfish plus 0.5lb canned shellfish
The total fish figure is used here; in the USDA loss data sheet only fresh and frozen fish is used for calculation</t>
        </r>
      </text>
    </comment>
    <comment ref="C13" authorId="0" shapeId="0" xr:uid="{00000000-0006-0000-0D00-000008000000}">
      <text>
        <r>
          <rPr>
            <sz val="10"/>
            <color rgb="FF000000"/>
            <rFont val="Arial"/>
            <family val="2"/>
          </rPr>
          <t>From USDA loss adjusted availability data 'meat, poultry, fish, eggs and nuts' spreadsheet -  https://www.ers.usda.gov/data-products/food-availability-per-capita-data-system/
This is the sum of loss adjusted fresh and frozen shellfish (3.2lb) and canned shellfish (0.4lb)
The total fish figure is used here; in the USDA loss data sheet only fresh and frozen fish is used for calculation</t>
        </r>
      </text>
    </comment>
    <comment ref="D13" authorId="0" shapeId="0" xr:uid="{00000000-0006-0000-0D00-000009000000}">
      <text>
        <r>
          <rPr>
            <sz val="10"/>
            <color rgb="FF000000"/>
            <rFont val="Arial"/>
            <family val="2"/>
          </rPr>
          <t>Edible proportion from FAO data is multiplied by the USDA food loss proportion, as the USDA food loss proportion for shellfish refers to the proportion of the edible weight.</t>
        </r>
      </text>
    </comment>
  </commentList>
</comments>
</file>

<file path=xl/sharedStrings.xml><?xml version="1.0" encoding="utf-8"?>
<sst xmlns="http://schemas.openxmlformats.org/spreadsheetml/2006/main" count="7404" uniqueCount="2714">
  <si>
    <t>Animal Product Impacts - Calculations Workbook</t>
  </si>
  <si>
    <t>This workbook estimates the relationship between the amounts of various animal food products consumed and the impact on animal lives and days of existence. The estimates are used in combination with the National Health and Nutrition Examination Survey (NHANES) data on the amounts of animal products consumed in the U.S. to produce infographics on the impact of replacing various food products in the U.S. at the population and individual level.</t>
  </si>
  <si>
    <t>Worksheet descriptions</t>
  </si>
  <si>
    <r>
      <rPr>
        <b/>
        <sz val="10"/>
        <rFont val="Arial"/>
        <family val="2"/>
      </rPr>
      <t>Overall estimates</t>
    </r>
    <r>
      <rPr>
        <sz val="10"/>
        <color rgb="FF000000"/>
        <rFont val="Arial"/>
        <family val="2"/>
      </rPr>
      <t xml:space="preserve"> - carries out the overall calculations of the main outputs in the analysis (summarised in the summary sheet) using the data and estimates from the other sheets in the workbook.</t>
    </r>
  </si>
  <si>
    <r>
      <rPr>
        <b/>
        <sz val="10"/>
        <rFont val="Arial"/>
        <family val="2"/>
      </rPr>
      <t>Fish and shellfish calculations</t>
    </r>
    <r>
      <rPr>
        <sz val="10"/>
        <color rgb="FF000000"/>
        <rFont val="Arial"/>
        <family val="2"/>
      </rPr>
      <t xml:space="preserve"> - estimates weighted average weights and lifespans of fish and shellfish, and the additional lives and days of suffering due to feed fish and bycatch using data from 'Feed fish and bycatch calculations' sheet, and additional lives and days of suffering due to mortality.</t>
    </r>
  </si>
  <si>
    <r>
      <rPr>
        <b/>
        <sz val="10"/>
        <rFont val="Arial"/>
        <family val="2"/>
      </rPr>
      <t>Elasticities</t>
    </r>
    <r>
      <rPr>
        <sz val="10"/>
        <color rgb="FF000000"/>
        <rFont val="Arial"/>
        <family val="2"/>
      </rPr>
      <t xml:space="preserve"> - contains data and estimates of the price elasticities of demand and supply used in the analysis.</t>
    </r>
  </si>
  <si>
    <r>
      <rPr>
        <b/>
        <sz val="10"/>
        <rFont val="Arial"/>
        <family val="2"/>
      </rPr>
      <t>Mortality</t>
    </r>
    <r>
      <rPr>
        <sz val="10"/>
        <color rgb="FF000000"/>
        <rFont val="Arial"/>
        <family val="2"/>
      </rPr>
      <t xml:space="preserve"> - estimates the mortality rates and additional lives and days of suffering per animal due to mortality for livestock.</t>
    </r>
  </si>
  <si>
    <t>Animal product</t>
  </si>
  <si>
    <t>Product Elasticity (impact of 1 unit reduction)</t>
  </si>
  <si>
    <t>Citation</t>
  </si>
  <si>
    <t>Consumable kilograms per animal life (direct)</t>
  </si>
  <si>
    <t>Consumable kilograms per animal life (total)</t>
  </si>
  <si>
    <t>Elasticity-adjusted lives SAVED per kg of consumable product (direct)</t>
  </si>
  <si>
    <t>Elasticity-adjusted lives SAVED per kg of consumable product (total)</t>
  </si>
  <si>
    <t>Consumable kg per DAY of animal life (direct)</t>
  </si>
  <si>
    <t>Consumable kg per DAY of animal life (total)</t>
  </si>
  <si>
    <t>Elasticity-adjusted days of suffering avoided per kg of consumable product (direct)</t>
  </si>
  <si>
    <t>Elasticity-adjusted days of suffering avoided per kg of consumable product (total)</t>
  </si>
  <si>
    <t>Beef</t>
  </si>
  <si>
    <t>Norwood and Lusk (2011) - Compassion by the Pound</t>
  </si>
  <si>
    <t>Lifetime in days: https://www.ams.usda.gov/grades-standards/slaughter-cattle</t>
  </si>
  <si>
    <t>Chicken</t>
  </si>
  <si>
    <t>Lifetime in days: https://ask.usda.gov/s/article/How-old-are-chickens-used-for-meat</t>
  </si>
  <si>
    <t>Dairy</t>
  </si>
  <si>
    <t>Lifetime in days: https://www.ciwf.org.uk/media/5235185/the-life-of-dairy-cows.pdf</t>
  </si>
  <si>
    <t>Pork</t>
  </si>
  <si>
    <t>Lifetime in days: https://www.ers.usda.gov/topics/animal-products/hogs-pork/sector-at-a-glance/#Loc1</t>
  </si>
  <si>
    <t>Eggs</t>
  </si>
  <si>
    <t>Lifetime in days: http://www.fao.org/3/y4628e/y4628e03.htm</t>
  </si>
  <si>
    <t>Turkey</t>
  </si>
  <si>
    <t>Demand: Huang (1986) - U.S. Demand for Food: A Complete System of Price and Income Effects; Supply: Assumed same as chicken</t>
  </si>
  <si>
    <t>Lifetime in days: https://www.fsis.usda.gov/wps/portal/fsis/topics/food-safety-education/get-answers/food-safety-fact-sheets/poultry-preparation/food-safety-of-turkeyfrom-farm-to-table/CT_Index</t>
  </si>
  <si>
    <t>Fish</t>
  </si>
  <si>
    <t>Demand: Huang and Lin (2000) - Estimation of Food Demand and Nutrient Elasticities from Household Survey Data; Supply (aquaculture): Andersen et al. (2008) - The Price Responsiveness of Salmon Supply in the Short and Long Run; Supply (wild caught): Pascoe and Mardle (1999). Supply response in fisheries-the North Sea</t>
  </si>
  <si>
    <t>Assumed same as fish</t>
  </si>
  <si>
    <t>Lifetime in days: http://www.fao.org/tempref/FI/DOCUMENT/aquaculture/CulturedSpecies/file/en/en_whitelegshrimp.htm for shrimp, assumed 1 day for crab</t>
  </si>
  <si>
    <t>Livestock estimates</t>
  </si>
  <si>
    <t>Years producing product (eggs and dairy)</t>
  </si>
  <si>
    <t>Lifetime in days</t>
  </si>
  <si>
    <t>Loss adjusted edible proportion</t>
  </si>
  <si>
    <t>Total edible weight per life (kilograms)</t>
  </si>
  <si>
    <t>Total edible weight per life including indirect effects (kilograms)</t>
  </si>
  <si>
    <t>Total edible weight per day of life (kilograms)</t>
  </si>
  <si>
    <t>Total edible weight per day of life including indirect effects (kilograms)</t>
  </si>
  <si>
    <t>Elasticity adjustment</t>
  </si>
  <si>
    <t>Elasticity adjusted lives saved per kilogram of consumable product</t>
  </si>
  <si>
    <t>Elasticity adjusted lives saved per kilogram of consumable product including indirect effects</t>
  </si>
  <si>
    <t>Elasticity adjusted days of life avoided per kilogram of consumable product</t>
  </si>
  <si>
    <t>Elasticity adjusted days of life avoided per kilogram of consumable product including indirect effects</t>
  </si>
  <si>
    <t>Fish and shellfish estimates</t>
  </si>
  <si>
    <t>Shellfish</t>
  </si>
  <si>
    <t>Weight (kilograms)</t>
  </si>
  <si>
    <t>Lifetime in days including indirect effects (feed fish and mortality)</t>
  </si>
  <si>
    <t>Total edible weight per life accounting for indirect effects (kilograms)</t>
  </si>
  <si>
    <t>Total edible weight per day of life accounting for indirect effects (kilograms)</t>
  </si>
  <si>
    <t>Elasticity adjusted lives saved per kilogram of consumable product accounting for indirect effects</t>
  </si>
  <si>
    <t>Elasticity adjusted days of life avoided per kilogram of consumable product accounting for indirect effects</t>
  </si>
  <si>
    <t>Calculations for finfish and shellfish of weighted average weights, lifespans, and additional lives and days due to feed fish and bycatch</t>
  </si>
  <si>
    <t>Finfish calculations</t>
  </si>
  <si>
    <t>Species or Product</t>
  </si>
  <si>
    <t>Weight (grams, lower)</t>
  </si>
  <si>
    <t>Weight (grams, upper)</t>
  </si>
  <si>
    <t>Weight (grams, midpoint)</t>
  </si>
  <si>
    <t>Aquaculture or wild caught</t>
  </si>
  <si>
    <t>Mortality rate</t>
  </si>
  <si>
    <t>Lifespan (days)</t>
  </si>
  <si>
    <t>Additional lives due to feed fish</t>
  </si>
  <si>
    <t>Additional lives due to mortality</t>
  </si>
  <si>
    <t>Additional days due to mortality</t>
  </si>
  <si>
    <t>Lifespan including feed fish and mortality (days)</t>
  </si>
  <si>
    <t>Sources</t>
  </si>
  <si>
    <t>Salmon</t>
  </si>
  <si>
    <t>2/3 aquaculture, 1/3 wild caught</t>
  </si>
  <si>
    <t>Canned Tuna</t>
  </si>
  <si>
    <t>Wild caught</t>
  </si>
  <si>
    <t>Weights: Fishcount fish weights, range of skipjack and albacore tuna, most consumed in US (https://www.aboutseafood.com/tuna-council-3/tuna-facts/); Aquaculture/wild caught: Assumed all wild-caught; Lifespan: assumed 1 day affected</t>
  </si>
  <si>
    <t>Tilapia</t>
  </si>
  <si>
    <t>Aquaculture</t>
  </si>
  <si>
    <t>Alaska Pollock</t>
  </si>
  <si>
    <t>Weights: Fishcount fish weights, alaskan pollock; Aquaculture/wildcaught: assumed all wild-caught https://www.seafoodhealthfacts.org/seafood-choices/description-top-commercial-seafood-items/alaska-pollock; Lifespan: assumed 1 day affected</t>
  </si>
  <si>
    <t>Pangasius (Basa or Swai)</t>
  </si>
  <si>
    <t>Cod</t>
  </si>
  <si>
    <t>Weights: Fishcount fish weights, min and max of wild caught atlantic and pacific cod, based on https://www.seafoodhealthfacts.org/seafood-choices/description-top-commercial-seafood-items/cod; Aquaculture/wild caught: Assumed all wild caught based on: https://www.seafoodhealthfacts.org/seafood-choices/description-top-commercial-seafood-items/cod; Lifespan: assumed 1 day affected</t>
  </si>
  <si>
    <t>Catfish</t>
  </si>
  <si>
    <t>Total/average</t>
  </si>
  <si>
    <t>Shellfish calculations</t>
  </si>
  <si>
    <t>Additional lives due to feed fish and bycatch</t>
  </si>
  <si>
    <t>Shrimp</t>
  </si>
  <si>
    <t>90% aquaculture, 10% wild caught</t>
  </si>
  <si>
    <t>Weights: Fishcount, shrimp and prawns, farmed; Aquaculture/wild caught: 90% from farmed sources from https://www.seafoodhealthfacts.org/seafood-choices/description-top-commercial-seafood-items/shrimp; Lifespan: farmed component estimated as 12-18 hours hatching, 26-31 days larvae rearing, 3-6 months pond tank http://www.fao.org/tempref/FI/DOCUMENT/aquaculture/CulturedSpecies/file/en/en_whitelegshrimp.htm</t>
  </si>
  <si>
    <t>Crab</t>
  </si>
  <si>
    <t>Assumed 100% wild caught</t>
  </si>
  <si>
    <t>Weights: Estimated in 'Shellfish weights' sheet - average of most consumed in the U.S.; Aquaculture/wild caught: Assumed all wild caught - this only affects the average lifespan by a few days; Lifespan: assumed 1 day</t>
  </si>
  <si>
    <t>Clams</t>
  </si>
  <si>
    <t>Calculations of feed fish per farmed fish, farmed shellfish, pig, and chicken</t>
  </si>
  <si>
    <t>Feed fish (top down) estimates using Fishcount/global data</t>
  </si>
  <si>
    <t>Estimate</t>
  </si>
  <si>
    <t>Source</t>
  </si>
  <si>
    <t>Total number of farmed fish globally</t>
  </si>
  <si>
    <t>http://fishcount.org.uk/fish-count-estimates-2/numbers-of-farmed-fish-slaughtered-each-year</t>
  </si>
  <si>
    <t>Total number of farmed decapods globally</t>
  </si>
  <si>
    <t>http://fishcount.org.uk/fish-count-estimates-2/numbers-of-farmed-decapod-crustaceans</t>
  </si>
  <si>
    <t>Total number of feed fish globally</t>
  </si>
  <si>
    <t>Total number of fish for fish oil for aquaculture globally</t>
  </si>
  <si>
    <t>http://fishcount.org.uk/farmed-fish-welfare/numbers-of-fish-used-for-feed-in-aquaculture</t>
  </si>
  <si>
    <t>Total number of fish for fish meal for aquaculture globally</t>
  </si>
  <si>
    <t>Proportion of total fish oil used for aquaculture</t>
  </si>
  <si>
    <t>Proportion of total fish meal used for aquaculture</t>
  </si>
  <si>
    <t>Total number of fish for fish oil globally</t>
  </si>
  <si>
    <t>Calculation</t>
  </si>
  <si>
    <t>Total number of fish for fishmeal globally</t>
  </si>
  <si>
    <t>Proportion of total feed fish used for aquaculture</t>
  </si>
  <si>
    <t>Calculation - simple average based on simplifying assumption of equal split between feed fish usage for fish oil and fishmeal</t>
  </si>
  <si>
    <t>Proportion of total fish oil used for farmed fish (not shellfish)</t>
  </si>
  <si>
    <t>Proportion of total fish meal used for farmed fish (not shellfish)</t>
  </si>
  <si>
    <t>Proportion of total feed fish used for farmed fish</t>
  </si>
  <si>
    <t>Proportion of total feed fish used for farmed shellfish</t>
  </si>
  <si>
    <t>Feed fish per farmed fish</t>
  </si>
  <si>
    <t>Calculation - assumed to be wild caught, 1 day lifespan</t>
  </si>
  <si>
    <t>Feed fish per farmed fish (adjusted accounting for weight)</t>
  </si>
  <si>
    <t>Calculation - uplifted to account for difference in weight between US consumed fish and Fishcount mean weight</t>
  </si>
  <si>
    <t>Feed fish per farmed shellfish</t>
  </si>
  <si>
    <t>Feed fish per farmed shellfish (adjusted accounting for weight)</t>
  </si>
  <si>
    <t>Feed fish per pig - top down estimate using global data</t>
  </si>
  <si>
    <t>Total number of pigs slaughtered globally</t>
  </si>
  <si>
    <t>Proportion of fish meal used for pigs</t>
  </si>
  <si>
    <t>Proportion of fish oil used for pigs</t>
  </si>
  <si>
    <t>Proportion of feed fish used for pigs</t>
  </si>
  <si>
    <t>Calculation - simple average of fish meal and fish oil</t>
  </si>
  <si>
    <t>Feed fish per pig</t>
  </si>
  <si>
    <t>Calculation - see note</t>
  </si>
  <si>
    <t>Feed fish per broiler/layer hen - top down estimates using global data</t>
  </si>
  <si>
    <t>Total number of broilers slaughtered globally</t>
  </si>
  <si>
    <t>Total number of turkeys slaughtered globally</t>
  </si>
  <si>
    <t>Proportion of global fish meal used for chickens</t>
  </si>
  <si>
    <t>Several sources including: https://effop.org/wp-content/uploads/2019/06/EUMOFA-Monthly-Highlights-April-2019-Fishmeal-and-Fish-Oil.pdf; https://pdfs.semanticscholar.org/6925/be4428aff4738b7db11d5f3a460d4ea0e8e4.pdf; https://www.researchgate.net/publication/265844963_Complete_Replacement_of_Fish_Meal_in_the_Diet_of_Nile_Tilapia_Oreochromis_niloticus_L_Grow-out_with_Alternative_Protein_Sources_A_review</t>
  </si>
  <si>
    <t>Proportion of global fish oil used for chickens</t>
  </si>
  <si>
    <r>
      <t xml:space="preserve">Fish oil not used for livestock: </t>
    </r>
    <r>
      <rPr>
        <u/>
        <sz val="10"/>
        <color rgb="FF1155CC"/>
        <rFont val="Arial"/>
        <family val="2"/>
      </rPr>
      <t>https://www.goucher.edu/learn/documents/Econ-Report-All.pdf#page=79</t>
    </r>
  </si>
  <si>
    <t>Proportion of global feed fish used for chickens</t>
  </si>
  <si>
    <t>Total feed to broilers</t>
  </si>
  <si>
    <t>Calculation - uses input on amount of feed per chicken from bottom up calculations</t>
  </si>
  <si>
    <t>Total feed to layer hens</t>
  </si>
  <si>
    <t>Proportion of global feed fish used for broilers</t>
  </si>
  <si>
    <t>Calculation - best guess at the moment suggests the 5% refers to chickens only and not turkeys, so calculation based on split between broilers and layer hens</t>
  </si>
  <si>
    <t>Proportion of global feed fish used for layer hens</t>
  </si>
  <si>
    <t>Feed fish per broiler</t>
  </si>
  <si>
    <t>Feed fish per layer hen</t>
  </si>
  <si>
    <t>Alternative estimates / cross check</t>
  </si>
  <si>
    <t>Alternative calculations fish and shellfish - bottom up</t>
  </si>
  <si>
    <t>Fish In Fish Out ratio</t>
  </si>
  <si>
    <t>Average weight of farmed fish/shellfish (kg)</t>
  </si>
  <si>
    <t>Weight per feed fish</t>
  </si>
  <si>
    <t>Feed fish per fish/shellfish</t>
  </si>
  <si>
    <t>Average weight of farmed fish/shellfish (fishcount) (kg)</t>
  </si>
  <si>
    <t>Feed fish per fish/shellfish (fishcount)</t>
  </si>
  <si>
    <t>Alternative calculations livestock - bottom up</t>
  </si>
  <si>
    <t>Pig</t>
  </si>
  <si>
    <t>Broiler</t>
  </si>
  <si>
    <t>Layer hen</t>
  </si>
  <si>
    <t>Feed conversion ratio</t>
  </si>
  <si>
    <t>Ratio of fish to fishmeal produced</t>
  </si>
  <si>
    <t>Weight of live animal/product (kg)</t>
  </si>
  <si>
    <t>Amount of feed per animal (kg)</t>
  </si>
  <si>
    <t>Proportion of fishmeal in diet</t>
  </si>
  <si>
    <t>Weight of fishmeal in diet</t>
  </si>
  <si>
    <t>Feed fish per animal</t>
  </si>
  <si>
    <t>Price elasticities of demand and supply</t>
  </si>
  <si>
    <t>Price elasticity of demand</t>
  </si>
  <si>
    <t>Price elasticity of supply</t>
  </si>
  <si>
    <t>Impact of a 1 unit reduction</t>
  </si>
  <si>
    <t>Egg</t>
  </si>
  <si>
    <t>Source: Estimates for beef, chicken, dairy, pork and eggs from Norwood and Lusk (2011), Compassion by the Pound, Chapter 8</t>
  </si>
  <si>
    <t>Other sources and calculations</t>
  </si>
  <si>
    <t>Demand elasticity estimates from papers cited in Norwood and Lusk (2011)</t>
  </si>
  <si>
    <t>Product</t>
  </si>
  <si>
    <t>Huang and Lin (2000)</t>
  </si>
  <si>
    <t>Huang (1986)</t>
  </si>
  <si>
    <t>Sumner et al (2009)</t>
  </si>
  <si>
    <t>n/a</t>
  </si>
  <si>
    <t>-0.15 to -0.3</t>
  </si>
  <si>
    <t>Source: Huang and Lin (2000) https://www.ers.usda.gov/webdocs/publications/47346/32056_tb1887_002.pdf?v=0</t>
  </si>
  <si>
    <t>Huang (1986) https://naldc.nal.usda.gov/download/CAT86866758/PDF</t>
  </si>
  <si>
    <t>Sumner et al (2009) http://www2.sustainableeggcoalition.org/document_center/download/public/SSEP_Economic_and_market_issues.pdf</t>
  </si>
  <si>
    <t>Estimates of long run price elasticity of supply for fish</t>
  </si>
  <si>
    <t>Aquaculture (salmon, Norway)</t>
  </si>
  <si>
    <t>https://core.ac.uk/download/pdf/6541576.pdf</t>
  </si>
  <si>
    <t>Wild caught (several, North Sea)</t>
  </si>
  <si>
    <t>Pascoe and Mardle (1999). Supply response in fisheries-the North Sea. University of Portsmouth, Centre for the Economics and Management of Aquatic Resources.</t>
  </si>
  <si>
    <t>Pascoe and Mardle (1999), long run price elasticity of supply calculation</t>
  </si>
  <si>
    <t>Haddock</t>
  </si>
  <si>
    <t>Whiting</t>
  </si>
  <si>
    <t>Saithe</t>
  </si>
  <si>
    <t>Plaice</t>
  </si>
  <si>
    <t>Sole</t>
  </si>
  <si>
    <t>Nephrops</t>
  </si>
  <si>
    <t>Belgium</t>
  </si>
  <si>
    <t>Denmark</t>
  </si>
  <si>
    <t>France</t>
  </si>
  <si>
    <t>Germany</t>
  </si>
  <si>
    <t>Netherlands</t>
  </si>
  <si>
    <t>Norway</t>
  </si>
  <si>
    <t>UK</t>
  </si>
  <si>
    <t>Total (tonnes)</t>
  </si>
  <si>
    <t>Proportion</t>
  </si>
  <si>
    <t>Long run price elasticity of supply</t>
  </si>
  <si>
    <t>Weighted average long run price elasticity of supply</t>
  </si>
  <si>
    <t>Animal Charity Evaluators estimates</t>
  </si>
  <si>
    <t>USDA database of price demand elasticities</t>
  </si>
  <si>
    <t>Source: https://data.ers.usda.gov/reports.aspx?ID=17825</t>
  </si>
  <si>
    <t>Commodity</t>
  </si>
  <si>
    <t>Minimum</t>
  </si>
  <si>
    <t>Maximum</t>
  </si>
  <si>
    <t>Mean</t>
  </si>
  <si>
    <t>Standard deviation</t>
  </si>
  <si>
    <t>Mortality rates</t>
  </si>
  <si>
    <t>Overall mortality rate</t>
  </si>
  <si>
    <t>Additional lives per animal</t>
  </si>
  <si>
    <t>Average age of death (days)</t>
  </si>
  <si>
    <t>Additional days per animal</t>
  </si>
  <si>
    <t>Full lifespan</t>
  </si>
  <si>
    <t>Age of death / full lifespan</t>
  </si>
  <si>
    <t>Broiler chicken</t>
  </si>
  <si>
    <t>Pigs</t>
  </si>
  <si>
    <t>Calculated in 'Fish and shellfish calculations' sheet</t>
  </si>
  <si>
    <t>Calculations/sources</t>
  </si>
  <si>
    <t>Broiler chickens</t>
  </si>
  <si>
    <t>Age of death (days)</t>
  </si>
  <si>
    <t>Sources:</t>
  </si>
  <si>
    <t>https://www.aphis.usda.gov/animal_health/emergency_management/downloads/documents_manuals/poultry_ind_manual.pdf</t>
  </si>
  <si>
    <t>https://thepoultrysite.com/articles/mortality-patterns-associated-with-commercial-broiler-production</t>
  </si>
  <si>
    <t>Layer hens</t>
  </si>
  <si>
    <t>Mortality rate (pre-slaughter)</t>
  </si>
  <si>
    <t>Proportion of deaths at each phase</t>
  </si>
  <si>
    <t>Mortality rate (pre-production)</t>
  </si>
  <si>
    <t>Age of death (midpoint, days)</t>
  </si>
  <si>
    <t>Small chicks/brooder (0-8 weeks)</t>
  </si>
  <si>
    <t>Grower (8-20 weeks)</t>
  </si>
  <si>
    <t>Layer (20-72 weeks)</t>
  </si>
  <si>
    <t>Average/total (pre-slaughter)</t>
  </si>
  <si>
    <t>Average/total (pre-production)</t>
  </si>
  <si>
    <t>http://www.fao.org/3/Y4628E/y4628e03.htm</t>
  </si>
  <si>
    <t>https://www.aphis.usda.gov/animal_health/nahms/poultry/downloads/layers2013/Layers2013_dr_PartI.pdf</t>
  </si>
  <si>
    <t>https://www.nrcs.usda.gov/Internet/FSE_DOCUMENTS/nrcseprd380437.pdf</t>
  </si>
  <si>
    <t>Turkeys</t>
  </si>
  <si>
    <t>Hens mortality</t>
  </si>
  <si>
    <t>5-6%</t>
  </si>
  <si>
    <t>Toms mortality</t>
  </si>
  <si>
    <t>10-12%</t>
  </si>
  <si>
    <t>Midpoint</t>
  </si>
  <si>
    <r>
      <t xml:space="preserve">Source: </t>
    </r>
    <r>
      <rPr>
        <u/>
        <sz val="10"/>
        <color rgb="FF1155CC"/>
        <rFont val="Arial"/>
        <family val="2"/>
      </rPr>
      <t>https://www.aphis.usda.gov/animal_health/emergency_management/downloads/documents_manuals/poultry_ind_manual.pdf</t>
    </r>
  </si>
  <si>
    <t>0-1 week</t>
  </si>
  <si>
    <t>1 week - 4.5 months</t>
  </si>
  <si>
    <t>Average</t>
  </si>
  <si>
    <r>
      <t xml:space="preserve">Source: </t>
    </r>
    <r>
      <rPr>
        <u/>
        <sz val="10"/>
        <color rgb="FF1155CC"/>
        <rFont val="Arial"/>
        <family val="2"/>
      </rPr>
      <t>https://www.aphis.usda.gov/animal_health/emergency_management/downloads/documents_manuals/poultry_ind_manual.pdf</t>
    </r>
  </si>
  <si>
    <t>Loss per 1000</t>
  </si>
  <si>
    <t>Preweaning phase (0-3 weeks)</t>
  </si>
  <si>
    <t>Weaned pigs entering nursery phase (3-8.5 weeks)</t>
  </si>
  <si>
    <t>Grower to finisher (8.5-24 weeks)</t>
  </si>
  <si>
    <t>Average/total</t>
  </si>
  <si>
    <t>https://www.aphis.usda.gov/animal_health/nahms/swine/downloads/swine2012/Swine2012_dr_PartI.pdf</t>
  </si>
  <si>
    <t>Calf (0-365 days)</t>
  </si>
  <si>
    <t>Cattle (365-1098 days)</t>
  </si>
  <si>
    <r>
      <t xml:space="preserve">Source: Page 10 </t>
    </r>
    <r>
      <rPr>
        <u/>
        <sz val="10"/>
        <color rgb="FF1155CC"/>
        <rFont val="Arial"/>
        <family val="2"/>
      </rPr>
      <t>https://www.aphis.usda.gov/animal_health/nahms/general/downloads/cattle_calves_deathloss_2015.pdf</t>
    </r>
  </si>
  <si>
    <t>Dairy cows</t>
  </si>
  <si>
    <t>Preweaned heifer (0-6 weeks)</t>
  </si>
  <si>
    <t>Weaned heifer (6 weeks-30 months)</t>
  </si>
  <si>
    <t>Dairy cows (3-68 months)</t>
  </si>
  <si>
    <r>
      <t xml:space="preserve">Source: Page 28 </t>
    </r>
    <r>
      <rPr>
        <u/>
        <sz val="10"/>
        <color rgb="FF1155CC"/>
        <rFont val="Arial"/>
        <family val="2"/>
      </rPr>
      <t>https://www.aphis.usda.gov/animal_health/nahms/dairy/downloads/dairy14/Dairy14_dr_PartIII.pdf</t>
    </r>
  </si>
  <si>
    <t>FAO livestock data</t>
  </si>
  <si>
    <t>Source: http://www.fao.org/faostat/en/#data/QL</t>
  </si>
  <si>
    <t>Domain</t>
  </si>
  <si>
    <t>Area</t>
  </si>
  <si>
    <t>Element</t>
  </si>
  <si>
    <t>Item</t>
  </si>
  <si>
    <t>Year</t>
  </si>
  <si>
    <t>Unit</t>
  </si>
  <si>
    <t>Value</t>
  </si>
  <si>
    <t>Flag Description</t>
  </si>
  <si>
    <t>Livestock Primary</t>
  </si>
  <si>
    <t>United States of America</t>
  </si>
  <si>
    <t>Laying</t>
  </si>
  <si>
    <t>Eggs, hen, in shell</t>
  </si>
  <si>
    <t>1000 Head</t>
  </si>
  <si>
    <t>Official data</t>
  </si>
  <si>
    <t>Yield</t>
  </si>
  <si>
    <t>100mg/An</t>
  </si>
  <si>
    <t>Calculated data</t>
  </si>
  <si>
    <t>Production</t>
  </si>
  <si>
    <t>tonnes</t>
  </si>
  <si>
    <t>Eggs, hen, in shell (number)</t>
  </si>
  <si>
    <t>1000 No</t>
  </si>
  <si>
    <t>Producing Animals (Slaughtered)</t>
  </si>
  <si>
    <t>Meat, cattle</t>
  </si>
  <si>
    <t>Head</t>
  </si>
  <si>
    <t>Yield (Carcass Weight)</t>
  </si>
  <si>
    <t>hg/An</t>
  </si>
  <si>
    <t>Meat, chicken</t>
  </si>
  <si>
    <t>0.1g/An</t>
  </si>
  <si>
    <t>Meat, pig</t>
  </si>
  <si>
    <t>Meat, turkey</t>
  </si>
  <si>
    <t>Milk Animals</t>
  </si>
  <si>
    <t>Milk, whole fresh cow</t>
  </si>
  <si>
    <t>Fishcount fish weights</t>
  </si>
  <si>
    <t>Source: http://fishcount.org.uk/studydatascreens2/2017/numbers-of-farmed-fish-A0-2017.php?sort2/full; http://fishcount.org.uk/studydatascreens/2016/numbers-of-wild-fish-A0-2016.php</t>
  </si>
  <si>
    <t>Species</t>
  </si>
  <si>
    <t>Estimated mean weight (grams)</t>
  </si>
  <si>
    <t>Generic mean weight (grams)</t>
  </si>
  <si>
    <t>Mean weight (grams, estimated and generic combined)</t>
  </si>
  <si>
    <t>Minimum weight (grams)</t>
  </si>
  <si>
    <t>Maximum weight (grams)</t>
  </si>
  <si>
    <t>Farmed or wild caught</t>
  </si>
  <si>
    <t>Grass carp(=White amur) (Ctenopharyngodon idellus)</t>
  </si>
  <si>
    <t>500-2,500</t>
  </si>
  <si>
    <t>Farmed</t>
  </si>
  <si>
    <t>Silver carp (Hypophthalmichthys molitrix)</t>
  </si>
  <si>
    <t>300-1,500</t>
  </si>
  <si>
    <t>Nile tilapia (Oreochromis niloticus)</t>
  </si>
  <si>
    <t>250-800</t>
  </si>
  <si>
    <t>Common carp (Cyprinus carpio)</t>
  </si>
  <si>
    <t>Bighead carp (Hypophthalmichthys nobilis)</t>
  </si>
  <si>
    <t>500-1,500</t>
  </si>
  <si>
    <t>Carassius spp (Carassius spp)</t>
  </si>
  <si>
    <t>150-400</t>
  </si>
  <si>
    <t>Catla (Catla catla)</t>
  </si>
  <si>
    <t>300-2,000</t>
  </si>
  <si>
    <t>Atlantic salmon (Salmo salar)</t>
  </si>
  <si>
    <t>3,614-8,434</t>
  </si>
  <si>
    <t>Roho labeo (Labeo rohita)</t>
  </si>
  <si>
    <t>Pangas catfishes nei (Pangasius spp)</t>
  </si>
  <si>
    <t>Milkfish (Chanos chanos)</t>
  </si>
  <si>
    <t>250-500</t>
  </si>
  <si>
    <t>Tilapias nei (Oreochromis(=Tilapia) spp)</t>
  </si>
  <si>
    <t>Striped catfish (Pangasius hypophthalmus)</t>
  </si>
  <si>
    <t>Wuchang bream (Megalobrama amblycephala)</t>
  </si>
  <si>
    <t>450-500</t>
  </si>
  <si>
    <t>Rainbow trout (Oncorhynchus mykiss)</t>
  </si>
  <si>
    <t>210-5,000</t>
  </si>
  <si>
    <t>Black carp (Mylopharyngodon piceus)</t>
  </si>
  <si>
    <t>2,000-3,000</t>
  </si>
  <si>
    <t>Mrigal carp (Cirrhinus mrigala)</t>
  </si>
  <si>
    <t>300-1,100</t>
  </si>
  <si>
    <t>Yellow catfish (Pelteobagrus fulvidraco)</t>
  </si>
  <si>
    <t>50-200</t>
  </si>
  <si>
    <t>Largemouth black bass (Micropterus salmoides)</t>
  </si>
  <si>
    <t>680-680</t>
  </si>
  <si>
    <t>Channel catfish (Ictalurus punctatus)</t>
  </si>
  <si>
    <t>340-680</t>
  </si>
  <si>
    <t>Mandarin fish (Siniperca chuatsi)</t>
  </si>
  <si>
    <t>500-500</t>
  </si>
  <si>
    <t>Japanese eel (Anguilla japonica)</t>
  </si>
  <si>
    <t>100-250</t>
  </si>
  <si>
    <t>Pirapatinga (Piaractus brachypomus)</t>
  </si>
  <si>
    <t>500-1,000</t>
  </si>
  <si>
    <t>North African catfish (Clarias gariepinus)</t>
  </si>
  <si>
    <t>Gilthead seabream (Sparus aurata)</t>
  </si>
  <si>
    <t>300-400</t>
  </si>
  <si>
    <t>European seabass (Dicentrarchus labrax)</t>
  </si>
  <si>
    <t>400-500</t>
  </si>
  <si>
    <t>Japanese seabass (Lateolabrax japonicus)</t>
  </si>
  <si>
    <t>Giant gourami (Osphronemus goramy)</t>
  </si>
  <si>
    <t>Silver barb (Barbonymus gonionotus)</t>
  </si>
  <si>
    <t>100-200</t>
  </si>
  <si>
    <t>Japanese amberjack (Seriola quinqueradiata)</t>
  </si>
  <si>
    <t>3,500-6,000</t>
  </si>
  <si>
    <t>Cachama (Colossoma macropomum)</t>
  </si>
  <si>
    <t>500-2,000</t>
  </si>
  <si>
    <t>Barramundi(=Giant seaperch) (Lates calcarifer)</t>
  </si>
  <si>
    <t>Red drum (Sciaenops ocellatus)</t>
  </si>
  <si>
    <t>1,000-1,000</t>
  </si>
  <si>
    <t>Silver seabream (Pagrus auratus)</t>
  </si>
  <si>
    <t>400-400</t>
  </si>
  <si>
    <t>Mozambique tilapia (Oreochromis mossambicus)</t>
  </si>
  <si>
    <t>500-800</t>
  </si>
  <si>
    <t>Turbot (Psetta maxima)</t>
  </si>
  <si>
    <t>700-2,000</t>
  </si>
  <si>
    <t>Cobia (Rachycentron canadum)</t>
  </si>
  <si>
    <t>6,000-8,000</t>
  </si>
  <si>
    <t>Striped snakehead (Channa striata)</t>
  </si>
  <si>
    <t>Bastard halibut (Paralichthys olivaceus)</t>
  </si>
  <si>
    <t>800-1,500</t>
  </si>
  <si>
    <t>Indonesian snakehead (Channa micropeltes)</t>
  </si>
  <si>
    <t>500-700</t>
  </si>
  <si>
    <t>Snakeskin gourami (Trichogaster pectoralis)</t>
  </si>
  <si>
    <t>80-120</t>
  </si>
  <si>
    <t>Flathead grey mullet (Mugil cephalus)</t>
  </si>
  <si>
    <t>Striped bass, hybrid (Morone chrysops x M. saxatilis)</t>
  </si>
  <si>
    <t>816-816</t>
  </si>
  <si>
    <t>Crucian carp (Carassius carassius)</t>
  </si>
  <si>
    <t>Blue tilapia (Oreochromis aureus)</t>
  </si>
  <si>
    <t>Atlantic halibut (Hippoglossus hippoglossus)</t>
  </si>
  <si>
    <t>3,000-5,000</t>
  </si>
  <si>
    <t>Atlantic cod (Gadus morhua)</t>
  </si>
  <si>
    <t>2,000-5,000</t>
  </si>
  <si>
    <t>American yellow perch (Perca flavescens)</t>
  </si>
  <si>
    <t>227-227</t>
  </si>
  <si>
    <t>Marine fishes nei</t>
  </si>
  <si>
    <t>38-97</t>
  </si>
  <si>
    <t>Freshwater fishes nei</t>
  </si>
  <si>
    <t>Anchoveta(=Peruvian anchovy) (Engraulis ringens)</t>
  </si>
  <si>
    <t>10-29</t>
  </si>
  <si>
    <t>Alaska pollock(=Walleye poll.) (Theragra chalcogramma)</t>
  </si>
  <si>
    <t>227-1,000</t>
  </si>
  <si>
    <t>Skipjack tuna (Katsuwonus pelamis)</t>
  </si>
  <si>
    <t>2,000-10,000</t>
  </si>
  <si>
    <t>Atlantic herring (Clupea harengus)</t>
  </si>
  <si>
    <t>100-600</t>
  </si>
  <si>
    <t>Pacific chub mackerel (Scomber japonicus)</t>
  </si>
  <si>
    <t>100-750</t>
  </si>
  <si>
    <t>Largehead hairtail (Trichiurus lepturus)</t>
  </si>
  <si>
    <t>32-713</t>
  </si>
  <si>
    <t>Japanese anchovy (Engraulis japonicus)</t>
  </si>
  <si>
    <t>20-22</t>
  </si>
  <si>
    <t>Yellowfin tuna (Thunnus albacares)</t>
  </si>
  <si>
    <t>5,000-20,000</t>
  </si>
  <si>
    <t>Scads nei (Decapterus spp)</t>
  </si>
  <si>
    <t>63-231</t>
  </si>
  <si>
    <t>European pilchard(=Sardine) (Sardina pilchardus)</t>
  </si>
  <si>
    <t>69-127</t>
  </si>
  <si>
    <t>800-4,000</t>
  </si>
  <si>
    <t>Sardinellas nei (Sardinella spp)</t>
  </si>
  <si>
    <t>7-224</t>
  </si>
  <si>
    <t>Atlantic mackerel (Scomber scombrus)</t>
  </si>
  <si>
    <t>389-454</t>
  </si>
  <si>
    <t>Blue whiting(=Poutassou) (Micromesistius poutassou)</t>
  </si>
  <si>
    <t>135-340</t>
  </si>
  <si>
    <t>Chilean jack mackerel (Trachurus murphyi)</t>
  </si>
  <si>
    <t>200-1,000</t>
  </si>
  <si>
    <t>Croakers, drums nei</t>
  </si>
  <si>
    <t>38-96</t>
  </si>
  <si>
    <t>Cyprinids nei</t>
  </si>
  <si>
    <t>Araucanian herring (Strangomera bentincki)</t>
  </si>
  <si>
    <t>27-34</t>
  </si>
  <si>
    <t>Threadfin breams nei</t>
  </si>
  <si>
    <t>European sprat (Sprattus sprattus)</t>
  </si>
  <si>
    <t>17-17</t>
  </si>
  <si>
    <t>Capelin (Mallotus villosus)</t>
  </si>
  <si>
    <t>17-50</t>
  </si>
  <si>
    <t>Seerfishes nei</t>
  </si>
  <si>
    <t>Indian oil sardine (Sardinella longiceps)</t>
  </si>
  <si>
    <t>87-132</t>
  </si>
  <si>
    <t>Gulf menhaden (Brevoortia patronus)</t>
  </si>
  <si>
    <t>234-234</t>
  </si>
  <si>
    <t>Jack and horse mackerels nei (Trachurus spp)</t>
  </si>
  <si>
    <t>11-1,000</t>
  </si>
  <si>
    <t>European anchovy (Engraulis encrasicolus)</t>
  </si>
  <si>
    <t>8-38</t>
  </si>
  <si>
    <t>Pacific saury (Cololabis saira)</t>
  </si>
  <si>
    <t>83-83</t>
  </si>
  <si>
    <t>Clupeoids nei</t>
  </si>
  <si>
    <t>Pink(=Humpback) salmon (Oncorhynchus gorbuscha)</t>
  </si>
  <si>
    <t>1,364-2,273</t>
  </si>
  <si>
    <t>California pilchard (Sardinops sagax)</t>
  </si>
  <si>
    <t>120-183</t>
  </si>
  <si>
    <t>Pacific cod (Gadus macrocephalus)</t>
  </si>
  <si>
    <t>2,273-4,545</t>
  </si>
  <si>
    <t>Tilapias nei</t>
  </si>
  <si>
    <t>Yellow croaker (Larimichthys polyactis)</t>
  </si>
  <si>
    <t>229-499</t>
  </si>
  <si>
    <t>Bigeye tuna (Thunnus obesus)</t>
  </si>
  <si>
    <t>15,000-20,000</t>
  </si>
  <si>
    <t>Pacific herring (Clupea pallasii pallasii)</t>
  </si>
  <si>
    <t>64-400</t>
  </si>
  <si>
    <t>Sea catfishes nei</t>
  </si>
  <si>
    <t>Hilsa shad (Tenualosa ilisha)</t>
  </si>
  <si>
    <t>1,400-1,400</t>
  </si>
  <si>
    <t>Indian mackerel (Rastrelliger kanagurta)</t>
  </si>
  <si>
    <t>54-193</t>
  </si>
  <si>
    <t>Daggertooth pike conger (Muraenesox cinereus)</t>
  </si>
  <si>
    <t>10,689-10,689</t>
  </si>
  <si>
    <t>Atlantic chub mackerel (Scomber colias)</t>
  </si>
  <si>
    <t>Saithe(=Pollock) (Pollachius virens)</t>
  </si>
  <si>
    <t>2,200-4,500</t>
  </si>
  <si>
    <t>Haddock (Melanogrammus aeglefinus)</t>
  </si>
  <si>
    <t>900-1,800</t>
  </si>
  <si>
    <t>Silver pomfrets nei (Pampus spp)</t>
  </si>
  <si>
    <t>455-500</t>
  </si>
  <si>
    <t>Argentine hake (Merluccius hubbsi)</t>
  </si>
  <si>
    <t>400-600</t>
  </si>
  <si>
    <t>Frigate and bullet tunas (Auxis thazard, A. rochei)</t>
  </si>
  <si>
    <t>237-1,034</t>
  </si>
  <si>
    <t>Kawakawa (Euthynnus affinis)</t>
  </si>
  <si>
    <t>5,000-5,000</t>
  </si>
  <si>
    <t>Chum(=Keta=Dog) salmon (Oncorhynchus keta)</t>
  </si>
  <si>
    <t>3,182-8,182</t>
  </si>
  <si>
    <t>Round sardinella (Sardinella aurita)</t>
  </si>
  <si>
    <t>100-100</t>
  </si>
  <si>
    <t>Short mackerel</t>
  </si>
  <si>
    <t>Japanese pilchard (Sardinops sagax)</t>
  </si>
  <si>
    <t>Stolephorus anchovies nei (Stolephorus spp)</t>
  </si>
  <si>
    <t>3-22</t>
  </si>
  <si>
    <t>Indian mackerels nei</t>
  </si>
  <si>
    <t>Cape horse mackerel (Trachurus capensis)</t>
  </si>
  <si>
    <t>291-291</t>
  </si>
  <si>
    <t>Sandeels(=Sandlances) nei (Ammodytes spp)</t>
  </si>
  <si>
    <t>10-10</t>
  </si>
  <si>
    <t>Bonga shad (Ethmalosa fimbriata)</t>
  </si>
  <si>
    <t>143-292</t>
  </si>
  <si>
    <t>Cape hakes (Merluccius capensis,M.paradox.)</t>
  </si>
  <si>
    <t>465-2,030</t>
  </si>
  <si>
    <t>Nile perch (Lates niloticus)</t>
  </si>
  <si>
    <t>2,000-4,000</t>
  </si>
  <si>
    <t>Narrow-barred Spanish mackerel (Scomberomorus commerson)</t>
  </si>
  <si>
    <t>5,750-5,900</t>
  </si>
  <si>
    <t>North Pacific hake (Merluccius productus)</t>
  </si>
  <si>
    <t>500-1,035</t>
  </si>
  <si>
    <t>Mullets nei (Mugilidae)</t>
  </si>
  <si>
    <t>20-2,000</t>
  </si>
  <si>
    <t>Anchovies, etc. nei (Engraulidae)</t>
  </si>
  <si>
    <t>3-94</t>
  </si>
  <si>
    <t>Carangids nei</t>
  </si>
  <si>
    <t>Hairtails, scabbardfishes nei</t>
  </si>
  <si>
    <t>Sharks, rays, skates, etc. nei</t>
  </si>
  <si>
    <t>5,950-10,539</t>
  </si>
  <si>
    <t>Longtail tuna (Thunnus tonggol)</t>
  </si>
  <si>
    <t>Pacific thread herring (Opisthonema libertate)</t>
  </si>
  <si>
    <t>33-110</t>
  </si>
  <si>
    <t>Nile tilapia (Oreochromis niloticus niloticus)</t>
  </si>
  <si>
    <t>2,000-2,000</t>
  </si>
  <si>
    <t>Silver cyprinid</t>
  </si>
  <si>
    <t>Japanese jack mackerel (Trachurus japonicus)</t>
  </si>
  <si>
    <t>15-84</t>
  </si>
  <si>
    <t>Albacore (Thunnus alalunga)</t>
  </si>
  <si>
    <t>4,540-21,364</t>
  </si>
  <si>
    <t>Porgies, seabreams nei</t>
  </si>
  <si>
    <t>Bombay-duck (Harpadon nehereus)</t>
  </si>
  <si>
    <t>5-69</t>
  </si>
  <si>
    <t>Flatfishes nei</t>
  </si>
  <si>
    <t>Ponyfishes(=Slipmouths) nei</t>
  </si>
  <si>
    <t>Southern African anchovy (Engraulis capensis)</t>
  </si>
  <si>
    <t>Goldstripe sardinella (Sardinella gibbosa)</t>
  </si>
  <si>
    <t>10-55</t>
  </si>
  <si>
    <t>Jacks, crevalles nei</t>
  </si>
  <si>
    <t>Atlantic menhaden (Brevoortia tyrannus)</t>
  </si>
  <si>
    <t>162-349</t>
  </si>
  <si>
    <t>Bigeye scad (Selar crumenophthalmus)</t>
  </si>
  <si>
    <t>230-230</t>
  </si>
  <si>
    <t>Filefishes nei</t>
  </si>
  <si>
    <t>Atlantic horse mackerel (Trachurus trachurus)</t>
  </si>
  <si>
    <t>160-160</t>
  </si>
  <si>
    <t>Pacific sandlance (Ammodytes personatus)</t>
  </si>
  <si>
    <t>46-46</t>
  </si>
  <si>
    <t>Yellowstripe scad (Selaroides leptolepis)</t>
  </si>
  <si>
    <t>64-66</t>
  </si>
  <si>
    <t>Madeiran sardinella (Sardinella maderensis)</t>
  </si>
  <si>
    <t>30-224</t>
  </si>
  <si>
    <t>Sockeye(=Red) salmon (Oncorhynchus nerka)</t>
  </si>
  <si>
    <t>2,300-5,000</t>
  </si>
  <si>
    <t>Freshwater siluroids nei</t>
  </si>
  <si>
    <t>Pacific anchoveta (Cetengraulis mysticetus)</t>
  </si>
  <si>
    <t>11-24</t>
  </si>
  <si>
    <t>Groupers nei</t>
  </si>
  <si>
    <t>Patagonian grenadier (Macruronus magellanicus)</t>
  </si>
  <si>
    <t>993-2,103</t>
  </si>
  <si>
    <t>So-iny (redlip) mullet (Chelon haematocheilus)</t>
  </si>
  <si>
    <t>1,238-1,238</t>
  </si>
  <si>
    <t>Snappers nei</t>
  </si>
  <si>
    <t>Indian scad (Decapterus russelli)</t>
  </si>
  <si>
    <t>50-50</t>
  </si>
  <si>
    <t>Blue grenadier (Macruronus novaezelandiae)</t>
  </si>
  <si>
    <t>1,500-1,500</t>
  </si>
  <si>
    <t>Okhotsk atka mackerel (Pleurogrammus azonus)</t>
  </si>
  <si>
    <t>1,295-1,295</t>
  </si>
  <si>
    <t>Rays, stingrays, mantas nei</t>
  </si>
  <si>
    <t>Yellowfin sole (Limanda aspera)</t>
  </si>
  <si>
    <t>200-200</t>
  </si>
  <si>
    <t>Southern African pilchard (Sardinops sagax)</t>
  </si>
  <si>
    <t>909-1,364</t>
  </si>
  <si>
    <t>Barracudas nei (Sphyraena spp)</t>
  </si>
  <si>
    <t>187-9,072</t>
  </si>
  <si>
    <t>Silver croaker</t>
  </si>
  <si>
    <t>Lizardfishes nei</t>
  </si>
  <si>
    <t>Goatfishes (Upeneus spp)</t>
  </si>
  <si>
    <t>7-189</t>
  </si>
  <si>
    <t>Amberjacks nei (Seriola spp)</t>
  </si>
  <si>
    <t>1,057-27,300</t>
  </si>
  <si>
    <t>Greenland halibut (Reinhardtius hippoglossoides)</t>
  </si>
  <si>
    <t>2,273-25,000</t>
  </si>
  <si>
    <t>Swordfish (Xiphias gladius)</t>
  </si>
  <si>
    <t>31,000-60,000</t>
  </si>
  <si>
    <t>Blue shark (Prionace glauca)</t>
  </si>
  <si>
    <t>14,412-16,562</t>
  </si>
  <si>
    <t>Torpedo scad (Megalaspis cordyla)</t>
  </si>
  <si>
    <t>931-931</t>
  </si>
  <si>
    <t>Snakeheads(=Murrels) nei</t>
  </si>
  <si>
    <t>Bigeyes nei (Priacanthus spp)</t>
  </si>
  <si>
    <t>50-618</t>
  </si>
  <si>
    <t>Frigate tuna (Auxis thazard thazard)</t>
  </si>
  <si>
    <t>Common dolphinfish (Coryphaena hippurus)</t>
  </si>
  <si>
    <t>28,000-28,000</t>
  </si>
  <si>
    <t>European hake (Merluccius merluccius)</t>
  </si>
  <si>
    <t>1,800-1,800</t>
  </si>
  <si>
    <t>Fusiliers nei</t>
  </si>
  <si>
    <t>Percoids nei</t>
  </si>
  <si>
    <t>Common carp (Cyprinus carpio carpio)</t>
  </si>
  <si>
    <t>2,000-15,000</t>
  </si>
  <si>
    <t>Whitemouth croaker (Micropogonias furnieri)</t>
  </si>
  <si>
    <t>638-1,023</t>
  </si>
  <si>
    <t>European plaice (Pleuronectes platessa)</t>
  </si>
  <si>
    <t>1,100-1,100</t>
  </si>
  <si>
    <t>Red-eye round herring (Etrumeus teres)</t>
  </si>
  <si>
    <t>63-63</t>
  </si>
  <si>
    <t>1,500-14,000</t>
  </si>
  <si>
    <t>Threadfins, tasselfishes nei</t>
  </si>
  <si>
    <t>Torpedo-shaped catfishes nei</t>
  </si>
  <si>
    <t>Emperors(=Scavengers) nei</t>
  </si>
  <si>
    <t>Characins nei</t>
  </si>
  <si>
    <t>Elongate ilisha (Ilisha elongata)</t>
  </si>
  <si>
    <t>31-42</t>
  </si>
  <si>
    <t>South Pacific hake (Merluccius gayi gayi)</t>
  </si>
  <si>
    <t>886-2,699</t>
  </si>
  <si>
    <t>Tuna-like fishes nei (Scombroidei)</t>
  </si>
  <si>
    <t>54-180,000</t>
  </si>
  <si>
    <t>Large yellow croaker (Larimichthys crocea)</t>
  </si>
  <si>
    <t>451-3,490</t>
  </si>
  <si>
    <t>Spinefeet(=Rabbitfishes) nei</t>
  </si>
  <si>
    <t>Black pomfret (Parastromateus niger)</t>
  </si>
  <si>
    <t>583-583</t>
  </si>
  <si>
    <t>Grunts, sweetlips nei</t>
  </si>
  <si>
    <t>Butterfishes, pomfrets nei (Stromateidae)</t>
  </si>
  <si>
    <t>80-500</t>
  </si>
  <si>
    <t>Southern blue whiting (Micromesistius australis)</t>
  </si>
  <si>
    <t>Brazilian sardinella (Sardinella janeiro)</t>
  </si>
  <si>
    <t>72-72</t>
  </si>
  <si>
    <t>Snappers, jobfishes nei</t>
  </si>
  <si>
    <t>Mote sculpin</t>
  </si>
  <si>
    <t>Cunene horse mackerel (Trachurus trecae)</t>
  </si>
  <si>
    <t>21-498</t>
  </si>
  <si>
    <t>Bali sardinella (Sardinella lemuru)</t>
  </si>
  <si>
    <t>49-112</t>
  </si>
  <si>
    <t>Striped snakehead</t>
  </si>
  <si>
    <t>Black and Caspian Sea sprat (Clupeonella cultriventris)</t>
  </si>
  <si>
    <t>3-4</t>
  </si>
  <si>
    <t>Lake Malawi sardine (Engraulicypris sardella)</t>
  </si>
  <si>
    <t>Beaked redfish (Sebastes mentella)</t>
  </si>
  <si>
    <t>195-195</t>
  </si>
  <si>
    <t>Demersal percomorphs nei</t>
  </si>
  <si>
    <t>Flyingfishes nei</t>
  </si>
  <si>
    <t>Groupers, seabasses nei</t>
  </si>
  <si>
    <t>Japanese Spanish mackerel (Scomberomorus niphonius)</t>
  </si>
  <si>
    <t>1,562-2,130</t>
  </si>
  <si>
    <t>Golden redfish</t>
  </si>
  <si>
    <t>Norway pout (Trisopterus esmarkii)</t>
  </si>
  <si>
    <t>20-28</t>
  </si>
  <si>
    <t>Threadfin and dwarf breams nei</t>
  </si>
  <si>
    <t>Rock sole</t>
  </si>
  <si>
    <t>Dagaas (=Kapenta) (Stolothrissa, Limnothrissa spp)</t>
  </si>
  <si>
    <t>Boarfish</t>
  </si>
  <si>
    <t>Wolf-herrings nei (Chirocentrus spp)</t>
  </si>
  <si>
    <t>90-757</t>
  </si>
  <si>
    <t>Silver pomfret (Pampus argenteus)</t>
  </si>
  <si>
    <t>Prochilods nei</t>
  </si>
  <si>
    <t>Mackerels nei</t>
  </si>
  <si>
    <t>5,411-8,249</t>
  </si>
  <si>
    <t>Whitehead's round herring (Etrumeus whiteheadi)</t>
  </si>
  <si>
    <t>29-40</t>
  </si>
  <si>
    <t>Atka mackerel (Pleurogrammus monopterygius)</t>
  </si>
  <si>
    <t>697-748</t>
  </si>
  <si>
    <t>Indo-Pacific king mackerel (Scomberomorus guttatus)</t>
  </si>
  <si>
    <t>730-730</t>
  </si>
  <si>
    <t>Atlantic redfishes nei (Sebastes spp)</t>
  </si>
  <si>
    <t>109-1,284</t>
  </si>
  <si>
    <t>Mi-iuy (brown) croaker</t>
  </si>
  <si>
    <t>Tilefishes nei</t>
  </si>
  <si>
    <t>Freshwater bream (Abramis brama)</t>
  </si>
  <si>
    <t>3,600-3,600</t>
  </si>
  <si>
    <t>West African croakers nei</t>
  </si>
  <si>
    <t>Chocolate hind</t>
  </si>
  <si>
    <t>Gobies nei</t>
  </si>
  <si>
    <t>Whiting (Merlangius merlangus)</t>
  </si>
  <si>
    <t>122-165</t>
  </si>
  <si>
    <t>Scorpionfishes, redfishes nei</t>
  </si>
  <si>
    <t>Halfbeaks nei</t>
  </si>
  <si>
    <t>Pacific ocean perch (Sebastes alutus)</t>
  </si>
  <si>
    <t>Eastern Pacific bonito (Sarda chiliensis chiliensis)</t>
  </si>
  <si>
    <t>4,000-4,000</t>
  </si>
  <si>
    <t>Silver barb</t>
  </si>
  <si>
    <t>Snoek (Thyrsites atun)</t>
  </si>
  <si>
    <t>2,289-2,289</t>
  </si>
  <si>
    <t>Californian anchovy (Engraulis mordax)</t>
  </si>
  <si>
    <t>22-22</t>
  </si>
  <si>
    <t>Ling</t>
  </si>
  <si>
    <t>Cichlids nei</t>
  </si>
  <si>
    <t>Arrowtooth flounder (Atheresthes stomias)</t>
  </si>
  <si>
    <t>131-260</t>
  </si>
  <si>
    <t>Nurse tetra (Brycinus nurse)</t>
  </si>
  <si>
    <t>Stingrays, butterfly rays nei</t>
  </si>
  <si>
    <t>Blue marlin (Makaira nigricans)</t>
  </si>
  <si>
    <t>180,000-180,000</t>
  </si>
  <si>
    <t>Bogue (Boops boops)</t>
  </si>
  <si>
    <t>58-112</t>
  </si>
  <si>
    <t>Argentines (Argentina spp)</t>
  </si>
  <si>
    <t>56-1,079</t>
  </si>
  <si>
    <t>Elephantsnout fishes nei</t>
  </si>
  <si>
    <t>Requiem sharks nei</t>
  </si>
  <si>
    <t>Common sole (Solea solea)</t>
  </si>
  <si>
    <t>23-971</t>
  </si>
  <si>
    <t>False trevally</t>
  </si>
  <si>
    <t>Pink cusk-eel (Genypterus blacodes)</t>
  </si>
  <si>
    <t>Rainbow sardine (Dussumieria acuta)</t>
  </si>
  <si>
    <t>23-28</t>
  </si>
  <si>
    <t>Pelagic percomorphs nei</t>
  </si>
  <si>
    <t>Southern hake</t>
  </si>
  <si>
    <t>Mudfish</t>
  </si>
  <si>
    <t>Monkfishes nei</t>
  </si>
  <si>
    <t>Goatfishes, red mullets nei (Mullidae)</t>
  </si>
  <si>
    <t>7-313</t>
  </si>
  <si>
    <t>Antarctic rockcods, noties nei (Nototheniidae)</t>
  </si>
  <si>
    <t>21-10,000</t>
  </si>
  <si>
    <t>Atlantic bonito (Sarda sarda)</t>
  </si>
  <si>
    <t>1,818-5,000</t>
  </si>
  <si>
    <t>Falkland sprat (Sprattus fuegensis)</t>
  </si>
  <si>
    <t>16-19</t>
  </si>
  <si>
    <t>Queenfishes</t>
  </si>
  <si>
    <t>154-154</t>
  </si>
  <si>
    <t>Saffron cod</t>
  </si>
  <si>
    <t>Bigeye grunt (Brachydeuterus auritus)</t>
  </si>
  <si>
    <t>10-45</t>
  </si>
  <si>
    <t>Climbing perch</t>
  </si>
  <si>
    <t>Angler(=Monk) (Lophius piscatorius)</t>
  </si>
  <si>
    <t>30,000-30,000</t>
  </si>
  <si>
    <t>Indo-Pacific sailfish (Istiophorus platypterus)</t>
  </si>
  <si>
    <t>13,640-27,270</t>
  </si>
  <si>
    <t>Tonguefishes</t>
  </si>
  <si>
    <t>Japanese scad (Decapterus maruadsi)</t>
  </si>
  <si>
    <t>Longtail Southern cod</t>
  </si>
  <si>
    <t>Dentex nei</t>
  </si>
  <si>
    <t>European perch (Perca fluviatilis)</t>
  </si>
  <si>
    <t>1,200-1,200</t>
  </si>
  <si>
    <t>Shortfin scad</t>
  </si>
  <si>
    <t>Pacific halibut (Hippoglossus stenolepis)</t>
  </si>
  <si>
    <t>13,640-18,180</t>
  </si>
  <si>
    <t>Grass carp(=White amur) (Ctenopharyngodon idella)</t>
  </si>
  <si>
    <t>29,540-36,360</t>
  </si>
  <si>
    <t>Northern pike (Esox lucius)</t>
  </si>
  <si>
    <t>4,500-4,500</t>
  </si>
  <si>
    <t>Weakfishes nei</t>
  </si>
  <si>
    <t>Greater lizardfish</t>
  </si>
  <si>
    <t>Indian halibut (Psettodes erumei)</t>
  </si>
  <si>
    <t>941-941</t>
  </si>
  <si>
    <t>Tusk(=Cusk) (Brosme brosme)</t>
  </si>
  <si>
    <t>8,000-8,000</t>
  </si>
  <si>
    <t>Rays and skates nei</t>
  </si>
  <si>
    <t>Silver seabream</t>
  </si>
  <si>
    <t>Sillago-whitings</t>
  </si>
  <si>
    <t>Bobo croaker (Pseudotolithus elongatus)</t>
  </si>
  <si>
    <t>216-216</t>
  </si>
  <si>
    <t>Giant African threadfin</t>
  </si>
  <si>
    <t>Grenadiers, rattails nei</t>
  </si>
  <si>
    <t>Spotted sardinella</t>
  </si>
  <si>
    <t>Laulao catfish</t>
  </si>
  <si>
    <t>Silversides(=Sand smelts) nei</t>
  </si>
  <si>
    <t>Patagonian toothfish (Dissostichus eleginoides)</t>
  </si>
  <si>
    <t>9,000-10,000</t>
  </si>
  <si>
    <t>Mediterranean horse mackerel (Trachurus mediterraneus)</t>
  </si>
  <si>
    <t>11-600</t>
  </si>
  <si>
    <t>Coho(=Silver) salmon (Oncorhynchus kisutch)</t>
  </si>
  <si>
    <t>6,000-6,000</t>
  </si>
  <si>
    <t>Asian redtail catfish</t>
  </si>
  <si>
    <t>Pike-congers nei</t>
  </si>
  <si>
    <t>West African ilisha</t>
  </si>
  <si>
    <t>Atlantic bumper (Chloroscombrus chrysurus)</t>
  </si>
  <si>
    <t>21-140</t>
  </si>
  <si>
    <t>Upsidedown catfishes</t>
  </si>
  <si>
    <t>Sablefish (Anoplopoma fimbria)</t>
  </si>
  <si>
    <t>4,536-4,536</t>
  </si>
  <si>
    <t>Little tunny(=Atl.black skipj) (Euthynnus alletteratus)</t>
  </si>
  <si>
    <t>3,723-5,548</t>
  </si>
  <si>
    <t>Acoupa weakfish (Cynoscion acoupa)</t>
  </si>
  <si>
    <t>European flounder (Platichthys flesus)</t>
  </si>
  <si>
    <t>239-367</t>
  </si>
  <si>
    <t>Southern rays bream (Brama australis)</t>
  </si>
  <si>
    <t>Needlefishes nei</t>
  </si>
  <si>
    <t>Stripped weakfish (Cynoscion guatucupa)</t>
  </si>
  <si>
    <t>Naked catfishes</t>
  </si>
  <si>
    <t>Longnose anchovy</t>
  </si>
  <si>
    <t>Argentine anchovy (Engraulis anchoita)</t>
  </si>
  <si>
    <t>4-31</t>
  </si>
  <si>
    <t>Leopard coralgrouper</t>
  </si>
  <si>
    <t>Yellow striped flounder</t>
  </si>
  <si>
    <t>Moonfish</t>
  </si>
  <si>
    <t>Rainbow runner (Elagatis bipinnulata)</t>
  </si>
  <si>
    <t>10,000-10,000</t>
  </si>
  <si>
    <t>African Bonytongue (Heterotis niloticus)</t>
  </si>
  <si>
    <t>2,244-3,060</t>
  </si>
  <si>
    <t>Wrasses, hogfishes, etc. nei</t>
  </si>
  <si>
    <t>Chacunda gizzard shad (Anodontostoma chacunda)</t>
  </si>
  <si>
    <t>78-79</t>
  </si>
  <si>
    <t>Lesser African threadfin</t>
  </si>
  <si>
    <t>12,794-12,794</t>
  </si>
  <si>
    <t>Atlantic bluefin tuna (Thunnus thynnus)</t>
  </si>
  <si>
    <t>262,000-262,000</t>
  </si>
  <si>
    <t>Pacific menhaden (Ethmidium maculatum)</t>
  </si>
  <si>
    <t>39-53</t>
  </si>
  <si>
    <t>Pike-perch (Sander lucioperca)</t>
  </si>
  <si>
    <t>146-1,200</t>
  </si>
  <si>
    <t>Moras nei</t>
  </si>
  <si>
    <t>African lungfishes (Protopterus spp)</t>
  </si>
  <si>
    <t>217-5,100</t>
  </si>
  <si>
    <t>Mouthbrooding cichlids</t>
  </si>
  <si>
    <t>Roaches nei</t>
  </si>
  <si>
    <t>Bagrid catfish (Chrysichthys nigrodigitatus)</t>
  </si>
  <si>
    <t>951-1,296</t>
  </si>
  <si>
    <t>Flathead sole</t>
  </si>
  <si>
    <t>Indian pellona</t>
  </si>
  <si>
    <t>Silver hake (Merluccius bilinearis)</t>
  </si>
  <si>
    <t>1,298-1,524</t>
  </si>
  <si>
    <t>Talang queenfish</t>
  </si>
  <si>
    <t>Bluefish (Pomatomus saltatrix)</t>
  </si>
  <si>
    <t>1,943-1,943</t>
  </si>
  <si>
    <t>Pacific bluefin tuna (Thunnus orientalis)</t>
  </si>
  <si>
    <t>38,000-99,300</t>
  </si>
  <si>
    <t>Oilfish</t>
  </si>
  <si>
    <t>Black marlin (Makaira indica)</t>
  </si>
  <si>
    <t>85,000-90,000</t>
  </si>
  <si>
    <t>Kissing prochilodus (Semaprochilodus insignis)</t>
  </si>
  <si>
    <t>Argentine croaker (Umbrina canosai)</t>
  </si>
  <si>
    <t>394-739</t>
  </si>
  <si>
    <t>Picked dogfish (Squalus acanthias)</t>
  </si>
  <si>
    <t>3,000-4,500</t>
  </si>
  <si>
    <t>Blue mackerel (Scomber australasicus)</t>
  </si>
  <si>
    <t>Red mullet (Mullus barbatus barbatus)</t>
  </si>
  <si>
    <t>South American silver croaker</t>
  </si>
  <si>
    <t>Glass catfishes</t>
  </si>
  <si>
    <t>Lumpfish(=Lumpsucker) (Cyclopterus lumpus)</t>
  </si>
  <si>
    <t>2,000-7,000</t>
  </si>
  <si>
    <t>Southern meagre(=Mulloway)</t>
  </si>
  <si>
    <t>Whitespotted conger</t>
  </si>
  <si>
    <t>Pangasius djambal</t>
  </si>
  <si>
    <t>European conger (Conger conger)</t>
  </si>
  <si>
    <t>1,718-14,854</t>
  </si>
  <si>
    <t>King mackerel (Scomberomorus cavalla)</t>
  </si>
  <si>
    <t>Anglerfishes nei (Lophiidae)</t>
  </si>
  <si>
    <t>413-30,000</t>
  </si>
  <si>
    <t>Finfishes nei</t>
  </si>
  <si>
    <t>Surmullet (Mullus surmuletus)</t>
  </si>
  <si>
    <t>81-260</t>
  </si>
  <si>
    <t>Groundfishes nei</t>
  </si>
  <si>
    <t>Great barracuda (Sphyraena barracuda)</t>
  </si>
  <si>
    <t>907-9,072</t>
  </si>
  <si>
    <t>Atlantic wolffish (Anarhichas lupus)</t>
  </si>
  <si>
    <t>6,804-6,804</t>
  </si>
  <si>
    <t>Atlantic thread herring (Opisthonema oglinum)</t>
  </si>
  <si>
    <t>65-91</t>
  </si>
  <si>
    <t>Japanese sandfish</t>
  </si>
  <si>
    <t>Aba (Gymnarchus niloticus)</t>
  </si>
  <si>
    <t>4,070-5,550</t>
  </si>
  <si>
    <t>Common pandora</t>
  </si>
  <si>
    <t>Citharinus nei</t>
  </si>
  <si>
    <t>Snooks(=Robalos) nei</t>
  </si>
  <si>
    <t>Giant trevally</t>
  </si>
  <si>
    <t>Pelagic fishes nei</t>
  </si>
  <si>
    <t>Spangled emperor</t>
  </si>
  <si>
    <t>Lake Tanganyika sardine (Limnothrissa miodon)</t>
  </si>
  <si>
    <t>Pouting(=Bib)</t>
  </si>
  <si>
    <t>6,364-18,182</t>
  </si>
  <si>
    <t>Megrim</t>
  </si>
  <si>
    <t>Wels(=Som) catfish (Silurus glanis)</t>
  </si>
  <si>
    <t>100,000-200,000</t>
  </si>
  <si>
    <t>Smooth-hounds nei</t>
  </si>
  <si>
    <t>600-600</t>
  </si>
  <si>
    <t>Thresher sharks nei</t>
  </si>
  <si>
    <t>Salmonoids nei</t>
  </si>
  <si>
    <t>Shortfin mako (Isurus oxyrinchus)</t>
  </si>
  <si>
    <t>60,000-135,000</t>
  </si>
  <si>
    <t>King weakfish</t>
  </si>
  <si>
    <t>Kutum</t>
  </si>
  <si>
    <t>Kissing gourami</t>
  </si>
  <si>
    <t>Crevalle jack (Caranx hippos)</t>
  </si>
  <si>
    <t>1,361-2,268</t>
  </si>
  <si>
    <t>6,042-6,298</t>
  </si>
  <si>
    <t>Puffers nei</t>
  </si>
  <si>
    <t>Devil anglerfish</t>
  </si>
  <si>
    <t>Red porgy (Pagrus pagrus)</t>
  </si>
  <si>
    <t>660-660</t>
  </si>
  <si>
    <t>Atlantic pomfret (Brama brama)</t>
  </si>
  <si>
    <t>737-1,260</t>
  </si>
  <si>
    <t>Pacific sierra (Scomberomorus sierra)</t>
  </si>
  <si>
    <t>1,814-1,814</t>
  </si>
  <si>
    <t>Three spot gourami</t>
  </si>
  <si>
    <t>Southern bluefin tuna (Thunnus maccoyii)</t>
  </si>
  <si>
    <t>7,000-28,333</t>
  </si>
  <si>
    <t>Silver scabbardfish (Lepidopus caudatus)</t>
  </si>
  <si>
    <t>1,000-2,300</t>
  </si>
  <si>
    <t>Mangrove red snapper</t>
  </si>
  <si>
    <t>Surmullets(=Red mullets) nei (Mullus spp)</t>
  </si>
  <si>
    <t>81-1,000</t>
  </si>
  <si>
    <t>Marlins,sailfishes,etc. nei</t>
  </si>
  <si>
    <t>Orange roughy (Hoplostethus atlanticus)</t>
  </si>
  <si>
    <t>Gurnards, searobins nei</t>
  </si>
  <si>
    <t>Witch flounder (Glyptocephalus cynoglossus)</t>
  </si>
  <si>
    <t>300-1,000</t>
  </si>
  <si>
    <t>Common dab (Limanda limanda)</t>
  </si>
  <si>
    <t>166-178</t>
  </si>
  <si>
    <t>Spotted wolffish</t>
  </si>
  <si>
    <t>Lake Malawi utaka (Copadichromis virginalis)</t>
  </si>
  <si>
    <t>Lemon sole (Microstomus kitt)</t>
  </si>
  <si>
    <t>649-885</t>
  </si>
  <si>
    <t>John dory (Zeus faber)</t>
  </si>
  <si>
    <t>Triggerfishes, durgons nei</t>
  </si>
  <si>
    <t>Chinese gizzard shad</t>
  </si>
  <si>
    <t>Tarek</t>
  </si>
  <si>
    <t>Japanese seabass</t>
  </si>
  <si>
    <t>Polar cod (Boreogadus saida)</t>
  </si>
  <si>
    <t>83-112</t>
  </si>
  <si>
    <t>Netted prochilod</t>
  </si>
  <si>
    <t>Silver warehou</t>
  </si>
  <si>
    <t>Tadpole codling (Salilota australis)</t>
  </si>
  <si>
    <t>210-329</t>
  </si>
  <si>
    <t>Lake(=Common) whitefish (Coregonus clupeaformis)</t>
  </si>
  <si>
    <t>Various sharks nei</t>
  </si>
  <si>
    <t>Indonesian snakehead</t>
  </si>
  <si>
    <t>Greasy grouper</t>
  </si>
  <si>
    <t>American angler (Lophius americanus)</t>
  </si>
  <si>
    <t>3,182-6,818</t>
  </si>
  <si>
    <t>Bastard halibuts nei (Paralichthys spp)</t>
  </si>
  <si>
    <t>368-754</t>
  </si>
  <si>
    <t>Fourfinger threadfin</t>
  </si>
  <si>
    <t>Roach (Rutilus rutilus)</t>
  </si>
  <si>
    <t>69-255</t>
  </si>
  <si>
    <t>Striped marlin (Tetrapturus audax)</t>
  </si>
  <si>
    <t>56,750-113,500</t>
  </si>
  <si>
    <t>Humpback grouper</t>
  </si>
  <si>
    <t>Pollack</t>
  </si>
  <si>
    <t>150-150</t>
  </si>
  <si>
    <t>Hoplias aimara (Hoplias aimara)</t>
  </si>
  <si>
    <t>Orange-spotted grouper</t>
  </si>
  <si>
    <t>Whitefishes nei</t>
  </si>
  <si>
    <t>Freshwater perches nei</t>
  </si>
  <si>
    <t>Mystacoleucus padangensis</t>
  </si>
  <si>
    <t>Black scabbardfish (Aphanopus carbo)</t>
  </si>
  <si>
    <t>499-499</t>
  </si>
  <si>
    <t>Conger eels, etc. nei</t>
  </si>
  <si>
    <t>Dogfish sharks nei</t>
  </si>
  <si>
    <t>Terapon perches nei</t>
  </si>
  <si>
    <t>Yellowtail flounder (Limanda ferruginea)</t>
  </si>
  <si>
    <t>500-600</t>
  </si>
  <si>
    <t>Yellowtail snapper (Ocyurus chrysurus)</t>
  </si>
  <si>
    <t>750-2,000</t>
  </si>
  <si>
    <t>300-10,000</t>
  </si>
  <si>
    <t>Red pandora</t>
  </si>
  <si>
    <t>Gadiformes nei</t>
  </si>
  <si>
    <t>Lake Tanganyika sprat (Stolothrissa tanganicae)</t>
  </si>
  <si>
    <t>Pink ear emperor</t>
  </si>
  <si>
    <t>Grass-eaters nei</t>
  </si>
  <si>
    <t>Chinook(=Spring=King) salmon (Oncorhynchus tshawytscha)</t>
  </si>
  <si>
    <t>8,341-8,341</t>
  </si>
  <si>
    <t>Black seabream (Spondyliosoma cantharus)</t>
  </si>
  <si>
    <t>Brazilian flathead (Percophis brasiliensis)</t>
  </si>
  <si>
    <t>4-33</t>
  </si>
  <si>
    <t>Dover sole</t>
  </si>
  <si>
    <t>Atlantic Spanish mackerel (Scomberomorus maculatus)</t>
  </si>
  <si>
    <t>907-2,722</t>
  </si>
  <si>
    <t>Mojarras(=Silver-biddies) nei</t>
  </si>
  <si>
    <t>Surgeonfishes nei</t>
  </si>
  <si>
    <t>Goldfish (Carassius auratus auratus)</t>
  </si>
  <si>
    <t>7-567</t>
  </si>
  <si>
    <t>Bullet tuna (Auxis rochei rochei)</t>
  </si>
  <si>
    <t>861-890</t>
  </si>
  <si>
    <t>Gilded catfish2 (Brachyplatystoma rousseauxii)</t>
  </si>
  <si>
    <t>Pompanos nei</t>
  </si>
  <si>
    <t>Black catfishes nei (Chrysichthys spp)</t>
  </si>
  <si>
    <t>3-40,500</t>
  </si>
  <si>
    <t>Southern red snapper</t>
  </si>
  <si>
    <t>590-6,254</t>
  </si>
  <si>
    <t>Blue ling (Molva dypterygia)</t>
  </si>
  <si>
    <t>6,600-9,000</t>
  </si>
  <si>
    <t>Tigertooth croaker (Otolithes ruber)</t>
  </si>
  <si>
    <t>953-953</t>
  </si>
  <si>
    <t>Skinnycheek lanternfish</t>
  </si>
  <si>
    <t>Blue runner (Caranx crysos)</t>
  </si>
  <si>
    <t>1,164-1,164</t>
  </si>
  <si>
    <t>Smelts nei</t>
  </si>
  <si>
    <t>Walleye (Sander vitreus)</t>
  </si>
  <si>
    <t>907-1,814</t>
  </si>
  <si>
    <t>Senegalese hake</t>
  </si>
  <si>
    <t>Silvery lightfish</t>
  </si>
  <si>
    <t>Blue butterfish</t>
  </si>
  <si>
    <t>Soles nei</t>
  </si>
  <si>
    <t>Northern wolffish</t>
  </si>
  <si>
    <t>Pargo breams nei</t>
  </si>
  <si>
    <t>Kingklip (Genypterus capensis)</t>
  </si>
  <si>
    <t>3,300-4,500</t>
  </si>
  <si>
    <t>Greenback horse mackerel (Trachurus declivis)</t>
  </si>
  <si>
    <t>850-850</t>
  </si>
  <si>
    <t>Whitefin wolf-herring (Chirocentrus nudus)</t>
  </si>
  <si>
    <t>90-123</t>
  </si>
  <si>
    <t>Narrownose smooth-hound</t>
  </si>
  <si>
    <t>Whitespotted wedgefish</t>
  </si>
  <si>
    <t>Small-spotted catshark</t>
  </si>
  <si>
    <t>False scad (Caranx rhonchus)</t>
  </si>
  <si>
    <t>34-933</t>
  </si>
  <si>
    <t>Honeycomb grouper</t>
  </si>
  <si>
    <t>Dotted gizzard shad</t>
  </si>
  <si>
    <t>Dorab wolf-herring (Chirocentrus dorab)</t>
  </si>
  <si>
    <t>717-757</t>
  </si>
  <si>
    <t>Rubberlip grunt</t>
  </si>
  <si>
    <t>Piranhas nei (Serrasalmus spp)</t>
  </si>
  <si>
    <t>Corvina drum</t>
  </si>
  <si>
    <t>Brazilian codling (Urophycis brasiliensis)</t>
  </si>
  <si>
    <t>118-121</t>
  </si>
  <si>
    <t>Blue jack mackerel</t>
  </si>
  <si>
    <t>Freshwater gobies nei</t>
  </si>
  <si>
    <t>Diadromous clupeoids nei</t>
  </si>
  <si>
    <t>Bayad (Bagrus bajad)</t>
  </si>
  <si>
    <t>Nilem carp</t>
  </si>
  <si>
    <t>Monocle breams</t>
  </si>
  <si>
    <t>Vendace</t>
  </si>
  <si>
    <t>Striped weakfish</t>
  </si>
  <si>
    <t>21,000-21,000</t>
  </si>
  <si>
    <t>Indian threadfin (Leptomelanosoma indicum)</t>
  </si>
  <si>
    <t>Amer. plaice(=Long rough dab) (Hippoglossoides platessoides)</t>
  </si>
  <si>
    <t>909-2,500</t>
  </si>
  <si>
    <t>West African goatfish</t>
  </si>
  <si>
    <t>Hammerhead sharks, etc. nei</t>
  </si>
  <si>
    <t>African sicklefish (Drepane africana)</t>
  </si>
  <si>
    <t>165-225</t>
  </si>
  <si>
    <t>Blackbelly rosefish (Helicolenus dactylopterus dactylopterus)</t>
  </si>
  <si>
    <t>218-284</t>
  </si>
  <si>
    <t>Meagre</t>
  </si>
  <si>
    <t>Gilded catfish (Zungaro zungaro)</t>
  </si>
  <si>
    <t>Pacific cornetfish</t>
  </si>
  <si>
    <t>2,065-11,225</t>
  </si>
  <si>
    <t>Alfonsinos nei (Beryx spp)</t>
  </si>
  <si>
    <t>596-3,239</t>
  </si>
  <si>
    <t>Red codling (Pseudophycis bachus)</t>
  </si>
  <si>
    <t>1,500-2,500</t>
  </si>
  <si>
    <t>Scup (Stenotomus chrysops)</t>
  </si>
  <si>
    <t>750-750</t>
  </si>
  <si>
    <t>Atlantic saury (Scomberesox saurus saurus)</t>
  </si>
  <si>
    <t>80-110</t>
  </si>
  <si>
    <t>King soldier bream</t>
  </si>
  <si>
    <t>Javelin grunter</t>
  </si>
  <si>
    <t>Orfe(=Ide)</t>
  </si>
  <si>
    <t>Summer flounder (Paralichthys dentatus)</t>
  </si>
  <si>
    <t>907-2,268</t>
  </si>
  <si>
    <t>Atlantic croaker (Micropogonias undulatus)</t>
  </si>
  <si>
    <t>227-909</t>
  </si>
  <si>
    <t>Japanese threadfin bream (Nemipterus japonicus)</t>
  </si>
  <si>
    <t>42-309</t>
  </si>
  <si>
    <t>Shallow-water Cape hake (Merluccius capensis)</t>
  </si>
  <si>
    <t>490-2,030</t>
  </si>
  <si>
    <t>Eagle rays nei</t>
  </si>
  <si>
    <t>Silky shark</t>
  </si>
  <si>
    <t>Picarels nei</t>
  </si>
  <si>
    <t>Smooth oreo dory</t>
  </si>
  <si>
    <t>Atlantic searobins (Prionotus spp)</t>
  </si>
  <si>
    <t>121-527</t>
  </si>
  <si>
    <t>Pangas catfishes nei</t>
  </si>
  <si>
    <t>Loweye catfishes nei (Hypophthalmus spp)</t>
  </si>
  <si>
    <t>Roundnose grenadier (Coryphaenoides rupestris)</t>
  </si>
  <si>
    <t>372-507</t>
  </si>
  <si>
    <t>Cassava croaker (Pseudotolithus senegalensis)</t>
  </si>
  <si>
    <t>Megrims nei</t>
  </si>
  <si>
    <t>Oreo dories nei</t>
  </si>
  <si>
    <t>Paralabrax spp</t>
  </si>
  <si>
    <t>Pacific red snapper</t>
  </si>
  <si>
    <t>Bluefin gurnard (Chelidonichthys kumu)</t>
  </si>
  <si>
    <t>603-603</t>
  </si>
  <si>
    <t>Curimata cyprinoides (Curimata cyprinoides)</t>
  </si>
  <si>
    <t>Twobar seabream</t>
  </si>
  <si>
    <t>Sorubims nei (Pseudoplatystoma spp)</t>
  </si>
  <si>
    <t>Striped bonito (Sarda orientalis)</t>
  </si>
  <si>
    <t>3,000-3,000</t>
  </si>
  <si>
    <t>Northern red snapper (Lutjanus campechanus)</t>
  </si>
  <si>
    <t>European smelt</t>
  </si>
  <si>
    <t>Pandoras nei</t>
  </si>
  <si>
    <t>Tope shark (Galeorhinus galeus)</t>
  </si>
  <si>
    <t>25,000-25,000</t>
  </si>
  <si>
    <t>Warehou nei</t>
  </si>
  <si>
    <t>Australian salmon (Arripis trutta)</t>
  </si>
  <si>
    <t>200-3,500</t>
  </si>
  <si>
    <t>Red gurnard</t>
  </si>
  <si>
    <t>Parrotfishes nei</t>
  </si>
  <si>
    <t>White mullet</t>
  </si>
  <si>
    <t>Ponyfishes(=Slipmouths)</t>
  </si>
  <si>
    <t>Catfishes nei</t>
  </si>
  <si>
    <t>114-454</t>
  </si>
  <si>
    <t>Donkey croaker (Pennahia anea)</t>
  </si>
  <si>
    <t>172-172</t>
  </si>
  <si>
    <t>White grouper (Epinephelus aeneus)</t>
  </si>
  <si>
    <t>2,419-2,419</t>
  </si>
  <si>
    <t>Tanaka's snailfish (Liparis tanakae )</t>
  </si>
  <si>
    <t>Flatheads nei</t>
  </si>
  <si>
    <t>Sompat grunt</t>
  </si>
  <si>
    <t>Schizodon fasciatus (Schizodon fasciatus)</t>
  </si>
  <si>
    <t>Mantas, devil rays nei</t>
  </si>
  <si>
    <t>European eel (Anguilla anguilla)</t>
  </si>
  <si>
    <t>3,500-3,500</t>
  </si>
  <si>
    <t>8,836-8,836</t>
  </si>
  <si>
    <t>Sargo breams nei</t>
  </si>
  <si>
    <t>Sea trout (Salmo trutta trutta)</t>
  </si>
  <si>
    <t>Thornback ray (Raja clavata)</t>
  </si>
  <si>
    <t>Rex sole (Glyptocephalus zachirus)</t>
  </si>
  <si>
    <t>Rudd</t>
  </si>
  <si>
    <t>Wahoo (Acanthocybium solandri)</t>
  </si>
  <si>
    <t>4,536-38,636</t>
  </si>
  <si>
    <t>Hoven's carp</t>
  </si>
  <si>
    <t>Morwongs</t>
  </si>
  <si>
    <t>Tub gurnard (Chelidonichthys lucernus)</t>
  </si>
  <si>
    <t>220-464</t>
  </si>
  <si>
    <t>Freshwater breams nei</t>
  </si>
  <si>
    <t>Argentine angelshark (Squatina argentina)</t>
  </si>
  <si>
    <t>9,017-9,017</t>
  </si>
  <si>
    <t>White hake (Urophycis tenuis)</t>
  </si>
  <si>
    <t>2,361-3,656</t>
  </si>
  <si>
    <t>Gudgeons, sleepers nei</t>
  </si>
  <si>
    <t>Ridge scaled rattail</t>
  </si>
  <si>
    <t>Shads nei</t>
  </si>
  <si>
    <t>Salema</t>
  </si>
  <si>
    <t>Little skate (Raja erinacea)</t>
  </si>
  <si>
    <t>Pacific rudderfish</t>
  </si>
  <si>
    <t>Peruvian weakfish</t>
  </si>
  <si>
    <t>Antarctic toothfish (Dissostichus mawsoni)</t>
  </si>
  <si>
    <t>Alewife (Alosa pseudoharengus)</t>
  </si>
  <si>
    <t>227-273</t>
  </si>
  <si>
    <t>Jobfishes nei</t>
  </si>
  <si>
    <t>Wolffishes(=Catfishes) nei</t>
  </si>
  <si>
    <t>Chirostoma spp</t>
  </si>
  <si>
    <t>Black skipjack (Euthynnus lineatus)</t>
  </si>
  <si>
    <t>695-7,165</t>
  </si>
  <si>
    <t>Deep-sea smelt</t>
  </si>
  <si>
    <t>Winter flounder (Pseudopleuronectes americanus)</t>
  </si>
  <si>
    <t>Benguela hake (Merluccius polli)</t>
  </si>
  <si>
    <t>55-467</t>
  </si>
  <si>
    <t>Royal threadfin</t>
  </si>
  <si>
    <t>Pacific bumper</t>
  </si>
  <si>
    <t>Bartail flathead (Platycephalus indicus)</t>
  </si>
  <si>
    <t>166-969</t>
  </si>
  <si>
    <t>Lane snapper</t>
  </si>
  <si>
    <t>White trevally</t>
  </si>
  <si>
    <t>White seabream</t>
  </si>
  <si>
    <t>Hakes nei</t>
  </si>
  <si>
    <t>Mojarras, etc. nei</t>
  </si>
  <si>
    <t>Bluespot mullet (Valamugil seheli)</t>
  </si>
  <si>
    <t>Cuckoo ray</t>
  </si>
  <si>
    <t>White bream</t>
  </si>
  <si>
    <t>Klunzinger's mullet (Liza klunzingeri)</t>
  </si>
  <si>
    <t>African moonfish (Selene dorsalis)</t>
  </si>
  <si>
    <t>142-494</t>
  </si>
  <si>
    <t>River eels nei</t>
  </si>
  <si>
    <t>Serra Spanish mackerel (Scomberomorus brasiliensis)</t>
  </si>
  <si>
    <t>1,476-2,013</t>
  </si>
  <si>
    <t>Pond smelt</t>
  </si>
  <si>
    <t>Sand steenbras</t>
  </si>
  <si>
    <t>Greater Argentine (Argentina silus)</t>
  </si>
  <si>
    <t>300-1,079</t>
  </si>
  <si>
    <t>Triportheus angulatus (Triportheus angulatus)</t>
  </si>
  <si>
    <t>Common warehou (Seriolella brama)</t>
  </si>
  <si>
    <t>2,200-2,200</t>
  </si>
  <si>
    <t>Eeltail catfishes</t>
  </si>
  <si>
    <t>Burbot (Lota lota)</t>
  </si>
  <si>
    <t>497-497</t>
  </si>
  <si>
    <t>Kafue pike</t>
  </si>
  <si>
    <t>Black drum (Pogonias cromis)</t>
  </si>
  <si>
    <t>13,636-13,636</t>
  </si>
  <si>
    <t>Atlantic sailfish (Istiophorus albicans)</t>
  </si>
  <si>
    <t>18,140-27,220</t>
  </si>
  <si>
    <t>West African Spanish mackerel (Scomberomorus tritor)</t>
  </si>
  <si>
    <t>1,711-1,711</t>
  </si>
  <si>
    <t>Buccaneer anchovy (Encrasicholina punctifer)</t>
  </si>
  <si>
    <t>Kamchatka flounder</t>
  </si>
  <si>
    <t>European whitefish</t>
  </si>
  <si>
    <t>Choicy ruff</t>
  </si>
  <si>
    <t>Greater amberjack (Seriola dumerili)</t>
  </si>
  <si>
    <t>8,182-27,300</t>
  </si>
  <si>
    <t>Cabinza grunt (Isacia conceptionis)</t>
  </si>
  <si>
    <t>40-55</t>
  </si>
  <si>
    <t>Mystus nigriceps</t>
  </si>
  <si>
    <t>Sleek lates (Lates stappersii)</t>
  </si>
  <si>
    <t>Argentine seabass (Acanthistius brasilianus )</t>
  </si>
  <si>
    <t>Large-eye dentex</t>
  </si>
  <si>
    <t>Silver grunt</t>
  </si>
  <si>
    <t>Giant stargazer (Kathetostoma giganteum)</t>
  </si>
  <si>
    <t>Shortjaw leatherjacket</t>
  </si>
  <si>
    <t>Blackthroat seaperch (Doederleinia berycoides)</t>
  </si>
  <si>
    <t>So-iuy mullet (Mugil soiuy)</t>
  </si>
  <si>
    <t>67-247</t>
  </si>
  <si>
    <t>Sweetlips, rubberlips nei</t>
  </si>
  <si>
    <t>Hagfishes nei</t>
  </si>
  <si>
    <t>Croakers nei</t>
  </si>
  <si>
    <t>Jamaica weakfish (Cynoscion jamaicensis)</t>
  </si>
  <si>
    <t>Striped bass (Morone saxatilis)</t>
  </si>
  <si>
    <t>6,820-15,900</t>
  </si>
  <si>
    <t>Eulachon</t>
  </si>
  <si>
    <t>Giant featherback</t>
  </si>
  <si>
    <t>Thorntooth grenadier</t>
  </si>
  <si>
    <t>Seabasses nei</t>
  </si>
  <si>
    <t>Orangespotted trevally</t>
  </si>
  <si>
    <t>Pelagic thresher</t>
  </si>
  <si>
    <t>Ayu sweetfish (Plecoglossus altivelis altivelis)</t>
  </si>
  <si>
    <t>Alfonsino</t>
  </si>
  <si>
    <t>Vermilion snapper</t>
  </si>
  <si>
    <t>Batfishes (Platax spp)</t>
  </si>
  <si>
    <t>775-3,521</t>
  </si>
  <si>
    <t>Tench (Tinca tinca)</t>
  </si>
  <si>
    <t>3,900-3,900</t>
  </si>
  <si>
    <t>Argentine (Argentina sphyraena)</t>
  </si>
  <si>
    <t>56-64</t>
  </si>
  <si>
    <t>Threadsail filefish</t>
  </si>
  <si>
    <t>Caspian roach (Rutilus caspicus)</t>
  </si>
  <si>
    <t>Atlantic moonfish (Selene setapinnis)</t>
  </si>
  <si>
    <t>333-333</t>
  </si>
  <si>
    <t>Greater forkbeard</t>
  </si>
  <si>
    <t>Scats</t>
  </si>
  <si>
    <t>Brill (Scophthalmus rhombus)</t>
  </si>
  <si>
    <t>3,475-3,475</t>
  </si>
  <si>
    <t>John's snapper</t>
  </si>
  <si>
    <t>Dorado (Salminus brasiliensis)</t>
  </si>
  <si>
    <t>Unicorn cod</t>
  </si>
  <si>
    <t>Spotted sicklefish</t>
  </si>
  <si>
    <t>Forkbeard</t>
  </si>
  <si>
    <t>Tilapia shiranus (Oreochromis shiranus)</t>
  </si>
  <si>
    <t>Black oreo</t>
  </si>
  <si>
    <t>Guitarfishes, etc. nei</t>
  </si>
  <si>
    <t>Butter catfish</t>
  </si>
  <si>
    <t>Cape bonnetmouth (Emmelichthys nitidus nitidus)</t>
  </si>
  <si>
    <t>66-324</t>
  </si>
  <si>
    <t>Plownose chimaera</t>
  </si>
  <si>
    <t>1,155-1,575</t>
  </si>
  <si>
    <t>Law croaker (Pseudotolithus senegallus)</t>
  </si>
  <si>
    <t>6,080-6,080</t>
  </si>
  <si>
    <t>Brazilian groupers nei (Mycteroperca spp)</t>
  </si>
  <si>
    <t>660-26,000</t>
  </si>
  <si>
    <t>Blackfin goosefish</t>
  </si>
  <si>
    <t>Asp (Aspius aspius)</t>
  </si>
  <si>
    <t>2,720-2,720</t>
  </si>
  <si>
    <t>Guinean striped mojarra</t>
  </si>
  <si>
    <t>Gummy shark (Mustelus antarcticus)</t>
  </si>
  <si>
    <t>Pirapatinga</t>
  </si>
  <si>
    <t>Japanese sardinella (Sardinella zunasi)</t>
  </si>
  <si>
    <t>Spotted sorubim (Pseudoplatystoma corruscans)</t>
  </si>
  <si>
    <t>West African ladyfish</t>
  </si>
  <si>
    <t>Tinfoil barb</t>
  </si>
  <si>
    <t>Grenadiers nei</t>
  </si>
  <si>
    <t>Silver rasbora</t>
  </si>
  <si>
    <t>Bearded brotula (Brotula barbata)</t>
  </si>
  <si>
    <t>Lingcod (Ophiodon elongatus)</t>
  </si>
  <si>
    <t>9,072-13,608</t>
  </si>
  <si>
    <t>500-5,000</t>
  </si>
  <si>
    <t>Toli shad</t>
  </si>
  <si>
    <t>Blue catfish (Ictalurus furcatus)</t>
  </si>
  <si>
    <t>Tarakihi</t>
  </si>
  <si>
    <t>New Zealand blue cod</t>
  </si>
  <si>
    <t>Ocean whitefish</t>
  </si>
  <si>
    <t>West coast sole</t>
  </si>
  <si>
    <t>Giant gourami</t>
  </si>
  <si>
    <t>Sampa (Heterobranchus longifilis)</t>
  </si>
  <si>
    <t>Castaneta</t>
  </si>
  <si>
    <t>Puntioplites waandersi</t>
  </si>
  <si>
    <t>Argentinian sandperch (Pseudopercis semifasciata)</t>
  </si>
  <si>
    <t>2,200-3,000</t>
  </si>
  <si>
    <t>Duskytail grouper (Epinephelus bleekeri)</t>
  </si>
  <si>
    <t>Grey gurnard (Eutrigla gurnardus)</t>
  </si>
  <si>
    <t>538-574</t>
  </si>
  <si>
    <t>Silver sillago</t>
  </si>
  <si>
    <t>Boe drum (Pteroscion peli)</t>
  </si>
  <si>
    <t>98-114</t>
  </si>
  <si>
    <t>Canary drum(=Baardman) (Umbrina canariensis)</t>
  </si>
  <si>
    <t>2,400-2,400</t>
  </si>
  <si>
    <t>Blackfin tuna (Thunnus atlanticus)</t>
  </si>
  <si>
    <t>3,182-7,000</t>
  </si>
  <si>
    <t>95-95</t>
  </si>
  <si>
    <t>Red bigeye (Priacanthus macracanthus)</t>
  </si>
  <si>
    <t>3,306-3,306</t>
  </si>
  <si>
    <t>Blackbanded trevally (Seriolina nigrofasciata)</t>
  </si>
  <si>
    <t>Rough scad (Trachurus lathami)</t>
  </si>
  <si>
    <t>251-251</t>
  </si>
  <si>
    <t>Kingcroakers nei</t>
  </si>
  <si>
    <t>Lebranche mullet (Mugil liza)</t>
  </si>
  <si>
    <t>550-550</t>
  </si>
  <si>
    <t>Irish mojarra (Diapterus auratus)</t>
  </si>
  <si>
    <t>Peruvian moonfish</t>
  </si>
  <si>
    <t>Axillary seabream (Pagellus acarne)</t>
  </si>
  <si>
    <t>13-447</t>
  </si>
  <si>
    <t>Golden trevally</t>
  </si>
  <si>
    <t>Petrale sole (Eopsetta jordani)</t>
  </si>
  <si>
    <t>1,040-3,000</t>
  </si>
  <si>
    <t>Blonde ray (Raja brachyura)</t>
  </si>
  <si>
    <t>3,146-4,290</t>
  </si>
  <si>
    <t>Milk shark (Rhizoprionodon acutus)</t>
  </si>
  <si>
    <t>Dark ghost shark</t>
  </si>
  <si>
    <t>Kumakuma (Brachyplatystoma filamentosum)</t>
  </si>
  <si>
    <t>Red grouper (Epinephelus morio)</t>
  </si>
  <si>
    <t>Humphead wrasse</t>
  </si>
  <si>
    <t>Southern stingray</t>
  </si>
  <si>
    <t>Leerfish</t>
  </si>
  <si>
    <t>Bluenose warehou (Hyperoglyphe antarctica)</t>
  </si>
  <si>
    <t>Sichel</t>
  </si>
  <si>
    <t>Common snook</t>
  </si>
  <si>
    <t>Southwest Atlantic butterfish</t>
  </si>
  <si>
    <t>Panga seabream</t>
  </si>
  <si>
    <t>New Zealand rough skate (Zearaja nasuta)</t>
  </si>
  <si>
    <t>Peruvian rock seabass</t>
  </si>
  <si>
    <t>Thynnichthys vaillanti</t>
  </si>
  <si>
    <t>Peruvian banded croaker</t>
  </si>
  <si>
    <t>Deep-water Cape hake (Merluccius paradoxus)</t>
  </si>
  <si>
    <t>465-1,604</t>
  </si>
  <si>
    <t>Oscar (Astronotus ocellatus)</t>
  </si>
  <si>
    <t>Dogtooth tuna (Gymnosarda unicolor)</t>
  </si>
  <si>
    <t>Rhinofishes nei</t>
  </si>
  <si>
    <t>Glassfishes</t>
  </si>
  <si>
    <t>Arawana (Osteoglossum bicirrhosum )</t>
  </si>
  <si>
    <t>Indo-Pacific tarpon (Megalops cyprinoides)</t>
  </si>
  <si>
    <t>1,062-1,065</t>
  </si>
  <si>
    <t>Greater weever (Trachinus draco)</t>
  </si>
  <si>
    <t>78-110</t>
  </si>
  <si>
    <t>White warehou</t>
  </si>
  <si>
    <t>Ballyhoo halfbeak (Hemiramphus brasiliensis)</t>
  </si>
  <si>
    <t>134-134</t>
  </si>
  <si>
    <t>Spot croaker</t>
  </si>
  <si>
    <t>Saddled seabream</t>
  </si>
  <si>
    <t>Arapaima (Arapaima gigas)</t>
  </si>
  <si>
    <t>73,100-73,100</t>
  </si>
  <si>
    <t>Annular seabream</t>
  </si>
  <si>
    <t>Glass schilbid</t>
  </si>
  <si>
    <t>Yellowtail amberjack (Seriola lalandi)</t>
  </si>
  <si>
    <t>4,397-15,000</t>
  </si>
  <si>
    <t>Common dentex (Dentex dentex)</t>
  </si>
  <si>
    <t>1,260-2,350</t>
  </si>
  <si>
    <t>Haffara seabream</t>
  </si>
  <si>
    <t>Hapuku wreckfish (Polyprion oxygeneios)</t>
  </si>
  <si>
    <t>Buffalofishes nei (Ictiobus spp)</t>
  </si>
  <si>
    <t>908-6,810</t>
  </si>
  <si>
    <t>Poor cod</t>
  </si>
  <si>
    <t>Ghost shark</t>
  </si>
  <si>
    <t>Spotted ray</t>
  </si>
  <si>
    <t>Mackerel icefish</t>
  </si>
  <si>
    <t>Garfish (Belone belone)</t>
  </si>
  <si>
    <t>20-500</t>
  </si>
  <si>
    <t>Three-spined stickleback</t>
  </si>
  <si>
    <t>Rainbow smelt (Osmerus mordax mordax)</t>
  </si>
  <si>
    <t>85-85</t>
  </si>
  <si>
    <t>Blackspot(=red) seabream (Pagellus bogaraveo)</t>
  </si>
  <si>
    <t>658-772</t>
  </si>
  <si>
    <t>Yellow-edged lyretail</t>
  </si>
  <si>
    <t>Japanese smelt (Hypomesus nipponensis)</t>
  </si>
  <si>
    <t>Big-scale sand smelt (Atherina boyeri)</t>
  </si>
  <si>
    <t>3-9</t>
  </si>
  <si>
    <t>Angolan dentex (Dentex angolensis)</t>
  </si>
  <si>
    <t>101-386</t>
  </si>
  <si>
    <t>Scaled sardines (Harengula spp)</t>
  </si>
  <si>
    <t>19-32</t>
  </si>
  <si>
    <t>Abu mullet (Liza abu)</t>
  </si>
  <si>
    <t>Spotted estuary smooth-hound</t>
  </si>
  <si>
    <t>Dusky grouper (Epinephelus marginatus)</t>
  </si>
  <si>
    <t>44,079-44,079</t>
  </si>
  <si>
    <t>American gizzard shad (Dorosoma cepedianum)</t>
  </si>
  <si>
    <t>18-520</t>
  </si>
  <si>
    <t>Cape dory (Zeus capensis)</t>
  </si>
  <si>
    <t>Ladyfish (Elops saurus)</t>
  </si>
  <si>
    <t>Weevers nei</t>
  </si>
  <si>
    <t>Roughhead grenadier</t>
  </si>
  <si>
    <t>Golden threadfin bream (Nemipterus virgatus)</t>
  </si>
  <si>
    <t>208-231</t>
  </si>
  <si>
    <t>Silvery pout</t>
  </si>
  <si>
    <t>Blackchin tilapia (Sarotherodon melanotheron)</t>
  </si>
  <si>
    <t>Lanternfishes nei</t>
  </si>
  <si>
    <t>Common mora</t>
  </si>
  <si>
    <t>Manduba (Ageneiosus inermis)</t>
  </si>
  <si>
    <t>Needlefishes, etc. nei</t>
  </si>
  <si>
    <t>Masu(=Cherry) salmon (Oncorhynchus masou masou)</t>
  </si>
  <si>
    <t>Wedge sole</t>
  </si>
  <si>
    <t>Great Northern tilefish (Lopholatilus chamaeleonticeps)</t>
  </si>
  <si>
    <t>Starry ray</t>
  </si>
  <si>
    <t>Black seabass (Centropristis striata)</t>
  </si>
  <si>
    <t>227-2,750</t>
  </si>
  <si>
    <t>Spotted rose snapper</t>
  </si>
  <si>
    <t>Leporellus vittatus (Leporellus vittatus)</t>
  </si>
  <si>
    <t>Yellowtail scad</t>
  </si>
  <si>
    <t>Mackerel sharks,porbeagles nei</t>
  </si>
  <si>
    <t>White perch</t>
  </si>
  <si>
    <t>Spotted seabass</t>
  </si>
  <si>
    <t>Korean sandlance</t>
  </si>
  <si>
    <t>Giant catfish (Netuma thalassina)</t>
  </si>
  <si>
    <t>220-300</t>
  </si>
  <si>
    <t>Pacific jack mackerel (Trachurus symmetricus)</t>
  </si>
  <si>
    <t>190-1,866</t>
  </si>
  <si>
    <t>Wreckfish (Polyprion americanus)</t>
  </si>
  <si>
    <t>22,600-22,600</t>
  </si>
  <si>
    <t>Brazilian menhaden (Brevoortia aurea)</t>
  </si>
  <si>
    <t>67-91</t>
  </si>
  <si>
    <t>Chilean silverside</t>
  </si>
  <si>
    <t>Yellowtail rockfish</t>
  </si>
  <si>
    <t>Parona leatherjacket</t>
  </si>
  <si>
    <t>Forkbeards nei</t>
  </si>
  <si>
    <t>Banded astyanax (Astyanax fasciatus)</t>
  </si>
  <si>
    <t>Hogfish</t>
  </si>
  <si>
    <t>Pacific angelshark</t>
  </si>
  <si>
    <t>Lusitanian cownose ray (Rhinoptera marginata)</t>
  </si>
  <si>
    <t>Barred sorubim (Pseudoplatystoma fasciatum)</t>
  </si>
  <si>
    <t>Kitefin shark</t>
  </si>
  <si>
    <t>White grunt</t>
  </si>
  <si>
    <t>Pickhandle barracuda</t>
  </si>
  <si>
    <t>Streaked prochilod (Prochilodus lineatus)</t>
  </si>
  <si>
    <t>Snake mackerels, escolars nei</t>
  </si>
  <si>
    <t>Black cardinal fish (Epigonus telescopus)</t>
  </si>
  <si>
    <t>900-4,138</t>
  </si>
  <si>
    <t>Opah (Lampris guttatus)</t>
  </si>
  <si>
    <t>50,000-50,000</t>
  </si>
  <si>
    <t>Shortspine thornyhead</t>
  </si>
  <si>
    <t>Snubnose emperor</t>
  </si>
  <si>
    <t>Asian swamp eel (Monopterus albus )</t>
  </si>
  <si>
    <t>Alexandria pompano (Alectis alexandrinus)</t>
  </si>
  <si>
    <t>2,851-2,851</t>
  </si>
  <si>
    <t>Ratfishes nei</t>
  </si>
  <si>
    <t>Smooth weakfish (Cynoscion leiarchus)</t>
  </si>
  <si>
    <t>Baird's slickhead (Alepocephalus bairdii)</t>
  </si>
  <si>
    <t>33-2,431</t>
  </si>
  <si>
    <t>Silver gemfish</t>
  </si>
  <si>
    <t>Tarpon (Megalops atlanticus)</t>
  </si>
  <si>
    <t>40,000-40,000</t>
  </si>
  <si>
    <t>Malabar blood snapper (Lutjanus malabaricus)</t>
  </si>
  <si>
    <t>1,633-1,633</t>
  </si>
  <si>
    <t>Red hake (Urophycis chuss)</t>
  </si>
  <si>
    <t>Argentine menhaden (Brevoortia pectinata)</t>
  </si>
  <si>
    <t>Smooth-hound (Mustelus mustelus)</t>
  </si>
  <si>
    <t>4,508-19,539</t>
  </si>
  <si>
    <t>Lake trout(=Char)</t>
  </si>
  <si>
    <t>Largemouth black bass</t>
  </si>
  <si>
    <t>Morays nei</t>
  </si>
  <si>
    <t>American harvestfish</t>
  </si>
  <si>
    <t>Hampala barb</t>
  </si>
  <si>
    <t>Prochilodus mariae (Prochilodus mariae)</t>
  </si>
  <si>
    <t>Amazon sailfin catfish (Pterygoplichthys pardalis)</t>
  </si>
  <si>
    <t>Dogfishes and hounds nei</t>
  </si>
  <si>
    <t>American eel (Anguilla rostrata)</t>
  </si>
  <si>
    <t>1,364-1,364</t>
  </si>
  <si>
    <t>Plain bonito</t>
  </si>
  <si>
    <t>Bonefish (Albula vulpes)</t>
  </si>
  <si>
    <t>3,333-3,333</t>
  </si>
  <si>
    <t>Mirror dory</t>
  </si>
  <si>
    <t>Pontic shad</t>
  </si>
  <si>
    <t>Lake cisco (Coregonus artedi)</t>
  </si>
  <si>
    <t>832-832</t>
  </si>
  <si>
    <t>Ruffs, barrelfishes nei</t>
  </si>
  <si>
    <t>Semah mahseer</t>
  </si>
  <si>
    <t>Green weakfish (Cynoscion virescens)</t>
  </si>
  <si>
    <t>Cusk-eels, brotulas nei</t>
  </si>
  <si>
    <t>Escolar</t>
  </si>
  <si>
    <t>Black-streaked monocle bream</t>
  </si>
  <si>
    <t>Hector's lanternfish</t>
  </si>
  <si>
    <t>Striped piggy</t>
  </si>
  <si>
    <t>Redfish (Centroberyx affinis)</t>
  </si>
  <si>
    <t>160-600</t>
  </si>
  <si>
    <t>Nursehound</t>
  </si>
  <si>
    <t>Sheepshead (Archosargus probatocephalus)</t>
  </si>
  <si>
    <t>2,268-2,268</t>
  </si>
  <si>
    <t>Beardless barb</t>
  </si>
  <si>
    <t>Broad-barred king mackerel (Scomberomorus semifasciatus)</t>
  </si>
  <si>
    <t>Catsharks, nursehounds nei</t>
  </si>
  <si>
    <t>Cape elephantfish (Callorhinchus capensis)</t>
  </si>
  <si>
    <t>Atlantic emperor (Lethrinus atlanticus)</t>
  </si>
  <si>
    <t>509-511</t>
  </si>
  <si>
    <t>Signal barb</t>
  </si>
  <si>
    <t>Common silver-biddy</t>
  </si>
  <si>
    <t>Blackmouth catshark (Galeus melastomus)</t>
  </si>
  <si>
    <t>65-280</t>
  </si>
  <si>
    <t>Turbots nei</t>
  </si>
  <si>
    <t>Spotted weakfish (Cynoscion nebulosus)</t>
  </si>
  <si>
    <t>Dusky smooth-hound (Mustelus canis)</t>
  </si>
  <si>
    <t>6,752-6,752</t>
  </si>
  <si>
    <t>Redtail catfish (Phractocephalus hemioliopterus)</t>
  </si>
  <si>
    <t>Yellowfin seabream</t>
  </si>
  <si>
    <t>Trumpeters nei</t>
  </si>
  <si>
    <t>Filefishes, leatherjackets nei</t>
  </si>
  <si>
    <t>Catsharks, etc. nei</t>
  </si>
  <si>
    <t>Clown loach</t>
  </si>
  <si>
    <t>Blotched picarel (Spicara maena)</t>
  </si>
  <si>
    <t>19-298</t>
  </si>
  <si>
    <t>Yellownose skate (Zearaja chilensis)</t>
  </si>
  <si>
    <t>Sky emperor</t>
  </si>
  <si>
    <t>Cape gurnard (Chelidonichthys capensis)</t>
  </si>
  <si>
    <t>436-436</t>
  </si>
  <si>
    <t>Norway redfish</t>
  </si>
  <si>
    <t>Japanese icefish (Salangichthys microdon)</t>
  </si>
  <si>
    <t>Pemarco blackfish</t>
  </si>
  <si>
    <t>Stumpnoses nei (Rhabdosargus spp)</t>
  </si>
  <si>
    <t>Red cusk-eel</t>
  </si>
  <si>
    <t>Grey triggerfish</t>
  </si>
  <si>
    <t>Freshwater drum (Aplodinotus grunniens)</t>
  </si>
  <si>
    <t>New Zealand smooth skate (Dipturus innominatus)</t>
  </si>
  <si>
    <t>Golden grey mullet (Liza aurata)</t>
  </si>
  <si>
    <t>924-924</t>
  </si>
  <si>
    <t>Barbodes balleroides</t>
  </si>
  <si>
    <t>Flagfin mojarra (Eucinostomus melanopterus)</t>
  </si>
  <si>
    <t>Shortbill spearfish</t>
  </si>
  <si>
    <t>Thicklip grey mullet (Chelon labrosus)</t>
  </si>
  <si>
    <t>Rubyfish</t>
  </si>
  <si>
    <t>Trouts nei</t>
  </si>
  <si>
    <t>Common two-banded seabream</t>
  </si>
  <si>
    <t>Gulf butterfishes nei</t>
  </si>
  <si>
    <t>Japanese halfbeak</t>
  </si>
  <si>
    <t>South American pilchard (Sardinops sagax)</t>
  </si>
  <si>
    <t>Peruvian morwong</t>
  </si>
  <si>
    <t>Atlantic white marlin (Tetrapturus albidus)</t>
  </si>
  <si>
    <t>27,215-27,215</t>
  </si>
  <si>
    <t>White-blotched grouper</t>
  </si>
  <si>
    <t>Yellowbar angelfish</t>
  </si>
  <si>
    <t>Gizzard shad nei (Dorosoma spp)</t>
  </si>
  <si>
    <t>Cusk-eels nei</t>
  </si>
  <si>
    <t>Loricaria cataphracta (Loricaria cataphracta)</t>
  </si>
  <si>
    <t>Parrotfish</t>
  </si>
  <si>
    <t>Velvet leatherjacket</t>
  </si>
  <si>
    <t>Alestes baremoze (Alestes baremoze)</t>
  </si>
  <si>
    <t>S.Am. freshwater stingrays nei (Potamotrygon spp)</t>
  </si>
  <si>
    <t>Lophiosilurus alexandri (Lophiosilurus alexandri)</t>
  </si>
  <si>
    <t>Slender silver-biddy</t>
  </si>
  <si>
    <t>Areolate grouper</t>
  </si>
  <si>
    <t>Elongate tigerfish (Hydrocynus forskahlii)</t>
  </si>
  <si>
    <t>Scomber mackerels nei</t>
  </si>
  <si>
    <t>Gulf kingcroaker (Menticirrhus littoralis)</t>
  </si>
  <si>
    <t>454-454</t>
  </si>
  <si>
    <t>Trahira (Hoplias malabaricus)</t>
  </si>
  <si>
    <t>Caspian shads</t>
  </si>
  <si>
    <t>Australian pilchard (Sardinops sagax)</t>
  </si>
  <si>
    <t>Seven khramulya (Capoeta capoeta)</t>
  </si>
  <si>
    <t>Oceanic whitetip shark (Carcharhinus longimanus)</t>
  </si>
  <si>
    <t>35,000-70,000</t>
  </si>
  <si>
    <t>Spottail shark (Carcharhinus sorrah)</t>
  </si>
  <si>
    <t>Atractosteus spp</t>
  </si>
  <si>
    <t>Carpenter seabream</t>
  </si>
  <si>
    <t>King dory</t>
  </si>
  <si>
    <t>Ruffe</t>
  </si>
  <si>
    <t>Velvety cichlids</t>
  </si>
  <si>
    <t>Atlantic silverside (Menidia menidia)</t>
  </si>
  <si>
    <t>5-5</t>
  </si>
  <si>
    <t>Parore</t>
  </si>
  <si>
    <t>Ocean sunfish (Mola mola)</t>
  </si>
  <si>
    <t>1,000,000-1,000,000</t>
  </si>
  <si>
    <t>Barred grunt (Conodon nobilis)</t>
  </si>
  <si>
    <t>141-141</t>
  </si>
  <si>
    <t>Bigmouth sleeper</t>
  </si>
  <si>
    <t>Blackmouth croaker (Atrobucca nibe)</t>
  </si>
  <si>
    <t>93-93</t>
  </si>
  <si>
    <t>Sand sole</t>
  </si>
  <si>
    <t>African obscure snakehead (Parachanna obscura)</t>
  </si>
  <si>
    <t>Citharids nei</t>
  </si>
  <si>
    <t>Thinlip grey mullet (Liza ramada)</t>
  </si>
  <si>
    <t>Navaga(=Wachna cod)</t>
  </si>
  <si>
    <t>Squaretail coralgrouper</t>
  </si>
  <si>
    <t>Squirrelfishes nei</t>
  </si>
  <si>
    <t>Grey snapper</t>
  </si>
  <si>
    <t>Marbled lungfish (Protopterus aethiopicus aethiopicus)</t>
  </si>
  <si>
    <t>3,740-5,100</t>
  </si>
  <si>
    <t>Blackhead seabream (Acanthopagrus schlegelii schlegelii)</t>
  </si>
  <si>
    <t>704-960</t>
  </si>
  <si>
    <t>Two-spot red snapper (Lutjanus bohar)</t>
  </si>
  <si>
    <t>2,759-2,795</t>
  </si>
  <si>
    <t>Sculpins nei</t>
  </si>
  <si>
    <t>Widow rockfish (Sebastes entomelas)</t>
  </si>
  <si>
    <t>300-1,814</t>
  </si>
  <si>
    <t>Warty dory (Allocyttus verrucosus)</t>
  </si>
  <si>
    <t>Indian pompano</t>
  </si>
  <si>
    <t>Pomfrets, ocean breams nei</t>
  </si>
  <si>
    <t>Smallscaled grouper (Epinephelus polylepis)</t>
  </si>
  <si>
    <t>Bluespine unicornfish</t>
  </si>
  <si>
    <t>Malayan leaffish</t>
  </si>
  <si>
    <t>Malabar trevally</t>
  </si>
  <si>
    <t>Bleak (Alburnus alburnus)</t>
  </si>
  <si>
    <t>Broadgilled hagfish (Eptatretus cirrhatus)</t>
  </si>
  <si>
    <t>Five-lined snapper</t>
  </si>
  <si>
    <t>Knifefishes</t>
  </si>
  <si>
    <t>Cardinalfishes, etc. nei</t>
  </si>
  <si>
    <t>Roving coralgrouper</t>
  </si>
  <si>
    <t>American shad (Alosa sapidissima)</t>
  </si>
  <si>
    <t>907-2,272</t>
  </si>
  <si>
    <t>Mud sole</t>
  </si>
  <si>
    <t>English sole</t>
  </si>
  <si>
    <t>Geelbek croaker (Atractoscion aequidens)</t>
  </si>
  <si>
    <t>11,000-11,000</t>
  </si>
  <si>
    <t>Congo dentex</t>
  </si>
  <si>
    <t>Porbeagle (Lamna nasus)</t>
  </si>
  <si>
    <t>135,000-135,000</t>
  </si>
  <si>
    <t>Night shark (Carcharhinus signatus)</t>
  </si>
  <si>
    <t>Long pectoral-fin minnow</t>
  </si>
  <si>
    <t>Cardinal fishes nei</t>
  </si>
  <si>
    <t>European barracuda</t>
  </si>
  <si>
    <t>Vadigo</t>
  </si>
  <si>
    <t>Orange-striped emperor</t>
  </si>
  <si>
    <t>Porgies</t>
  </si>
  <si>
    <t>Coral hind</t>
  </si>
  <si>
    <t>Rabbit fish</t>
  </si>
  <si>
    <t>Sawsharks nei</t>
  </si>
  <si>
    <t>Bocon toadfish (Amphichthys cryptocentrus)</t>
  </si>
  <si>
    <t>Dealfish</t>
  </si>
  <si>
    <t>Cubera snapper</t>
  </si>
  <si>
    <t>Patagonian blennie</t>
  </si>
  <si>
    <t>Comber (Serranus cabrilla)</t>
  </si>
  <si>
    <t>Mexican barred snapper</t>
  </si>
  <si>
    <t>Ruff</t>
  </si>
  <si>
    <t>Grey rockcod</t>
  </si>
  <si>
    <t>Spadefishes nei</t>
  </si>
  <si>
    <t>Bloch's gizzard shad</t>
  </si>
  <si>
    <t>Honnibe croaker</t>
  </si>
  <si>
    <t>Lowfin gulper shark</t>
  </si>
  <si>
    <t>Humpback red snapper</t>
  </si>
  <si>
    <t>Sturgeons nei</t>
  </si>
  <si>
    <t>White bass</t>
  </si>
  <si>
    <t>Smallscale archerfish</t>
  </si>
  <si>
    <t>Yellow snapper</t>
  </si>
  <si>
    <t>Atlantic sharpnose shark</t>
  </si>
  <si>
    <t>Leafscale gulper shark</t>
  </si>
  <si>
    <t>86-86</t>
  </si>
  <si>
    <t>Thickback soles nei</t>
  </si>
  <si>
    <t>Blackspotted rubberlip</t>
  </si>
  <si>
    <t>Shrimp scad</t>
  </si>
  <si>
    <t>Aimara (Hoplerythrinus unitaeniatus)</t>
  </si>
  <si>
    <t>Picarel (Spicara smaris)</t>
  </si>
  <si>
    <t>Gars nei</t>
  </si>
  <si>
    <t>Hound needlefish</t>
  </si>
  <si>
    <t>Red scorpionfish</t>
  </si>
  <si>
    <t>Yellowfin hind</t>
  </si>
  <si>
    <t>Lefteye flounders nei</t>
  </si>
  <si>
    <t>Needlescaled queenfish</t>
  </si>
  <si>
    <t>River lamprey (Lampetra fluviatilis)</t>
  </si>
  <si>
    <t>48-81</t>
  </si>
  <si>
    <t>Silvery John dory</t>
  </si>
  <si>
    <t>Shagreen ray</t>
  </si>
  <si>
    <t>Gag (Mycteroperca microlepis)</t>
  </si>
  <si>
    <t>909-9,091</t>
  </si>
  <si>
    <t>Smooth hammerhead</t>
  </si>
  <si>
    <t>Blacktip shark (Carcharhinus limbatus)</t>
  </si>
  <si>
    <t>18,000-18,000</t>
  </si>
  <si>
    <t>Daggerhead breams nei</t>
  </si>
  <si>
    <t>Nurse shark (Ginglymostoma cirratum)</t>
  </si>
  <si>
    <t>90,000-150,000</t>
  </si>
  <si>
    <t>Black cusk-eel (Genypterus maculatus)</t>
  </si>
  <si>
    <t>523-523</t>
  </si>
  <si>
    <t>Angelsharks, sand devils nei (Squatinidae)</t>
  </si>
  <si>
    <t>1,684-19,794</t>
  </si>
  <si>
    <t>Barbel (Barbus barbus)</t>
  </si>
  <si>
    <t>1,800-3,636</t>
  </si>
  <si>
    <t>Latchet(=Sharpbeak gurnard)</t>
  </si>
  <si>
    <t>Doraops zuloagai (Doraops zuloagai)</t>
  </si>
  <si>
    <t>Gulf parrotfish</t>
  </si>
  <si>
    <t>Randall's threadfin bream</t>
  </si>
  <si>
    <t>Leporinus obtusidens (Leporinus obtusidens)</t>
  </si>
  <si>
    <t>Splendid alfonsino (Beryx splendens)</t>
  </si>
  <si>
    <t>3,102-3,239</t>
  </si>
  <si>
    <t>Vimba bream</t>
  </si>
  <si>
    <t>Yellowedge grouper (Epinephelus flavolimbatus)</t>
  </si>
  <si>
    <t>2,270-4,540</t>
  </si>
  <si>
    <t>Weeverfishes nei</t>
  </si>
  <si>
    <t>Thresher (Alopias vulpinus)</t>
  </si>
  <si>
    <t>113,500-113,500</t>
  </si>
  <si>
    <t>Ballan wrasse (Labrus bergylta)</t>
  </si>
  <si>
    <t>1,000-2,000</t>
  </si>
  <si>
    <t>Dungat grouper</t>
  </si>
  <si>
    <t>Shorthead drum (Larimus breviceps)</t>
  </si>
  <si>
    <t>Whitecheek shark (Carcharhinus dussumieri)</t>
  </si>
  <si>
    <t>Brown meagre (Sciaena umbra)</t>
  </si>
  <si>
    <t>524-1,790</t>
  </si>
  <si>
    <t>Southern lemon sole (Pelotretis flavilatus)</t>
  </si>
  <si>
    <t>Sandy ray</t>
  </si>
  <si>
    <t>Red hind</t>
  </si>
  <si>
    <t>Stargazer (Uranoscopus scaber)</t>
  </si>
  <si>
    <t>111-460</t>
  </si>
  <si>
    <t>Corkwing wrasse (Symphodus melops)</t>
  </si>
  <si>
    <t>Slender tuna</t>
  </si>
  <si>
    <t>Argentine goatfish (Mullus argentinae)</t>
  </si>
  <si>
    <t>110-149</t>
  </si>
  <si>
    <t>Sand flounders nei</t>
  </si>
  <si>
    <t>Chilipepper rockfish (Sebastes goodei)</t>
  </si>
  <si>
    <t>339-462</t>
  </si>
  <si>
    <t>Greenland cod</t>
  </si>
  <si>
    <t>Raphael catfish (Platydoras costatus)</t>
  </si>
  <si>
    <t>Largeeye breams</t>
  </si>
  <si>
    <t>Rusty jobfish</t>
  </si>
  <si>
    <t>Mexican barracuda (Sphyraena ensis)</t>
  </si>
  <si>
    <t>Bigeye thresher (Alopias superciliosus)</t>
  </si>
  <si>
    <t>160,000-160,000</t>
  </si>
  <si>
    <t>California flounder (Paralichthys californicus)</t>
  </si>
  <si>
    <t>7,260-9,900</t>
  </si>
  <si>
    <t>Bar jack (Carangoides ruber)</t>
  </si>
  <si>
    <t>454-909</t>
  </si>
  <si>
    <t>Small-eyed ray</t>
  </si>
  <si>
    <t>Duckbill catfish (Sorubim lima)</t>
  </si>
  <si>
    <t>Indian driftfish</t>
  </si>
  <si>
    <t>Grayling (Thymallus thymallus)</t>
  </si>
  <si>
    <t>300-800</t>
  </si>
  <si>
    <t>Birdbeak dogfish (Deania calcea)</t>
  </si>
  <si>
    <t>1,242-4,253</t>
  </si>
  <si>
    <t>Corocoro grunt (Orthopristis ruber)</t>
  </si>
  <si>
    <t>Minstrel sweetlips</t>
  </si>
  <si>
    <t>Pati (Luciopimelodus pati)</t>
  </si>
  <si>
    <t>Banded jewelfish (Hemichromis fasciatus)</t>
  </si>
  <si>
    <t>Sawfishes</t>
  </si>
  <si>
    <t>Bobo mullet (Joturus pichardi)</t>
  </si>
  <si>
    <t>247-247</t>
  </si>
  <si>
    <t>Yellowspotted trevally</t>
  </si>
  <si>
    <t>Yellow jack (Caranx bartholomaei)</t>
  </si>
  <si>
    <t>Argentinian silverside (Odontesthes bonariensis)</t>
  </si>
  <si>
    <t>Madamango sea catfish (Cathorops spixii)</t>
  </si>
  <si>
    <t>White weakfish</t>
  </si>
  <si>
    <t>Fat sleeper</t>
  </si>
  <si>
    <t>Smalltooth emperor</t>
  </si>
  <si>
    <t>Pacific guitarfish</t>
  </si>
  <si>
    <t>Southeast Atlantic soles nei</t>
  </si>
  <si>
    <t>Scalloped hammerhead (Sphyrna lewini)</t>
  </si>
  <si>
    <t>115,102-115,102</t>
  </si>
  <si>
    <t>Blue skate (Dipturus batis)</t>
  </si>
  <si>
    <t>5,232-44,213</t>
  </si>
  <si>
    <t>Green humphead parrotfish</t>
  </si>
  <si>
    <t>Jaguar guapote</t>
  </si>
  <si>
    <t>Obtuse barracuda</t>
  </si>
  <si>
    <t>Silver-stripe round herring (Spratelloides gracilis)</t>
  </si>
  <si>
    <t>Red bandfish</t>
  </si>
  <si>
    <t>Pelagic armourhead</t>
  </si>
  <si>
    <t>Potamorhina laticeps (Potamorhina laticeps)</t>
  </si>
  <si>
    <t>Portuguese dogfish</t>
  </si>
  <si>
    <t>Doublespotted queenfish</t>
  </si>
  <si>
    <t>Brushtooth lizardfish (Saurida undosquamis)</t>
  </si>
  <si>
    <t>21-361</t>
  </si>
  <si>
    <t>Blue antimora (Antimora rostrata)</t>
  </si>
  <si>
    <t>87-116</t>
  </si>
  <si>
    <t>Alestes spp (Alestes spp)</t>
  </si>
  <si>
    <t>Yellowstripe goatfish</t>
  </si>
  <si>
    <t>Common nase</t>
  </si>
  <si>
    <t>Tripletail</t>
  </si>
  <si>
    <t>Nassau grouper (Epinephelus striatus)</t>
  </si>
  <si>
    <t>4,540-4,540</t>
  </si>
  <si>
    <t>Fire eel</t>
  </si>
  <si>
    <t>Giant guitarfish (Rhynchobatus djiddensis)</t>
  </si>
  <si>
    <t>190,000-190,000</t>
  </si>
  <si>
    <t>Tiger sorubim (Pseudoplatystoma tigrinum)</t>
  </si>
  <si>
    <t>Sobaity seabream</t>
  </si>
  <si>
    <t>Squeteague(=Gray weakfish) (Cynoscion regalis)</t>
  </si>
  <si>
    <t>1,134-1,134</t>
  </si>
  <si>
    <t>Goldsinny-wrasse</t>
  </si>
  <si>
    <t>Hemibates stenosoma (Hemibates stenosoma)</t>
  </si>
  <si>
    <t>Chub</t>
  </si>
  <si>
    <t>Bigeye trevally</t>
  </si>
  <si>
    <t>Rocklings nei</t>
  </si>
  <si>
    <t>Argentine conger (Conger orbignianus)</t>
  </si>
  <si>
    <t>428-583</t>
  </si>
  <si>
    <t>Mango tilapia</t>
  </si>
  <si>
    <t>Florida pompano</t>
  </si>
  <si>
    <t>Santer seabream</t>
  </si>
  <si>
    <t>Transparent goby</t>
  </si>
  <si>
    <t>Longnosed skate</t>
  </si>
  <si>
    <t>Atlantic anchoveta (Cetengraulis edentulus)</t>
  </si>
  <si>
    <t>16-25</t>
  </si>
  <si>
    <t>Arctic char (Salvelinus alpinus alpinus)</t>
  </si>
  <si>
    <t>454-4,545</t>
  </si>
  <si>
    <t>Pilotfish</t>
  </si>
  <si>
    <t>Lampreys nei</t>
  </si>
  <si>
    <t>Shi drum</t>
  </si>
  <si>
    <t>Black rockfish (Sebastes melanops)</t>
  </si>
  <si>
    <t>1,056-1,440</t>
  </si>
  <si>
    <t>Flathead catfish</t>
  </si>
  <si>
    <t>Violet warehou</t>
  </si>
  <si>
    <t>Tautog</t>
  </si>
  <si>
    <t>River carpsucker (Carpiodes carpio)</t>
  </si>
  <si>
    <t>Crucifix sea catfish (Arius proops)</t>
  </si>
  <si>
    <t>Kinneret bleak</t>
  </si>
  <si>
    <t>Pacific piquitinga</t>
  </si>
  <si>
    <t>Lanternsharks nei</t>
  </si>
  <si>
    <t>Pearly razorfish</t>
  </si>
  <si>
    <t>Mediterranean spearfish (Tetrapturus belone)</t>
  </si>
  <si>
    <t>Spotted gurnard</t>
  </si>
  <si>
    <t>Bowfin (Amia calva)</t>
  </si>
  <si>
    <t>Eelpouts</t>
  </si>
  <si>
    <t>Rio skate (Rioraja agassizi)</t>
  </si>
  <si>
    <t>Machaca</t>
  </si>
  <si>
    <t>Longspine thornyhead (Sebastolobus altivelis)</t>
  </si>
  <si>
    <t>Japanese topeshark (Hemitriakis japanica)</t>
  </si>
  <si>
    <t>Pacific sanddab</t>
  </si>
  <si>
    <t>Chimaeras, etc. nei</t>
  </si>
  <si>
    <t>Spotted barb</t>
  </si>
  <si>
    <t>Darkblotched rockfish</t>
  </si>
  <si>
    <t>Blackbellied angler (Lophius budegassa)</t>
  </si>
  <si>
    <t>1,631-2,120</t>
  </si>
  <si>
    <t>Scamp</t>
  </si>
  <si>
    <t>Longfin yellowtail (Seriola rivoliana)</t>
  </si>
  <si>
    <t>Boxfishes nei (Ostraciidae)</t>
  </si>
  <si>
    <t>93-637</t>
  </si>
  <si>
    <t>Round goby (Neogobius melanostomus)</t>
  </si>
  <si>
    <t>Arius spp (Arius spp)</t>
  </si>
  <si>
    <t>Smallnose fanskate (Sympterygia bonapartii)</t>
  </si>
  <si>
    <t>Mako sharks</t>
  </si>
  <si>
    <t>Blackchin guitarfish (Rhinobatos cemiculus)</t>
  </si>
  <si>
    <t>Mediterranean scaldfish (Arnoglossus laterna)</t>
  </si>
  <si>
    <t>Silver mylossoma (Mylossoma duriventre)</t>
  </si>
  <si>
    <t>Black scorpionfish (Scorpaena porcus)</t>
  </si>
  <si>
    <t>Asian bonytongue</t>
  </si>
  <si>
    <t>Yellowfin river pellona</t>
  </si>
  <si>
    <t>Knifetooth dogfish</t>
  </si>
  <si>
    <t>Boarfishes nei (Caproidae)</t>
  </si>
  <si>
    <t>35-116</t>
  </si>
  <si>
    <t>Mutton snapper</t>
  </si>
  <si>
    <t>Snake eels nei</t>
  </si>
  <si>
    <t>Spiky oreo</t>
  </si>
  <si>
    <t>Angelshark (Squatina squatina)</t>
  </si>
  <si>
    <t>14,000-18,000</t>
  </si>
  <si>
    <t>Cero (Scomberomorus regalis)</t>
  </si>
  <si>
    <t>Butter sole (Isopsetta isolepis)</t>
  </si>
  <si>
    <t>White sturgeon (Acipenser transmontanus)</t>
  </si>
  <si>
    <t>9,072-18,144</t>
  </si>
  <si>
    <t>Longnose spurdog</t>
  </si>
  <si>
    <t>Sea chubs nei</t>
  </si>
  <si>
    <t>Pompano</t>
  </si>
  <si>
    <t>Chilean grenadier (Coelorinchus chilensis)</t>
  </si>
  <si>
    <t>Sea lamprey</t>
  </si>
  <si>
    <t>Torpedo rays</t>
  </si>
  <si>
    <t>Blue-barred parrotfish</t>
  </si>
  <si>
    <t>Queen snapper</t>
  </si>
  <si>
    <t>Coney</t>
  </si>
  <si>
    <t>Parassi mullet</t>
  </si>
  <si>
    <t>Flat needlefish (Ablennes hians)</t>
  </si>
  <si>
    <t>2,036-2,900</t>
  </si>
  <si>
    <t>Highwaterman catfish (Hypophthalmus edentatus)</t>
  </si>
  <si>
    <t>Leopard flounder</t>
  </si>
  <si>
    <t>Bull shark</t>
  </si>
  <si>
    <t>Grey tilefish</t>
  </si>
  <si>
    <t>Sordid rubberlip</t>
  </si>
  <si>
    <t>Goldsilk seabream</t>
  </si>
  <si>
    <t>Bigtooth corvina (Isopisthus parvipinnis)</t>
  </si>
  <si>
    <t>White stumpnose</t>
  </si>
  <si>
    <t>Silk snapper</t>
  </si>
  <si>
    <t>Snowy grouper (Epinephelus niveatus)</t>
  </si>
  <si>
    <t>3,636-4,545</t>
  </si>
  <si>
    <t>Streaked gurnard</t>
  </si>
  <si>
    <t>Spiny butterfly ray</t>
  </si>
  <si>
    <t>Short-finned eel</t>
  </si>
  <si>
    <t>Snubnose pompano</t>
  </si>
  <si>
    <t>Rudderfish</t>
  </si>
  <si>
    <t>Offshore rockfish</t>
  </si>
  <si>
    <t>Largescaled terapon (Terapon theraps)</t>
  </si>
  <si>
    <t>Longbill spearfish</t>
  </si>
  <si>
    <t>Shorthorn sculpin (Myoxocephalus scorpius)</t>
  </si>
  <si>
    <t>Northern kingfish</t>
  </si>
  <si>
    <t>Brycinus leuciscus (Brycinus leuciscus)</t>
  </si>
  <si>
    <t>Reticulate knifefish (Papyrocranus afer)</t>
  </si>
  <si>
    <t>Xenocharax spilurus (Xenocharax spilurus)</t>
  </si>
  <si>
    <t>Shortnose greeneye (Chlorophthalmus agassizi)</t>
  </si>
  <si>
    <t>Roughsnout grenadier</t>
  </si>
  <si>
    <t>Eyespot skate (Raja cyclophora)</t>
  </si>
  <si>
    <t>Tiger shark (Galeocerdo cuvier)</t>
  </si>
  <si>
    <t>385,000-685,000</t>
  </si>
  <si>
    <t>Spotted flounder (Citharus linguatula)</t>
  </si>
  <si>
    <t>Sabre squirrelfish</t>
  </si>
  <si>
    <t>Senegal jack (Caranx senegallus)</t>
  </si>
  <si>
    <t>Unicorn icefish</t>
  </si>
  <si>
    <t>Limnotilapia dardennii (Limnotilapia dardennii)</t>
  </si>
  <si>
    <t>Green jack (Caranx caballus)</t>
  </si>
  <si>
    <t>Copper shark</t>
  </si>
  <si>
    <t>African striped grunt (Parapristipoma octolineatum)</t>
  </si>
  <si>
    <t>Humpnose big-eye bream</t>
  </si>
  <si>
    <t>Windowpane flounder</t>
  </si>
  <si>
    <t>Karanteen seabream</t>
  </si>
  <si>
    <t>Whiteleg skate (Raja taaf)</t>
  </si>
  <si>
    <t>Allis shad (Alosa alosa)</t>
  </si>
  <si>
    <t>2,700-2,700</t>
  </si>
  <si>
    <t>Gulper shark</t>
  </si>
  <si>
    <t>Leaping mullet (Liza saliens)</t>
  </si>
  <si>
    <t>128-402</t>
  </si>
  <si>
    <t>Auchenoglanis biscutatus (Auchenoglanis biscutatus)</t>
  </si>
  <si>
    <t>Toadfishes, etc. nei</t>
  </si>
  <si>
    <t>Draughtsboard shark (Cephaloscyllium isabellum)</t>
  </si>
  <si>
    <t>Suckerfishes, remoras nei</t>
  </si>
  <si>
    <t>Peacock hind</t>
  </si>
  <si>
    <t>Senegalese sole (Solea senegalensis)</t>
  </si>
  <si>
    <t>Brownspotted grouper</t>
  </si>
  <si>
    <t>Bluespotted seabream (Pagrus caeruleostictus)</t>
  </si>
  <si>
    <t>2,016-2,016</t>
  </si>
  <si>
    <t>Balao halfbeak (Hemiramphus balao)</t>
  </si>
  <si>
    <t>Pacific sandperch</t>
  </si>
  <si>
    <t>Snakehead</t>
  </si>
  <si>
    <t>Sandbar shark (Carcharhinus plumbeus)</t>
  </si>
  <si>
    <t>60,000-96,000</t>
  </si>
  <si>
    <t>Blacknose shark (Carcharhinus acronotus)</t>
  </si>
  <si>
    <t>Spotfin flathead</t>
  </si>
  <si>
    <t>Cabezon (Scorpaenichthys marmoratus)</t>
  </si>
  <si>
    <t>3,080-4,200</t>
  </si>
  <si>
    <t>Cornetfish</t>
  </si>
  <si>
    <t>Orange perch</t>
  </si>
  <si>
    <t>Danube sturgeon(=Osetr)</t>
  </si>
  <si>
    <t>Big skate (Raja binoculata)</t>
  </si>
  <si>
    <t>Gafftopsail sea catfish (Bagre marinus)</t>
  </si>
  <si>
    <t>Eelpout</t>
  </si>
  <si>
    <t>Cyclocheilichthys armatus (Cyclocheilichthys armatus)</t>
  </si>
  <si>
    <t>Hickory shad</t>
  </si>
  <si>
    <t>White skate (Raja alba)</t>
  </si>
  <si>
    <t>Bathybates minor (Bathybates minor)</t>
  </si>
  <si>
    <t>Pseudocurimata boulengeri (Pseudocurimata boulengeri)</t>
  </si>
  <si>
    <t>Thumbprint emperor</t>
  </si>
  <si>
    <t>Tropical gar</t>
  </si>
  <si>
    <t>1,818-3,636</t>
  </si>
  <si>
    <t>Black grouper (Mycteroperca bonaci)</t>
  </si>
  <si>
    <t>26,000-26,000</t>
  </si>
  <si>
    <t>Velvet whalefish (Barbourisia rufa)</t>
  </si>
  <si>
    <t>Whitson's grenadier</t>
  </si>
  <si>
    <t>Green jobfish</t>
  </si>
  <si>
    <t>Cownose ray (Rhinoptera bonasus)</t>
  </si>
  <si>
    <t>Giant cichlid (Boulengerochromis microlepis)</t>
  </si>
  <si>
    <t>Spotted grouper</t>
  </si>
  <si>
    <t>Brown-marbled grouper</t>
  </si>
  <si>
    <t>Rock cook (Centrolabrus exoletus)</t>
  </si>
  <si>
    <t>African scraping feeder (Labeobarbus beso)</t>
  </si>
  <si>
    <t>Mediterranean moray (Muraena helena)</t>
  </si>
  <si>
    <t>Streaked seerfish</t>
  </si>
  <si>
    <t>Golden African snapper (Lutjanus fulgens)</t>
  </si>
  <si>
    <t>Pacific sand sole</t>
  </si>
  <si>
    <t>Mediterranean starry ray (Raja asterias)</t>
  </si>
  <si>
    <t>Sohal surgeonfish</t>
  </si>
  <si>
    <t>Summan grouper</t>
  </si>
  <si>
    <t>Sharpnose stingray</t>
  </si>
  <si>
    <t>Flatwhiskered catfish (Pinirampus pirinampu)</t>
  </si>
  <si>
    <t>Bonnetmouths, rubyfishes nei</t>
  </si>
  <si>
    <t>African forktail snapper</t>
  </si>
  <si>
    <t>Blacktail comber (Serranus atricauda)</t>
  </si>
  <si>
    <t>Slickheads nei</t>
  </si>
  <si>
    <t>Shortspine African angler</t>
  </si>
  <si>
    <t>Chilean sandperch (Pinguipes chilensis)</t>
  </si>
  <si>
    <t>Hoplias microlepis (Hoplias microlepis)</t>
  </si>
  <si>
    <t>Chrysichthys sianenna (Chrysichthys sianenna)</t>
  </si>
  <si>
    <t>Banded yellowfish</t>
  </si>
  <si>
    <t>Squirrelfish (Holocentrus ascensionis)</t>
  </si>
  <si>
    <t>Barbeled houndshark (Leptocharias smithii)</t>
  </si>
  <si>
    <t>Broadnose skate (Bathyraja brachyurops)</t>
  </si>
  <si>
    <t>Spotted eagle ray (Aetobatus narinari)</t>
  </si>
  <si>
    <t>Sterlet sturgeon</t>
  </si>
  <si>
    <t>Painted sweetlips</t>
  </si>
  <si>
    <t>Forktail lates (Lates microlepis)</t>
  </si>
  <si>
    <t>Red pike conger</t>
  </si>
  <si>
    <t>South American silver porgy</t>
  </si>
  <si>
    <t>Common eagle ray</t>
  </si>
  <si>
    <t>Redmouth grouper</t>
  </si>
  <si>
    <t>Frostfishes</t>
  </si>
  <si>
    <t>Tomtate grunt (Haemulon aurolineatum)</t>
  </si>
  <si>
    <t>Pinfish (Lagodon rhomboides)</t>
  </si>
  <si>
    <t>Brown bullhead (Ameiurus nebulosus)</t>
  </si>
  <si>
    <t>35-168</t>
  </si>
  <si>
    <t>Smooth butterfly ray (Gymnura micrura)</t>
  </si>
  <si>
    <t>Warsaw grouper (Epinephelus nigritus)</t>
  </si>
  <si>
    <t>13,636-36,364</t>
  </si>
  <si>
    <t>Yellowlip emperor</t>
  </si>
  <si>
    <t>Bluefin trevally</t>
  </si>
  <si>
    <t>Green terror (Aequidens rivulatus)</t>
  </si>
  <si>
    <t>Northern puffer</t>
  </si>
  <si>
    <t>American conger (Conger oceanicus)</t>
  </si>
  <si>
    <t>4,545-9,090</t>
  </si>
  <si>
    <t>Broomtail grouper (Mycteroperca xenarcha)</t>
  </si>
  <si>
    <t>20,020-27,300</t>
  </si>
  <si>
    <t>California sheephead (Semicossyphus pulcher)</t>
  </si>
  <si>
    <t>3,520-4,800</t>
  </si>
  <si>
    <t>Bluntnose sixgill shark (Hexanchus griseus)</t>
  </si>
  <si>
    <t>500,000-500,000</t>
  </si>
  <si>
    <t>Sharpsnout seabream (Diplodus puntazzo)</t>
  </si>
  <si>
    <t>Angular roughshark (Oxynotus centrina)</t>
  </si>
  <si>
    <t>Suckers nei</t>
  </si>
  <si>
    <t>Slimeheads nei</t>
  </si>
  <si>
    <t>Payara (Hydrolycus scomberoides)</t>
  </si>
  <si>
    <t>Undulate ray (Raja undulata)</t>
  </si>
  <si>
    <t>Marbled swamp eel (Synbranchus marmoratus)</t>
  </si>
  <si>
    <t>Sawtooth barracuda (Sphyraena putnamae)</t>
  </si>
  <si>
    <t>Maracaibo leatherjacket (Oligoplites palometa)</t>
  </si>
  <si>
    <t>Four-spot megrim</t>
  </si>
  <si>
    <t>Longnose velvet dogfish</t>
  </si>
  <si>
    <t>Bastard grunt (Pomadasys incisus)</t>
  </si>
  <si>
    <t>27-419</t>
  </si>
  <si>
    <t>Comet grouper</t>
  </si>
  <si>
    <t>Greenland shark</t>
  </si>
  <si>
    <t>Sand weakfish (Cynoscion arenarius)</t>
  </si>
  <si>
    <t>Pimelodus maculatus (Pimelodus maculatus)</t>
  </si>
  <si>
    <t>Caribbean sharpnose shark (Rhizoprionodon porosus)</t>
  </si>
  <si>
    <t>Flying gurnard</t>
  </si>
  <si>
    <t>Longfin hake (Phycis chesteri)</t>
  </si>
  <si>
    <t>Spinner shark (Carcharhinus brevipinna)</t>
  </si>
  <si>
    <t>Mountain mullet (Agonostomus monticola)</t>
  </si>
  <si>
    <t>128-128</t>
  </si>
  <si>
    <t>Trumpet emperor (Lethrinus miniatus)</t>
  </si>
  <si>
    <t>Common guitarfish (Rhinobatos rhinobatos)</t>
  </si>
  <si>
    <t>Twaite shad</t>
  </si>
  <si>
    <t>Sickle pomfret (Taractichthys steindachneri)</t>
  </si>
  <si>
    <t>7,128-8,036</t>
  </si>
  <si>
    <t>Brycon dentex (Brycon dentex)</t>
  </si>
  <si>
    <t>Velvet belly</t>
  </si>
  <si>
    <t>Black dogfish (Centroscyllium fabricii)</t>
  </si>
  <si>
    <t>1,085-2,328</t>
  </si>
  <si>
    <t>Channel bull blenny</t>
  </si>
  <si>
    <t>Blue fathead (Cubiceps caeruleus)</t>
  </si>
  <si>
    <t>Caquetaia kraussii (Caquetaia kraussii)</t>
  </si>
  <si>
    <t>Yellowfin notothen (Patagonotothen guntheri)</t>
  </si>
  <si>
    <t>Zamurito (Calophysus macropterus)</t>
  </si>
  <si>
    <t>Chars nei</t>
  </si>
  <si>
    <t>Finetooth shark (Carcharhinus isodon)</t>
  </si>
  <si>
    <t>Silver-cheeked toadfish (Lagocephalus sceleratus)</t>
  </si>
  <si>
    <t>Splitnose rockfish (Sebastes diploproa)</t>
  </si>
  <si>
    <t>Bluestripe herring (Herklotsichthys quadrimaculatus)</t>
  </si>
  <si>
    <t>13-25</t>
  </si>
  <si>
    <t>Common bluestripe snapper</t>
  </si>
  <si>
    <t>Longfin mako</t>
  </si>
  <si>
    <t>Fourlined terapon</t>
  </si>
  <si>
    <t>Kelp greenling</t>
  </si>
  <si>
    <t>Intermediate scabbardfish (Aphanopus intermedius)</t>
  </si>
  <si>
    <t>Canary rockfish (Sebastes pinniger)</t>
  </si>
  <si>
    <t>Atlantic weasel shark (Paragaleus pectoralis)</t>
  </si>
  <si>
    <t>Longtail stingray</t>
  </si>
  <si>
    <t>Starry flounder</t>
  </si>
  <si>
    <t>Smooth puffer (Lagocephalus laevigatus)</t>
  </si>
  <si>
    <t>Bocaccio rockfish (Sebastes paucispinis)</t>
  </si>
  <si>
    <t>2,119-2,889</t>
  </si>
  <si>
    <t>Banded rudderfish (Seriola zonata)</t>
  </si>
  <si>
    <t>Gorean snapper (Lutjanus goreensis)</t>
  </si>
  <si>
    <t>Broadnose sevengill shark (Notorynchus cepedianus)</t>
  </si>
  <si>
    <t>22,613-22,613</t>
  </si>
  <si>
    <t>Brownstripe red snapper (Lutjanus vitta)</t>
  </si>
  <si>
    <t>Starry sturgeon (Acipenser stellatus)</t>
  </si>
  <si>
    <t>8,953-8,953</t>
  </si>
  <si>
    <t>Western Atlantic seabream</t>
  </si>
  <si>
    <t>Starry smooth-hound</t>
  </si>
  <si>
    <t>Skilfish (Erilepis zonifer)</t>
  </si>
  <si>
    <t>Aplodactylus punctatus (Aplodactylus punctatus)</t>
  </si>
  <si>
    <t>Bigeye lates (Lates mariae)</t>
  </si>
  <si>
    <t>South American catfish (Rhamdia quelen)</t>
  </si>
  <si>
    <t>Great white shark (Carcharodon carcharias)</t>
  </si>
  <si>
    <t>680,000-680,000</t>
  </si>
  <si>
    <t>Kerguelen sandpaper skate</t>
  </si>
  <si>
    <t>Mediterranean slimehead</t>
  </si>
  <si>
    <t>White croaker</t>
  </si>
  <si>
    <t>Patagonian rockcod</t>
  </si>
  <si>
    <t>Slender rainbow sardine (Dussumieria elopsoides)</t>
  </si>
  <si>
    <t>5-62</t>
  </si>
  <si>
    <t>Atlantic tomcod (Microgadus tomcod)</t>
  </si>
  <si>
    <t>108-258</t>
  </si>
  <si>
    <t>Dories nei</t>
  </si>
  <si>
    <t>Blackfin snapper (Lutjanus buccanella)</t>
  </si>
  <si>
    <t>Mediterranean dealfish (Trachipterus trachypterus)</t>
  </si>
  <si>
    <t>Great hammerhead (Sphyrna mokarran)</t>
  </si>
  <si>
    <t>God's flounder (Cyclopsetta panamensis)</t>
  </si>
  <si>
    <t>Beluga (Huso huso)</t>
  </si>
  <si>
    <t>35,000-100,000</t>
  </si>
  <si>
    <t>Chubs nei</t>
  </si>
  <si>
    <t>Peacock cichlid</t>
  </si>
  <si>
    <t>Brown ray</t>
  </si>
  <si>
    <t>Arrowhead dogfish (Deania profundorum)</t>
  </si>
  <si>
    <t>Yellowfin grouper (Mycteroperca venenosa)</t>
  </si>
  <si>
    <t>6,810-6,810</t>
  </si>
  <si>
    <t>Butterfly kingfish (Gasterochisma melampus)</t>
  </si>
  <si>
    <t>Curled picarel (Centracanthus cirrus)</t>
  </si>
  <si>
    <t>Eaton's skate</t>
  </si>
  <si>
    <t>Speckled hind (Epinephelus drummondhayi)</t>
  </si>
  <si>
    <t>Pimelodus albicans (Pimelodus albicans)</t>
  </si>
  <si>
    <t>Spotback skate (Raja castelnaui)</t>
  </si>
  <si>
    <t>Barrelfish</t>
  </si>
  <si>
    <t>Chola guitarfish</t>
  </si>
  <si>
    <t>Longspine burrfish (Tragulichthys jaculiferus )</t>
  </si>
  <si>
    <t>Pike icefish</t>
  </si>
  <si>
    <t>Redcoat (Sargocentron rubrum)</t>
  </si>
  <si>
    <t>Spanish ling (Molva macrophthalma)</t>
  </si>
  <si>
    <t>Wenchman (Pristipomoides aquilonaris)</t>
  </si>
  <si>
    <t>Porthole shovelnose catfish (Hemisorubim platyrhynchos)</t>
  </si>
  <si>
    <t>Brook trout (Salvelinus fontinalis)</t>
  </si>
  <si>
    <t>Lemon shark</t>
  </si>
  <si>
    <t>Red lionfish (Pterois volitans)</t>
  </si>
  <si>
    <t>Pigfish</t>
  </si>
  <si>
    <t>Basketwork eel (Diastobranchus capensis)</t>
  </si>
  <si>
    <t>2,250-3,068</t>
  </si>
  <si>
    <t>Roudi escolar</t>
  </si>
  <si>
    <t>Righteye flounders nei</t>
  </si>
  <si>
    <t>Largescale triggerfish (Canthidermis macrolepis)</t>
  </si>
  <si>
    <t>Brazilian sharpnose shark (Rhizoprionodon lalandii)</t>
  </si>
  <si>
    <t>Crocodile icefishes nei (Channichthyidae)</t>
  </si>
  <si>
    <t>Offshore silver hake</t>
  </si>
  <si>
    <t>Atlantic bigeye (Priacanthus arenatus)</t>
  </si>
  <si>
    <t>618-618</t>
  </si>
  <si>
    <t>Smalltail shark</t>
  </si>
  <si>
    <t>Swordspine snook (Centropomus ensiferus)</t>
  </si>
  <si>
    <t>Basking shark (Cetorhinus maximus)</t>
  </si>
  <si>
    <t>3,000,000-3,000,000</t>
  </si>
  <si>
    <t>Chrysichthys stappersii (Chrysichthys stappersii)</t>
  </si>
  <si>
    <t>Pink maomao</t>
  </si>
  <si>
    <t>Bignose fanskate (Sympterygia acuta)</t>
  </si>
  <si>
    <t>Crested bellowfish (Notopogon lilliei )</t>
  </si>
  <si>
    <t>Bank rockfish (Sebastes rufus)</t>
  </si>
  <si>
    <t>Cape redfish (Sebastes capensis)</t>
  </si>
  <si>
    <t>Atlantic rubyfish (Erythrocles monodi)</t>
  </si>
  <si>
    <t>Huchen</t>
  </si>
  <si>
    <t>Common stingray</t>
  </si>
  <si>
    <t>Vermilion rockfish (Sebastes miniatus)</t>
  </si>
  <si>
    <t>Blackgill rockfish (Sebastes melanostomus)</t>
  </si>
  <si>
    <t>Scaly gurnard</t>
  </si>
  <si>
    <t>Brycon orbignyanus (Brycon orbignyanus)</t>
  </si>
  <si>
    <t>Blueback shad (Alosa aestivalis)</t>
  </si>
  <si>
    <t>44-60</t>
  </si>
  <si>
    <t>Moray cods nei</t>
  </si>
  <si>
    <t>African bullhead (Lophiobagrus cyclurus)</t>
  </si>
  <si>
    <t>Mottled grouper (Mycteroperca rubra)</t>
  </si>
  <si>
    <t>Electric catfish (Malapterurus electricus)</t>
  </si>
  <si>
    <t>Redbanded rockfish (Sebastes babcocki)</t>
  </si>
  <si>
    <t>Fourspot flounder (Paralichthys oblongus)</t>
  </si>
  <si>
    <t>Slender rockfish (Scorpaena elongata)</t>
  </si>
  <si>
    <t>Small red scorpionfish (Scorpaena notata)</t>
  </si>
  <si>
    <t>Trout sweetlips</t>
  </si>
  <si>
    <t>Bigeye grenadier (Macrourus holotrachys)</t>
  </si>
  <si>
    <t>468-468</t>
  </si>
  <si>
    <t>Threadfin rockling (Gaidropsarus ensis)</t>
  </si>
  <si>
    <t>Marbled rockcod</t>
  </si>
  <si>
    <t>15,000-15,000</t>
  </si>
  <si>
    <t>Sand tilefish (Malacanthus plumieri)</t>
  </si>
  <si>
    <t>Sailray</t>
  </si>
  <si>
    <t>Bubu (Auchenoglanis occidentalis)</t>
  </si>
  <si>
    <t>Giant boarfish</t>
  </si>
  <si>
    <t>Pacific spadefish (Chaetodipterus zonatus)</t>
  </si>
  <si>
    <t>Tanganyika lates (Lates angustifrons)</t>
  </si>
  <si>
    <t>Black musselcracker</t>
  </si>
  <si>
    <t>Lookdown (Selene vomer)</t>
  </si>
  <si>
    <t>Hagfish (Myxine glutinosa)</t>
  </si>
  <si>
    <t>Angelfishes nei</t>
  </si>
  <si>
    <t>Panama hake</t>
  </si>
  <si>
    <t>Rock sea bass (Centropristis philadelphica)</t>
  </si>
  <si>
    <t>Grenadier cod</t>
  </si>
  <si>
    <t>Jolthead porgy (Calamus bajonado)</t>
  </si>
  <si>
    <t>Norwegian skate (Raja nidarosiensis)</t>
  </si>
  <si>
    <t>Marbled spinefoot (Siganus rivulatus)</t>
  </si>
  <si>
    <t>Patagonian skate (Bathyraja macloviana)</t>
  </si>
  <si>
    <t>California butterfly ray (Gymnura marmorata)</t>
  </si>
  <si>
    <t>Marini's anchovy (Anchoa marinii)</t>
  </si>
  <si>
    <t>Australian bonito (Sarda australis)</t>
  </si>
  <si>
    <t>Mastacembelus cunningtoni (Mastacembelus cunningtoni)</t>
  </si>
  <si>
    <t>Piper gurnard (Trigla lyra)</t>
  </si>
  <si>
    <t>Atlantic goldeneye tilefish (Caulolatilus chrysops)</t>
  </si>
  <si>
    <t>951-951</t>
  </si>
  <si>
    <t>Lings nei</t>
  </si>
  <si>
    <t>Spiny scorpionfish</t>
  </si>
  <si>
    <t>Gopher rockfish (Sebastes carnatus)</t>
  </si>
  <si>
    <t>Kibonde (Chrysichthys brachynema)</t>
  </si>
  <si>
    <t>Common dace</t>
  </si>
  <si>
    <t>Mediterranean sand smelt (Atherina hepsetus)</t>
  </si>
  <si>
    <t>Pacific tripletail (Lobotes pacificus)</t>
  </si>
  <si>
    <t>Patagonian redfish (Sebastes oculatus)</t>
  </si>
  <si>
    <t>109-149</t>
  </si>
  <si>
    <t>White margate</t>
  </si>
  <si>
    <t>Bonnethead (Sphyrna tiburo)</t>
  </si>
  <si>
    <t>Longspine snipefish</t>
  </si>
  <si>
    <t>Pacific porgy (Calamus brachysomus)</t>
  </si>
  <si>
    <t>Arctic skate (Amblyraja hyperborea)</t>
  </si>
  <si>
    <t>1,201-1,731</t>
  </si>
  <si>
    <t>Dealfishes</t>
  </si>
  <si>
    <t>Parrot grunt (Pomadasys perotaei)</t>
  </si>
  <si>
    <t>Atlantic needlefish (Strongylura marina)</t>
  </si>
  <si>
    <t>Rainbow wrasse (Coris julis)</t>
  </si>
  <si>
    <t>Brazilian sandperch (Pinguipes brasilianus)</t>
  </si>
  <si>
    <t>Antarctic starry skate (Amblyraja georgiana)</t>
  </si>
  <si>
    <t>Lesser amberjack (Seriola fasciata)</t>
  </si>
  <si>
    <t>Black driftfish (Hyperoglyphe bythites)</t>
  </si>
  <si>
    <t>1,364-2,727</t>
  </si>
  <si>
    <t>Imperial blackfish</t>
  </si>
  <si>
    <t>Misty grouper (Epinephelus mystacinus)</t>
  </si>
  <si>
    <t>Cunner</t>
  </si>
  <si>
    <t>Red gurnard perch (Helicolenus percoides)</t>
  </si>
  <si>
    <t>Brown moray (Gymnothorax unicolor)</t>
  </si>
  <si>
    <t>Lantern fish</t>
  </si>
  <si>
    <t>Brown smooth-hound (Mustelus henlei)</t>
  </si>
  <si>
    <t>471-2,685</t>
  </si>
  <si>
    <t>Permit (Trachinotus falcatus)</t>
  </si>
  <si>
    <t>Aurora rockfish (Sebastes aurora)</t>
  </si>
  <si>
    <t>Volga pikeperch (Sander volgensis)</t>
  </si>
  <si>
    <t>Chrysichthys platycephalus (Chrysichthys platycephalus)</t>
  </si>
  <si>
    <t>Mouse catshark</t>
  </si>
  <si>
    <t>Atlantic puffers nei</t>
  </si>
  <si>
    <t>Roundscale spearfish (Tetrapturus georgii)</t>
  </si>
  <si>
    <t>Giant seabass</t>
  </si>
  <si>
    <t>Grunts nei (Haemulon spp)</t>
  </si>
  <si>
    <t>Cardinal snapper (Pristipomoides macrophthalmus)</t>
  </si>
  <si>
    <t>Pacific sleeper shark</t>
  </si>
  <si>
    <t>Long snouted lancetfish (Alepisaurus ferox)</t>
  </si>
  <si>
    <t>Red steenbras</t>
  </si>
  <si>
    <t>Sand tiger shark</t>
  </si>
  <si>
    <t>Small-scaled terapon (Terapon puta)</t>
  </si>
  <si>
    <t>Dogtooth grouper</t>
  </si>
  <si>
    <t>Slender smooth-hound (Gollum attenuatus)</t>
  </si>
  <si>
    <t>Wuchang bream</t>
  </si>
  <si>
    <t>Danube bleak</t>
  </si>
  <si>
    <t>Great lanternshark (Etmopterus princeps)</t>
  </si>
  <si>
    <t>African pompano (Alectis ciliaris)</t>
  </si>
  <si>
    <t>Rock hind (Epinephelus adscensionis)</t>
  </si>
  <si>
    <t>Bluespotted cornetfish (Fistularia commersonii)</t>
  </si>
  <si>
    <t>Painted comber (Serranus scriba)</t>
  </si>
  <si>
    <t>Threadfin shad (Dorosoma petenense)</t>
  </si>
  <si>
    <t>Cape fathead (Cubiceps capensis)</t>
  </si>
  <si>
    <t>Creole wrasse (Clepticus parrae)</t>
  </si>
  <si>
    <t>Devil fish</t>
  </si>
  <si>
    <t>Dusky spinefoot (Siganus luridus)</t>
  </si>
  <si>
    <t>Ocean pout</t>
  </si>
  <si>
    <t>Giant manta (Manta birostris)</t>
  </si>
  <si>
    <t>Sharptooth houndshark</t>
  </si>
  <si>
    <t>Southern kingcroaker (Menticirrhus americanus)</t>
  </si>
  <si>
    <t>Crocodile shark</t>
  </si>
  <si>
    <t>Slender codling (Halargyreus johnsonii)</t>
  </si>
  <si>
    <t>Humped rockcod</t>
  </si>
  <si>
    <t>Chionobathyscus dewitti</t>
  </si>
  <si>
    <t>Live sharksucker</t>
  </si>
  <si>
    <t>Snowtrouts nei (Schizothorax spp)</t>
  </si>
  <si>
    <t>South Georgia icefish</t>
  </si>
  <si>
    <t>Bigspined boarfish (Pentaceros decacanthus)</t>
  </si>
  <si>
    <t>Black rockcod</t>
  </si>
  <si>
    <t>Knout goby (Mesogobius batrachocephalus)</t>
  </si>
  <si>
    <t>Murray's skate</t>
  </si>
  <si>
    <t>Pink dentex (Dentex gibbosus)</t>
  </si>
  <si>
    <t>Whitespotted grouper (Epinephelus caeruleopunctatus)</t>
  </si>
  <si>
    <t>Blackfin icefish (Chaenocephalus aceratus)</t>
  </si>
  <si>
    <t>788-929</t>
  </si>
  <si>
    <t>Blue maomao (Scorpis violacea)</t>
  </si>
  <si>
    <t>Leopard shark (Triakis semifasciata)</t>
  </si>
  <si>
    <t>Percarina</t>
  </si>
  <si>
    <t>Triangular rockcod</t>
  </si>
  <si>
    <t>Black snapper (Apsilus dentatus)</t>
  </si>
  <si>
    <t>Elongate tonguesole (Symphurus ligulatus)</t>
  </si>
  <si>
    <t>Sharpnose sevengill shark (Heptranchias perlo)</t>
  </si>
  <si>
    <t>Black goby (Gobius niger)</t>
  </si>
  <si>
    <t>Silver chimaera (Chimaera phantasma)</t>
  </si>
  <si>
    <t>Bramble shark</t>
  </si>
  <si>
    <t>Caspian shad (Alosa caspia)</t>
  </si>
  <si>
    <t>Herrings, sardines nei (Clupeidae)</t>
  </si>
  <si>
    <t>Little sleeper shark</t>
  </si>
  <si>
    <t>Sculpins</t>
  </si>
  <si>
    <t>Spottail spiny turbot</t>
  </si>
  <si>
    <t>Bathyraja rays nei (Bathyraja spp)</t>
  </si>
  <si>
    <t>277-3,180</t>
  </si>
  <si>
    <t>Black bullhead (Ameiurus melas)</t>
  </si>
  <si>
    <t>Stout beardfish</t>
  </si>
  <si>
    <t>Duckbill barracudina (Magnisudis atlantica)</t>
  </si>
  <si>
    <t>Painted eel (Echelus myrus)</t>
  </si>
  <si>
    <t>Plunket shark (Centroscymnus plunketi)</t>
  </si>
  <si>
    <t>Round ray (Raja fyllae)</t>
  </si>
  <si>
    <t>Spotted ratfish</t>
  </si>
  <si>
    <t>Broad-striped anchovy (Anchoa hepsetus)</t>
  </si>
  <si>
    <t>16-16</t>
  </si>
  <si>
    <t>Combers nei (Serranus spp)</t>
  </si>
  <si>
    <t>Odontesthes smitti (Odontesthes smitti)</t>
  </si>
  <si>
    <t>Painted notie</t>
  </si>
  <si>
    <t>Reticulated leatherjacket (Stephanolepis diaspros)</t>
  </si>
  <si>
    <t>Sailfin roughshark</t>
  </si>
  <si>
    <t>Sattar snowtrout (Schizothorax curvifrons)</t>
  </si>
  <si>
    <t>Southern opah</t>
  </si>
  <si>
    <t>Steenbrasses nei</t>
  </si>
  <si>
    <t>Atlantic lizardfish (Synodus saurus)</t>
  </si>
  <si>
    <t>Caml grenadier (Macrourus caml)</t>
  </si>
  <si>
    <t>Copper mahseer (Neolissochilus hexagonolepis)</t>
  </si>
  <si>
    <t>Hooknose (Agonus cataphractus)</t>
  </si>
  <si>
    <t>Houting</t>
  </si>
  <si>
    <t>Lesser weever (Trachinus vipera)</t>
  </si>
  <si>
    <t>Lusitanian toadfish</t>
  </si>
  <si>
    <t>Opaleye</t>
  </si>
  <si>
    <t>Roughtail stingray (Dasyatis centroura)</t>
  </si>
  <si>
    <t>Smalleye moray cod</t>
  </si>
  <si>
    <t>Antarctic silverfish (Pleuragramma antarcticum)</t>
  </si>
  <si>
    <t>21-21</t>
  </si>
  <si>
    <t>Atlantic fanfish (Pterycombus brama)</t>
  </si>
  <si>
    <t>Bichique</t>
  </si>
  <si>
    <t>Brown wrasse (Labrus merula)</t>
  </si>
  <si>
    <t>Combtooth blennies (Blenniidae)</t>
  </si>
  <si>
    <t>Madeiran ray (Raja maderensis)</t>
  </si>
  <si>
    <t>Mud carp</t>
  </si>
  <si>
    <t>Pelagic stingray (Dasyatis violacea)</t>
  </si>
  <si>
    <t>Roughskin dogfish (Centroscymnus owstoni)</t>
  </si>
  <si>
    <t>Sevan trout (Salmo ischchan)</t>
  </si>
  <si>
    <t>Slender armorhead (Pseudopentaceros wheeleri)</t>
  </si>
  <si>
    <t>Small sandeel (Ammodytes tobianus)</t>
  </si>
  <si>
    <t>Snaggletooth (Borostomias antarcticus)</t>
  </si>
  <si>
    <t>Striped-eyed rockcod</t>
  </si>
  <si>
    <t>Shellfish weights</t>
  </si>
  <si>
    <t>Fishcount decapod weights</t>
  </si>
  <si>
    <t>Source: http://fishcount.org.uk/studydatascreens2/2017/numbers-of-farmed-decapods-A0-2017.php?sort2/full</t>
  </si>
  <si>
    <t>True crabs</t>
  </si>
  <si>
    <t>Shrimps and prawns</t>
  </si>
  <si>
    <t>Crayfish and lobsters</t>
  </si>
  <si>
    <t>American crabs</t>
  </si>
  <si>
    <t>Source: https://www.seafoodhealthfacts.org/description-top-commercial-seafood-items/crab</t>
  </si>
  <si>
    <t>Weight (grams)</t>
  </si>
  <si>
    <t>Amount caught (pounds, millions)</t>
  </si>
  <si>
    <t>Sources for weights</t>
  </si>
  <si>
    <t>Blue crabs</t>
  </si>
  <si>
    <t>https://edis.ifas.ufl.edu/sg078</t>
  </si>
  <si>
    <t>Snow crabs</t>
  </si>
  <si>
    <t>http://animaldiversity.org/accounts/Chionoecetes_opilio/</t>
  </si>
  <si>
    <t>Dungeness crabs</t>
  </si>
  <si>
    <t>https://caseagrant.ucsd.edu/seafood-profiles/dungeness-crab</t>
  </si>
  <si>
    <t>King crabs</t>
  </si>
  <si>
    <t>https://www.alaskankingcrab.com/blogs/resources/blog-learn-the-anatomy-of-alaskan-king-crab</t>
  </si>
  <si>
    <t>USDA food loss estimates</t>
  </si>
  <si>
    <r>
      <t xml:space="preserve">Source: Extracted from loss adjusted food availability 'Dairy' and 'Meats, poultry, fish, eggs and nuts' spreadsheets: </t>
    </r>
    <r>
      <rPr>
        <u/>
        <sz val="10"/>
        <color rgb="FF1155CC"/>
        <rFont val="Arial"/>
        <family val="2"/>
      </rPr>
      <t>https://www.ers.usda.gov/data-products/food-availability-per-capita-data-system/food-availability-per-capita-data-system/#Loss-Adjusted%20Food%20Availability</t>
    </r>
  </si>
  <si>
    <t>Loss at consumer level</t>
  </si>
  <si>
    <t>Primary weight</t>
  </si>
  <si>
    <t>Loss from primary to retail weight</t>
  </si>
  <si>
    <t>Retail weight</t>
  </si>
  <si>
    <t>Loss from retail/ institutional to consumer level</t>
  </si>
  <si>
    <t>Consumer weight</t>
  </si>
  <si>
    <t>Nonedible share</t>
  </si>
  <si>
    <t>Edible weight</t>
  </si>
  <si>
    <t>Other (cooking loss and uneaten food)</t>
  </si>
  <si>
    <t>Total loss, all levels</t>
  </si>
  <si>
    <t>Per capita availability adjusted for loss</t>
  </si>
  <si>
    <t>Edible weight (%)</t>
  </si>
  <si>
    <t>Total loss adjusted weight (%)</t>
  </si>
  <si>
    <t>-- Lbs/year --</t>
  </si>
  <si>
    <t>-- Percent --</t>
  </si>
  <si>
    <t>-- Oz/day --</t>
  </si>
  <si>
    <t>Notes:</t>
  </si>
  <si>
    <t>Fish and shellfish primary weights are edible weights - see 'FAO fish and shellfish edible proportions' for estimates of edible proportions</t>
  </si>
  <si>
    <t>Fish and shellfish edible proportions</t>
  </si>
  <si>
    <t>Summary of edible proportions</t>
  </si>
  <si>
    <t>Proportion (%)</t>
  </si>
  <si>
    <t>Average fish</t>
  </si>
  <si>
    <t>Average of edible flesh, excludes provisional numbers (square brackets)</t>
  </si>
  <si>
    <t>Average shrimp</t>
  </si>
  <si>
    <t>Average of meats column if species is shrimp, excludes provisional numbers</t>
  </si>
  <si>
    <t>Average shellfish</t>
  </si>
  <si>
    <t>Average of meats for all shellfish, excludes provisional numbers</t>
  </si>
  <si>
    <t>Data from FAO: Yield and composition of surveyed species. Source: http://www.fao.org/3/T0219E/T0219E01.htm</t>
  </si>
  <si>
    <t>Yield (as % of whole fish or shellfish weight)</t>
  </si>
  <si>
    <t>Composition (as % of edible portion)</t>
  </si>
  <si>
    <t>Energy Value</t>
  </si>
  <si>
    <t>(see notes page 10)</t>
  </si>
  <si>
    <t>Skinless Fillet</t>
  </si>
  <si>
    <t>Edible Flesh</t>
  </si>
  <si>
    <t>Meats</t>
  </si>
  <si>
    <t>Protein</t>
  </si>
  <si>
    <t>Fat</t>
  </si>
  <si>
    <t>Glycogen</t>
  </si>
  <si>
    <t>Kcal</t>
  </si>
  <si>
    <t>Kjoules</t>
  </si>
  <si>
    <t>Akiami paste shrimp</t>
  </si>
  <si>
    <t>[100]</t>
  </si>
  <si>
    <t>[16.2]</t>
  </si>
  <si>
    <t>[1.3]</t>
  </si>
  <si>
    <t>[81]</t>
  </si>
  <si>
    <t>[338]</t>
  </si>
  <si>
    <t>Alaska pollack</t>
  </si>
  <si>
    <t>Albacore (1)</t>
  </si>
  <si>
    <t>[30]</t>
  </si>
  <si>
    <t>Amberjacks nei</t>
  </si>
  <si>
    <t>[46]</t>
  </si>
  <si>
    <t>[53]</t>
  </si>
  <si>
    <t>American cupped oyster(2)</t>
  </si>
  <si>
    <t>American plaice (3)</t>
  </si>
  <si>
    <t>Anchoveta (4,28)</t>
  </si>
  <si>
    <t>[51]</t>
  </si>
  <si>
    <t>18.0(20.2)</t>
  </si>
  <si>
    <t>2.8(4.2)</t>
  </si>
  <si>
    <t>102(124)</t>
  </si>
  <si>
    <t>427(519)</t>
  </si>
  <si>
    <t>Anchovies nei (4,28)</t>
  </si>
  <si>
    <t>Argentine hake (5)</t>
  </si>
  <si>
    <t>Argentine shortfin squid (6)</t>
  </si>
  <si>
    <t>Atka mackerel</t>
  </si>
  <si>
    <t>[34]</t>
  </si>
  <si>
    <t>[54]</t>
  </si>
  <si>
    <t>[17.5]</t>
  </si>
  <si>
    <t>[4.0]</t>
  </si>
  <si>
    <t>[111]</t>
  </si>
  <si>
    <t>[464]</t>
  </si>
  <si>
    <t>Atlantic cod</t>
  </si>
  <si>
    <t>Atlantic herring (29)</t>
  </si>
  <si>
    <t>13.8(14.2/6.1)</t>
  </si>
  <si>
    <t>200(204/131)</t>
  </si>
  <si>
    <t>839(854/548)</t>
  </si>
  <si>
    <t>Atlantic horse mackerel (7)</t>
  </si>
  <si>
    <t>Atlantic mackerel</t>
  </si>
  <si>
    <t>Atlantic redfishes</t>
  </si>
  <si>
    <t>Bali sardinella (8)</t>
  </si>
  <si>
    <t>Banana prawn (9)</t>
  </si>
  <si>
    <t>Bigeye tuna (1)</t>
  </si>
  <si>
    <t>Black Sea sprat (10)</t>
  </si>
  <si>
    <t>[50]</t>
  </si>
  <si>
    <t>[56]</t>
  </si>
  <si>
    <t>[17.1]</t>
  </si>
  <si>
    <t>[8.1]</t>
  </si>
  <si>
    <t>[146]</t>
  </si>
  <si>
    <t>[611]</t>
  </si>
  <si>
    <t>Blue mussel</t>
  </si>
  <si>
    <t>Blue whiting</t>
  </si>
  <si>
    <t>Bombay duck</t>
  </si>
  <si>
    <t>-</t>
  </si>
  <si>
    <t>[57]</t>
  </si>
  <si>
    <t>[8.8]</t>
  </si>
  <si>
    <t>[0.3]</t>
  </si>
  <si>
    <t>[40]</t>
  </si>
  <si>
    <t>[169]</t>
  </si>
  <si>
    <t>Calico scallop (11,30)</t>
  </si>
  <si>
    <t>[15],[6]</t>
  </si>
  <si>
    <t>[16.0],15.8</t>
  </si>
  <si>
    <t>[0.8],0.6</t>
  </si>
  <si>
    <t>[2.9],2.4</t>
  </si>
  <si>
    <t>[87],83</t>
  </si>
  <si>
    <t>[366],346</t>
  </si>
  <si>
    <t>California pilchard (12)</t>
  </si>
  <si>
    <t>Cape hakes (5)</t>
  </si>
  <si>
    <t>Cape horse mackerel (7)</t>
  </si>
  <si>
    <t>Capelin</t>
  </si>
  <si>
    <t>[60]</t>
  </si>
  <si>
    <t>Central Pacific anchoveta (4,28)</t>
  </si>
  <si>
    <t>Characins</t>
  </si>
  <si>
    <t>[38]</t>
  </si>
  <si>
    <t>[17.6]</t>
  </si>
  <si>
    <t>[10.5]</t>
  </si>
  <si>
    <t>[170]</t>
  </si>
  <si>
    <t>[711]</t>
  </si>
  <si>
    <t>Chilean hake (5)</t>
  </si>
  <si>
    <t>Chilean jack mackerel (7)</t>
  </si>
  <si>
    <t>Chub mackerel</t>
  </si>
  <si>
    <t>Chum salmon (13)</t>
  </si>
  <si>
    <t>Chichlids nei (14)</t>
  </si>
  <si>
    <t>[37]</t>
  </si>
  <si>
    <t>Clams nei (15)</t>
  </si>
  <si>
    <t>[18]</t>
  </si>
  <si>
    <t>Coho salmon (13)</t>
  </si>
  <si>
    <t>Common carp</t>
  </si>
  <si>
    <t>Common scallop (11,30)</t>
  </si>
  <si>
    <t>Common squids (6)</t>
  </si>
  <si>
    <t>Cunene horse mackerel (7)</t>
  </si>
  <si>
    <t>Cupped oysters nei (2)</t>
  </si>
  <si>
    <t>Cuttlefishes, bobtail squids (6)</t>
  </si>
  <si>
    <t>[63]</t>
  </si>
  <si>
    <t>Cyprinids nei (16)</t>
  </si>
  <si>
    <t>Dagaas</t>
  </si>
  <si>
    <t>[3.1]</t>
  </si>
  <si>
    <t>[97]</t>
  </si>
  <si>
    <t>[406]</t>
  </si>
  <si>
    <t>Dentex seabreams, etc nei</t>
  </si>
  <si>
    <t>European anchovy (4,28)</t>
  </si>
  <si>
    <t>European hake (5)</t>
  </si>
  <si>
    <t>European pilchard</t>
  </si>
  <si>
    <t>European plaice</t>
  </si>
  <si>
    <t>European sprat</t>
  </si>
  <si>
    <t>Filefishes (17)</t>
  </si>
  <si>
    <t>[33]</t>
  </si>
  <si>
    <t>[36]</t>
  </si>
  <si>
    <t>Flathead mullet (18)</t>
  </si>
  <si>
    <t>Freshwater bream (16)</t>
  </si>
  <si>
    <t>Frigate and bullet tunas (1)</t>
  </si>
  <si>
    <t>Goldstripe sardinella (8)</t>
  </si>
  <si>
    <t>Green mussel (19)</t>
  </si>
  <si>
    <t>Greenland halibut (3)</t>
  </si>
  <si>
    <t>Hairtails, cutlassfishes</t>
  </si>
  <si>
    <t>Hard clam (15)</t>
  </si>
  <si>
    <t>Indian mackerel (20)</t>
  </si>
  <si>
    <t>[45]</t>
  </si>
  <si>
    <t>Indian mackerels nei (20)</t>
  </si>
  <si>
    <t>Indian oil sardine (8)</t>
  </si>
  <si>
    <t>Indian scad (21)</t>
  </si>
  <si>
    <t>[52]</t>
  </si>
  <si>
    <t>Jack and horse mackerels nei (7)</t>
  </si>
  <si>
    <t>[19.8]</t>
  </si>
  <si>
    <t>[1.7]</t>
  </si>
  <si>
    <t>[418]</t>
  </si>
  <si>
    <t>Japanese amberjack (22,31)</t>
  </si>
  <si>
    <t>2.3(12.3)</t>
  </si>
  <si>
    <t>115(205)</t>
  </si>
  <si>
    <t>480(857)</t>
  </si>
  <si>
    <t>Japanese anchovy (4,28)</t>
  </si>
  <si>
    <t>Japanese Manila) clam ((15)</t>
  </si>
  <si>
    <t>Japanese claim (15)</t>
  </si>
  <si>
    <t>Japanese flying squid (6)</t>
  </si>
  <si>
    <t>Japanese jack mackerel (7)</t>
  </si>
  <si>
    <t>Japanese pilchard</t>
  </si>
  <si>
    <t>Japanese scad (21)</t>
  </si>
  <si>
    <t>Japanese scallop (11,30)</t>
  </si>
  <si>
    <t>Japanese Spanish mackerel (23)</t>
  </si>
  <si>
    <t>[4.4]</t>
  </si>
  <si>
    <t>[125]</t>
  </si>
  <si>
    <t>[523]</t>
  </si>
  <si>
    <t>Jellyfishes</t>
  </si>
  <si>
    <t>[0.8]</t>
  </si>
  <si>
    <t>[0.1]</t>
  </si>
  <si>
    <t>[4]</t>
  </si>
  <si>
    <t>18]</t>
  </si>
  <si>
    <t>Kawakawa (1)</t>
  </si>
  <si>
    <t>Largehead hairtail (24)</t>
  </si>
  <si>
    <t>Mediterranean horse mackerel (7)</t>
  </si>
  <si>
    <t>Milkfish</t>
  </si>
  <si>
    <t>Mullets nei</t>
  </si>
  <si>
    <t>Narrow-barred spanish</t>
  </si>
  <si>
    <t>king) mackerel ((23)</t>
  </si>
  <si>
    <t>Nile perch</t>
  </si>
  <si>
    <t>[65]</t>
  </si>
  <si>
    <t>[21.2]</t>
  </si>
  <si>
    <t>[98]</t>
  </si>
  <si>
    <t>[409]</t>
  </si>
  <si>
    <t>North Pacific anchovy (4,28)</t>
  </si>
  <si>
    <t>North Pacific hake (5)</t>
  </si>
  <si>
    <t>Northern bluefin tuna (1)</t>
  </si>
  <si>
    <t>Northern brown shrimp (9)</t>
  </si>
  <si>
    <t>Northern prawn</t>
  </si>
  <si>
    <t>Northern white shrimp (9)</t>
  </si>
  <si>
    <t>Ocean quahog (15)</t>
  </si>
  <si>
    <t>Octopuses (6)</t>
  </si>
  <si>
    <t>[79]</t>
  </si>
  <si>
    <t>Pacific cod</t>
  </si>
  <si>
    <t>Pacific cupped oyster</t>
  </si>
  <si>
    <t>Pacific herring</t>
  </si>
  <si>
    <t>Pacific saury</t>
  </si>
  <si>
    <t>Penaeus shrimps nei</t>
  </si>
  <si>
    <t>Pink salmon (13)</t>
  </si>
  <si>
    <t>Ponyfishes (Slipmouths) nei</t>
  </si>
  <si>
    <t>[1.0]</t>
  </si>
  <si>
    <t>[85]</t>
  </si>
  <si>
    <t>[358]</t>
  </si>
  <si>
    <t>Round sardinella (8)</t>
  </si>
  <si>
    <t>Sardinellas nei (8)</t>
  </si>
  <si>
    <t>Scads</t>
  </si>
  <si>
    <t>Scallops nei (30)</t>
  </si>
  <si>
    <t>Scorpionfishes, etc nei (25)</t>
  </si>
  <si>
    <t>Sea mussels nei (19)</t>
  </si>
  <si>
    <t>Sea scallop (11,30)</t>
  </si>
  <si>
    <t>Short neck clams (15)</t>
  </si>
  <si>
    <t>Silver hake (5)</t>
  </si>
  <si>
    <t>Silver seabream (26)</t>
  </si>
  <si>
    <t>Skipjack tuna</t>
  </si>
  <si>
    <t>Snoek (24)</t>
  </si>
  <si>
    <t>Sockeye salmon (13)</t>
  </si>
  <si>
    <t>South American pilchard (12)</t>
  </si>
  <si>
    <t>Southern African anchovy (4,28)</t>
  </si>
  <si>
    <t>Southern African pilchard (12)</t>
  </si>
  <si>
    <t>Southern blue whiting (27)</t>
  </si>
  <si>
    <t>Southern bluefin tuna (1)</t>
  </si>
  <si>
    <t>Squids nei (6)</t>
  </si>
  <si>
    <t>Stolephorus anchovies (4,28)</t>
  </si>
  <si>
    <t>Striped venus (15)</t>
  </si>
  <si>
    <t>Surf clam (15)</t>
  </si>
  <si>
    <t>Threadsail filefish (17)</t>
  </si>
  <si>
    <t>[12.6]</t>
  </si>
  <si>
    <t>[198]</t>
  </si>
  <si>
    <t>[829]</t>
  </si>
  <si>
    <t>Triggerfishes, durgons</t>
  </si>
  <si>
    <t>[49]</t>
  </si>
  <si>
    <t>[0.4]</t>
  </si>
  <si>
    <t>[340]</t>
  </si>
  <si>
    <t>Yellowfin sole (3)</t>
  </si>
  <si>
    <t>Yellowfin tuna (1)</t>
  </si>
  <si>
    <t>nei = not elsewhere included</t>
  </si>
  <si>
    <t>[ ] = provisional</t>
  </si>
  <si>
    <t>Estimates of multipliers to align with USDA food availability data</t>
  </si>
  <si>
    <t>Source of USDA data: Loss adjusted food availability 'Dairy' and 'Meats, poultry, fish, eggs and nuts' spreadsheets: https://www.ers.usda.gov/data-products/food-availability-per-capita-data-system/food-availability-per-capita-data-system/#Loss-Adjusted%20Food%20Availability</t>
  </si>
  <si>
    <t>Per capita availability, primary weight (lbs), USDA</t>
  </si>
  <si>
    <t>Per capita availability loss adjusted edible weight (lbs), USDA</t>
  </si>
  <si>
    <t>Loss adjusted edible proportion, USDA</t>
  </si>
  <si>
    <t>Individual primary weight (kg), FAO</t>
  </si>
  <si>
    <t>Loss adjusted edible individual weight (kg)</t>
  </si>
  <si>
    <t>Per capita individual availability per year (lives)</t>
  </si>
  <si>
    <t>Total availability per day (lives)</t>
  </si>
  <si>
    <t>Product elasticity (impact of 1 unit reduction)</t>
  </si>
  <si>
    <t>Lives saved per day from replacing product</t>
  </si>
  <si>
    <t>Total lives per day (NHANES)</t>
  </si>
  <si>
    <t>NHANES multiplier to align with USDA (lives)</t>
  </si>
  <si>
    <t>Total availability per day (days)</t>
  </si>
  <si>
    <t>Days of life saved per day from replacing product</t>
  </si>
  <si>
    <t>Total days per day (NHANES)</t>
  </si>
  <si>
    <t>NHANES multiplier to align with USDA (days)</t>
  </si>
  <si>
    <t>Total</t>
  </si>
  <si>
    <t>Although clams were listed among the top ten species consumed in the U.S., they are not included in the estimates because the data on clams is weak, and their low bodyweight means they could have a lot of influence on the overall estimates. This is particularly problematic given the high degree of uncertainty about the capacity of clams to suffer.</t>
  </si>
  <si>
    <t>Dairy ice cream</t>
  </si>
  <si>
    <t>Dairy cheese</t>
  </si>
  <si>
    <t xml:space="preserve">Dairy yoghurt </t>
  </si>
  <si>
    <t>Dairy yoghurt</t>
  </si>
  <si>
    <t>Ice cream</t>
  </si>
  <si>
    <t>https://texasfarmbureau.org/wp-content/uploads/2020/03/DairyConnection_03.2020.pdf</t>
  </si>
  <si>
    <t>"It takes 12 pounds of milk to make one gallon of ice cream."</t>
  </si>
  <si>
    <t>"It takes 12 pounds of whole milk to make one gallon of ice cream."</t>
  </si>
  <si>
    <t>https://umpquadairy.com/cool-cow-facts/</t>
  </si>
  <si>
    <t>Milk in kg</t>
  </si>
  <si>
    <t>Ice cream in kg</t>
  </si>
  <si>
    <t>Proportion quoted in source</t>
  </si>
  <si>
    <t>Proportion Source</t>
  </si>
  <si>
    <t>Proportion of milk loss</t>
  </si>
  <si>
    <t>Cheese</t>
  </si>
  <si>
    <t>Cheese in kg</t>
  </si>
  <si>
    <t>Yoghurt</t>
  </si>
  <si>
    <t>Yoghurt in kg</t>
  </si>
  <si>
    <t>"Typically it takes about 10 litres of milk to make one kilogram of cheese."</t>
  </si>
  <si>
    <t>"...ten pounds of milk to make a pound of cheese"</t>
  </si>
  <si>
    <t>“About 10 pounds (1.25 gallons) of milk are required to make one pound of cheese.”</t>
  </si>
  <si>
    <t>"100 pounds of milk makes about 10 pounds of cheese"</t>
  </si>
  <si>
    <t>"It takes around 9 litres of milk to make a kilogram of cheese."</t>
  </si>
  <si>
    <t>https://www.dairysafe.vic.gov.au/consumers/dairy-foods/cheese</t>
  </si>
  <si>
    <t>https://www.sdstate.edu/south-dakota-agricultural-heritage-museumblog/holy-cows-61021</t>
  </si>
  <si>
    <t>https://extension.psu.edu/get-more-from-your-milk-increasing-profit-through-value-added-dairy-food-products</t>
  </si>
  <si>
    <t>https://www.anchordairy.com/nz/en/nutrition-blog/faqs-and-product-facts/how-cheese-is-made.html</t>
  </si>
  <si>
    <t>https://eviayoghurt.com.au/artisan</t>
  </si>
  <si>
    <t>https://introbiz.tv/dairy-industry-puts-its-hope-in-icelandic-yogurt/</t>
  </si>
  <si>
    <t>"4 litres of milk to make 1 kg of yoghurt."</t>
  </si>
  <si>
    <t>"It requires four pounds of milk to create a single pound of Icelandic yogurt."</t>
  </si>
  <si>
    <t>https://pubs.nmsu.edu/_e/E216</t>
  </si>
  <si>
    <t>Male Offspring</t>
  </si>
  <si>
    <t>Male chicks</t>
  </si>
  <si>
    <t>up to 3 weeks</t>
  </si>
  <si>
    <t xml:space="preserve">until about 16 to 18 weeks </t>
  </si>
  <si>
    <t>Male calves</t>
  </si>
  <si>
    <t>Bobby calves</t>
  </si>
  <si>
    <t>Other calves</t>
  </si>
  <si>
    <t>Male calves per dairy cow</t>
  </si>
  <si>
    <t>Proportion of calves</t>
  </si>
  <si>
    <t>Dairy cow active period, calving interval, calf age before slaughter and proportion of veal calves quoted in source</t>
  </si>
  <si>
    <t>https://www.ciwf.org.uk/media/5235185/the-life-of-dairy-cows.pdf
https://www.aphis.usda.gov/animal_health/nahms/dairy/downloads/dairy14/Dairy14_dr_PartI_1.pdf
https://www.fsis.usda.gov/food-safety/safe-food-handling-and-preparation/meat/veal-farm-table</t>
  </si>
  <si>
    <t>Age before slaughter</t>
  </si>
  <si>
    <t>Average age (days)</t>
  </si>
  <si>
    <t>Veal calves</t>
  </si>
  <si>
    <t>Lifetime in days including indirect effects (feed fish, mortality, male chicks and male calves)</t>
  </si>
  <si>
    <t xml:space="preserve">Age (days) before culling </t>
  </si>
  <si>
    <t>"Producing milk from age 2.5 to 5.5",
"The overall calving interval was 13.1 months", 
"Bob" Veal: About fifteen percent of veal calves are marketed up to 3 weeks of age", "A veal calf is raised until about 16 to 18 weeks of age"</t>
  </si>
  <si>
    <t>Layer hens and male chicks killed and chick age before culling quoted in source</t>
  </si>
  <si>
    <t xml:space="preserve">Layer hens and male chicks are killed in the egg industry every year, at around 7 billion each.
</t>
  </si>
  <si>
    <t>Male chicks are typically one day old when they are killed.</t>
  </si>
  <si>
    <t xml:space="preserve">https://en.wikipedia.org/w/index.php?title=Chick_culling&amp;oldid=961208387
</t>
  </si>
  <si>
    <t xml:space="preserve">FAOSTAT [Internet]. [cited 2020 Apr 26]. Available from: http://www.fao.org/faostat/en/
</t>
  </si>
  <si>
    <t>Krautwald-Junghanns M-E, Cramer K, Fischer B, Förster A, Galli R, Kremer F, et al. Current
approaches to avoid the culling of day-old male chicks in the layer industry, with special
reference to spectroscopic methods. Poult Sci. 2018;97:749–57.</t>
  </si>
  <si>
    <t xml:space="preserve"> Male chick life lost per layer hen</t>
  </si>
  <si>
    <t>Amount Consumed in 2019 (pounds)</t>
  </si>
  <si>
    <t xml:space="preserve">Source for product consumption: </t>
  </si>
  <si>
    <t>https://aboutseafood.com/press_release/nfis-top-10-list-suggests-consumers-diversifying-seafood-consumption/</t>
  </si>
  <si>
    <t>https://welfarefootprint.org/welfare-of-farmed-fish/</t>
  </si>
  <si>
    <t>Welfare Footprint Data</t>
  </si>
  <si>
    <t>Notes</t>
  </si>
  <si>
    <t>Average of data for Atlantic and Coho Salmon, respectively</t>
  </si>
  <si>
    <t>Mortality rate (midpoint estimates)</t>
  </si>
  <si>
    <t>Nile Tilapia</t>
  </si>
  <si>
    <t>Harvest age (midpoint estimates, months)</t>
  </si>
  <si>
    <t>Conversion to Lifespan (days)</t>
  </si>
  <si>
    <t>Pangasius</t>
  </si>
  <si>
    <t>Average of data for African Sharptooth Catfish and Yellow Catfish, respectively</t>
  </si>
  <si>
    <t>Pangas Catfish</t>
  </si>
  <si>
    <t>Weights: Fishcount fish weights, weight of farmed atlantic salmon; Aquaculture/wild caught: https://www.seafoodhealthfacts.org/seafood-choices/description-top-commercial-seafood-items/salmon</t>
  </si>
  <si>
    <t>Weights: Fishcount fish weights, minimum and maximum of all farmed tilapia; Aquaculture/wild caught: assumed all aquaculture based on https://www.seafoodhealthfacts.org/description-top-commercial-seafood-items/tilapia</t>
  </si>
  <si>
    <t>Weights: Fishcount fish weights, pangas catfish (pangasius spp), aquaculture only; Aquaculture/wild caught: assumed all aquaculture based on https://www.seafoodhealthfacts.org/description-top-commercial-seafood-items/pangasius</t>
  </si>
  <si>
    <t>Weights: Fishcount fish weights, farmed channel catfish (assumed channel catfish based on https://www.seafoodhealthfacts.org/seafood-choices/description-top-commercial-seafood-items/catfish); Aquaculture/wild caught: assumed all aquaculture based on https://www.seafoodhealthfacts.org/seafood-choices/description-top-commercial-seafood-items/catfish</t>
  </si>
  <si>
    <t xml:space="preserve">Source for finfish lifespan and mortality: </t>
  </si>
  <si>
    <t>https://effop.org/wp-content/uploads/2019/06/EUMOFA-Monthly-Highlights-April-2019-Fishmeal-and-Fish-Oil.pdf</t>
  </si>
  <si>
    <r>
      <t xml:space="preserve">Fish oil not used for livestock: </t>
    </r>
    <r>
      <rPr>
        <u/>
        <sz val="10"/>
        <color rgb="FF1155CC"/>
        <rFont val="Arial"/>
        <family val="2"/>
      </rPr>
      <t>https://www.goucher.edu/learn/documents/Econ-Report-All.pdf#page=79 (also by omission from source above)</t>
    </r>
  </si>
  <si>
    <t>http://fishcount.org.uk/fish-count-estimates-2/numbers-of-wild-fish-caught-for-reduction-to-fish-oil-and-fishmeal</t>
  </si>
  <si>
    <r>
      <t>https://www.fao.org/faostat/en/#data/QCL</t>
    </r>
    <r>
      <rPr>
        <u/>
        <sz val="10"/>
        <color theme="10"/>
        <rFont val="Arial"/>
        <family val="2"/>
      </rPr>
      <t>, accessed Nov. 29, 2022</t>
    </r>
  </si>
  <si>
    <t>Total number of layer hens globally</t>
  </si>
  <si>
    <t>Yield per animal, FAO, 2020, (kilograms)</t>
  </si>
  <si>
    <t>Weights: FAO 2020 http://www.fao.org/faostat/en/#data/QL; Loss adjusted edible proportions: https://www.ers.usda.gov/data-products/food-availability-per-capita-data-system/food-availability-per-capita-data-system/#Loss-Adjusted%20Food%20Availability</t>
  </si>
  <si>
    <t>Weights: FAO 2020 http://www.fao.org/faostat/en/#data/QL; Years producing milk: https://www.ciwf.org.uk/media/5235185/the-life-of-dairy-cows.pdf; Loss adjusted edible proportions: https://www.ers.usda.gov/data-products/food-availability-per-capita-data-system/food-availability-per-capita-data-system/#Loss-Adjusted%20Food%20Availability</t>
  </si>
  <si>
    <t>Weights: FAO 2020 http://www.fao.org/faostat/en/#data/QL; Years producing milk: https://www.ciwf.org.uk/media/5235185/the-life-of-dairy-cows.pdf; Loss adjusted edible proportions: https://www.ers.usda.gov/data-products/food-availability-per-capita-data-system/food-availability-per-capita-data-system/#Loss-Adjusted%20Food%20Availability; Milk loss proportion: https://texasfarmbureau.org/wp-content/uploads/2020/03/DairyConnection_03.2020.pdf, https://umpquadairy.com/cool-cow-facts/</t>
  </si>
  <si>
    <t>Weights: FAO 2020 http://www.fao.org/faostat/en/#data/QL; Years producing milk: https://www.ciwf.org.uk/media/5235185/the-life-of-dairy-cows.pdf; Loss adjusted edible proportions: https://www.ers.usda.gov/data-products/food-availability-per-capita-data-system/food-availability-per-capita-data-system/#Loss-Adjusted%20Food%20Availability; Milk loss proportion: https://www.dairysafe.vic.gov.au/consumers/dairy-foods/cheese, https://www.sdstate.edu/south-dakota-agricultural-heritage-museumblog/holy-cows-61021, https://pubs.nmsu.edu/_e/E216/, https://extension.psu.edu/get-more-from-your-milk-increasing-profit-through-value-added-dairy-food-products, https://www.anchordairy.com/nz/en/nutrition-blog/faqs-and-product-facts/how-cheese-is-made.html</t>
  </si>
  <si>
    <t>Weights: FAO 2020 http://www.fao.org/faostat/en/#data/QL; Years producing milk: https://www.ciwf.org.uk/media/5235185/the-life-of-dairy-cows.pdf; Loss adjusted edible proportions: https://www.ers.usda.gov/data-products/food-availability-per-capita-data-system/food-availability-per-capita-data-system/#Loss-Adjusted%20Food%20Availability; Milk loss proportion: https://eviayoghurt.com.au/artisan, https://introbiz.tv/dairy-industry-puts-its-hope-in-icelandic-yogurt/</t>
  </si>
  <si>
    <t>Weights: FAO 2020 http://www.fao.org/faostat/en/#data/QL; Years producing eggs: http://www.fao.org/3/y4628e/y4628e03.htm; Loss adjusted edible proportions: https://www.ers.usda.gov/data-products/food-availability-per-capita-data-system/food-availability-per-capita-data-system/#Loss-Adjusted%20Food%20Availability</t>
  </si>
  <si>
    <t>Weights: National Fisheries Institute and Fishcount - weighted average weight of most consumed US fish products https://aboutseafood.com/press_release/nfis-top-10-list-suggests-consumers-diversifying-seafood-consumption, http://fishcount.org.uk/studydatascreens2/2017/numbers-of-farmed-fish-A0-2017.php?sort2/full and http://fishcount.org.uk/studydatascreens/2016/numbers-of-wild-fish-A0-2016.php; Loss adjusted edible proportions: https://www.ers.usda.gov/data-products/food-availability-per-capita-data-system/food-availability-per-capita-data-system/#Loss-Adjusted%20Food%20Availability and http://www.fao.org/3/T0219E/T0219E01.htm; Wild caught vs. aquaculture proportions: https://www.seafoodhealthfacts.org/seafood-choices/description-top-commercial-seafood-items; global feed fish and aquaculture numbers: fishcount.org.uk; bycatch: https://assets.wwf.org.uk/downloads/bycatch_paper.pdf</t>
  </si>
  <si>
    <t>Weights: National Fisheries Institute and Fishcount/several other sources for crab, see 'Shellfish weights' sheet - weighted average weight of most consumed US shellfish products https://aboutseafood.com/press_release/nfis-top-10-list-suggests-consumers-diversifying-seafood-consumption, http://fishcount.org.uk/studydatascreens2/2017/numbers-of-farmed-decapods-A0-2017.php?sort2/full; Loss adjusted edible proportions: https://www.ers.usda.gov/data-products/food-availability-per-capita-data-system/food-availability-per-capita-data-system/#Loss-Adjusted%20Food%20Availability and http://www.fao.org/3/T0219E/T0219E01.htm; Wild caught vs. aquaculture proportions: https://www.seafoodhealthfacts.org/seafood-choices/description-top-commercial-seafood-items/shrimp for shrimp, assumed all wild caught for crabs based on: https://www.fishwatch.gov/sustainable-seafood/the-global-picture; ; global feed fish and aquaculture numbers: fishcount.org.uk; bycatch: https://assets.wwf.org.uk/downloads/bycatch_paper.pdf</t>
  </si>
  <si>
    <t>Lifetime in days: https://welfarefootprint.org/welfare-of-farmed-fish/, assumed 1 day for wild caught</t>
  </si>
  <si>
    <t>Butter</t>
  </si>
  <si>
    <t>Butter in kg</t>
  </si>
  <si>
    <t>"a pound of Hope Butter...takes 2.5 gal of milk."</t>
  </si>
  <si>
    <t>http://www.hopecreamery.com/butter-blog/the-cost-of-butter</t>
  </si>
  <si>
    <t>"1 gallon of milk will usually yield 1 to 1.5 pint of cream. The cream will churn to approx. 1/3 to ½ lb of butter." (butter midpoint estimate = .4167 lb)</t>
  </si>
  <si>
    <t>https://yourfamilyfarmer.com/recipes/how-to-make-raw-butter#:~:text=1%20gallon%20of%20milk%20will,our%20raw%20cow%20milk%20only</t>
  </si>
  <si>
    <t>"It takes approximately 20 litres (40 US pints) of milk to make a kilogram (about 2 pounds) of butter."</t>
  </si>
  <si>
    <t>https://www.cooksinfo.com/butter</t>
  </si>
  <si>
    <t>Dairy butter</t>
  </si>
  <si>
    <t>Weights: FAO 2020 http://www.fao.org/faostat/en/#data/QL; Years producing milk: https://www.ciwf.org.uk/media/5235185/the-life-of-dairy-cows.pdf; Loss adjusted edible proportions: https://www.ers.usda.gov/data-products/food-availability-per-capita-data-system/food-availability-per-capita-data-system/#Loss-Adjusted%20Food%20Availability; Milk loss proportion: http://www.hopecreamery.com/butter-blog/the-cost-of-butter, https://yourfamilyfarmer.com/recipes/how-to-make-raw-butter#:~:text=1%20gallon%20of%20milk%20will,our%20raw%20cow%20milk%20only, https://www.cooksinfo.com/butter</t>
  </si>
  <si>
    <r>
      <t xml:space="preserve">Milk loss proportion </t>
    </r>
    <r>
      <rPr>
        <sz val="10"/>
        <color theme="1"/>
        <rFont val="Arial"/>
        <family val="2"/>
      </rPr>
      <t>- estimates the proportion of milk weight that is lost during the production of ice cream, cheese, yogurt, and butter.</t>
    </r>
  </si>
  <si>
    <r>
      <t xml:space="preserve">Feed fish </t>
    </r>
    <r>
      <rPr>
        <sz val="10"/>
        <color theme="1"/>
        <rFont val="Arial"/>
        <family val="2"/>
      </rPr>
      <t>- estimates the average number of feed fish per farmed finfish, shellfish, pig, broiler chicken and layer hen.</t>
    </r>
  </si>
  <si>
    <r>
      <t xml:space="preserve">FAO livestock data </t>
    </r>
    <r>
      <rPr>
        <sz val="10"/>
        <color theme="1"/>
        <rFont val="Arial"/>
        <family val="2"/>
      </rPr>
      <t>- contains data from FAO on the primary weights of livestock in the U.S.</t>
    </r>
  </si>
  <si>
    <r>
      <t xml:space="preserve">Fishcount fish weights </t>
    </r>
    <r>
      <rPr>
        <sz val="10"/>
        <color theme="1"/>
        <rFont val="Arial"/>
        <family val="2"/>
      </rPr>
      <t>- contains data from Fishcount on weights of farmed and wild caught fish.</t>
    </r>
  </si>
  <si>
    <r>
      <t>Shellfish weights</t>
    </r>
    <r>
      <rPr>
        <sz val="10"/>
        <color theme="1"/>
        <rFont val="Arial"/>
        <family val="2"/>
      </rPr>
      <t xml:space="preserve"> - contains data from Fishcount on decapod weights, and estimates of U.S. wild caught crab weights.</t>
    </r>
  </si>
  <si>
    <r>
      <t xml:space="preserve">USDA food loss data </t>
    </r>
    <r>
      <rPr>
        <sz val="10"/>
        <color theme="1"/>
        <rFont val="Arial"/>
        <family val="2"/>
      </rPr>
      <t>- contains data from USDA on the proportion of food lost from primary to consumption stage.</t>
    </r>
  </si>
  <si>
    <r>
      <t>Open Philanthropy farmed fish data</t>
    </r>
    <r>
      <rPr>
        <sz val="10"/>
        <color theme="1"/>
        <rFont val="Arial"/>
        <family val="2"/>
      </rPr>
      <t xml:space="preserve"> - contains data from Open Philanthropy on farmed fish. Lifespan estimates used in this analysis.</t>
    </r>
  </si>
  <si>
    <r>
      <rPr>
        <b/>
        <sz val="10"/>
        <color rgb="FF000000"/>
        <rFont val="Arial"/>
        <family val="2"/>
      </rPr>
      <t xml:space="preserve">Welf Footpt Data </t>
    </r>
    <r>
      <rPr>
        <sz val="10"/>
        <color rgb="FF000000"/>
        <rFont val="Arial"/>
        <family val="2"/>
      </rPr>
      <t>- finfish lifespan and mortality estimates from welfarefootprint.org</t>
    </r>
  </si>
  <si>
    <t>Yield %</t>
  </si>
  <si>
    <t>"a prime hard-shell crab will yield 25 percent of its weight in meat."</t>
  </si>
  <si>
    <t>General</t>
  </si>
  <si>
    <t>"Dungeness crabs should be larger in size compared to other types of crab--between 6 and 10 inches in length, which will yield you at least 25% of its body weight in meat"</t>
  </si>
  <si>
    <t>"An average blue crab weighs about 1/3 pound, but the edible portion is quite low. An experienced crab picker can produce about 2 1/4 ounces of meat from each pound of live blue crabs. This is about a 14 percent yield."</t>
  </si>
  <si>
    <t>Most commonly consumed species: dungeness, stone, snow, king, blue</t>
  </si>
  <si>
    <t>Snow crab</t>
  </si>
  <si>
    <t>King crab</t>
  </si>
  <si>
    <t>Stone crab</t>
  </si>
  <si>
    <t>Blue crab</t>
  </si>
  <si>
    <t>Dungeness crab</t>
  </si>
  <si>
    <t>Averaged recovery percent from Table 8 of Powell &amp; Nickerson (1965) = 32.7%</t>
  </si>
  <si>
    <t>"The meat yield from snow crab is about 17% compared to approximately 25% in king crab and Dungeness crab."</t>
  </si>
  <si>
    <t>No specific statistics found. However, while only the claws are generally harvested, studies have found that 28-63% of declawed crabs die when thrown back.</t>
  </si>
  <si>
    <t>"Forty-seven of 101 [47%] crabs that had both claws removed died, and 28 of 100 [28%] single claw amputees died."</t>
  </si>
  <si>
    <t>"Across all samples, 12.8% of crabs died when no claws were removed, 40.8% when one claw was removed, and 62.9% when both claws were removed."</t>
  </si>
  <si>
    <t>Average edible proportion across species:</t>
  </si>
  <si>
    <t>Second Source if Found</t>
  </si>
  <si>
    <t>Cameron's Seafood</t>
  </si>
  <si>
    <t>Alaskan King Crab Co.</t>
  </si>
  <si>
    <t>FAO data does not include crabs. Crab estimates below.</t>
  </si>
  <si>
    <t>Average crab</t>
  </si>
  <si>
    <t>Average of most commonly consumed crab species (see below)</t>
  </si>
  <si>
    <t>Retail estimates: Edible weights per life/life day, and lives saved/days of suffering avoided per kilogram of product purchased for retail sale</t>
  </si>
  <si>
    <t>Overall estimates: Edible weights per life/life day, and lives saved/days of suffering avoided per kilogram of product consumed</t>
  </si>
  <si>
    <t>Total retail weight per life (kilograms)</t>
  </si>
  <si>
    <t>Total retail weight per life accounting for indirect effects (kilograms)</t>
  </si>
  <si>
    <t>Total retail weight per day of life (kilograms)</t>
  </si>
  <si>
    <t>Total retail weight per day of life accounting for indirect effects (kilograms)</t>
  </si>
  <si>
    <t>Loss adjusted proportion (primary to retail weight)</t>
  </si>
  <si>
    <t>All seafood excluding finfish (averaged)</t>
  </si>
  <si>
    <t>Lifetime in days: http://www.fao.org/tempref/FI/DOCUMENT/aquaculture/CulturedSpecies/file/en/en_whitelegshrimp.htm for shrimp</t>
  </si>
  <si>
    <t>Lifetime in days: assumed 1 day for crab (wild-caught)</t>
  </si>
  <si>
    <t>Milk loss proportion during manufacturing of dairy products</t>
  </si>
  <si>
    <t>Summary of per-kilo outputs for use in retail contexts</t>
  </si>
  <si>
    <t>Summary of per-pound outputs for use in retail contexts</t>
  </si>
  <si>
    <t>Summary of outputs for use in consumption analyses</t>
  </si>
  <si>
    <t>Direct LIVES PER KG purchased for retail sale</t>
  </si>
  <si>
    <t>Total LIVES PER KG purchased for retail sale (direct + indirect)</t>
  </si>
  <si>
    <t>Direct LIVES PER POUND purchased for retail sale</t>
  </si>
  <si>
    <t>Total LIVES PER POUND purchased for retail sale (direct + indirect)</t>
  </si>
  <si>
    <t>Direct DAYS OF SUFFERING PER KG purchased for retail sale</t>
  </si>
  <si>
    <t>Direct DAYS OF SUFFERING PER POUND purchased for retail sale</t>
  </si>
  <si>
    <t>Total DAYS OF SUFFERING PER POUND purchased for retail sale (direct + indirect)</t>
  </si>
  <si>
    <t>Total DAYS OF SUFFERING PER KG purchased for retail sale (direct + indirect)</t>
  </si>
  <si>
    <r>
      <rPr>
        <b/>
        <sz val="10"/>
        <rFont val="Arial"/>
        <family val="2"/>
      </rPr>
      <t>Summary</t>
    </r>
    <r>
      <rPr>
        <sz val="10"/>
        <color rgb="FF000000"/>
        <rFont val="Arial"/>
        <family val="2"/>
      </rPr>
      <t xml:space="preserve"> - summarises three types of outputs:
    1. The main outputs used for Faunalytics' analyses of U.S. and individual consumption
    2. Outputs per kilogram of product purchased for retail sale
    3. Outputs per pound of product purchased for retail sale
There are multiple estimates per type of output, capturing both direct and indirect animal lives. For more details see the linked Methodology document.</t>
    </r>
  </si>
  <si>
    <r>
      <rPr>
        <b/>
        <sz val="10"/>
        <rFont val="Arial"/>
        <family val="2"/>
      </rPr>
      <t>FAO fish and shellfish edible proportions</t>
    </r>
    <r>
      <rPr>
        <sz val="10"/>
        <color rgb="FF000000"/>
        <rFont val="Arial"/>
        <family val="2"/>
      </rPr>
      <t xml:space="preserve"> - contains data from FAO and other sources on the edible proportions of fish and shellfish. This data is needed because the USDA food loss data for fish and shellfish start at the edible weights.</t>
    </r>
  </si>
  <si>
    <r>
      <rPr>
        <b/>
        <sz val="10"/>
        <rFont val="Arial"/>
        <family val="2"/>
      </rPr>
      <t>USDA estimates</t>
    </r>
    <r>
      <rPr>
        <sz val="10"/>
        <color rgb="FF000000"/>
        <rFont val="Arial"/>
        <family val="2"/>
      </rPr>
      <t xml:space="preserve"> - uses USDA food availability data to estimate multipliers to reconcile the food consumption data in NHANES with the USDA's estimates of the number of animals available for consumption in the U.S. This is only relevant for consumption analyses, not retail purchase analyses.</t>
    </r>
  </si>
  <si>
    <t>The methodology is described in detail in a document available on the Open Science Framework at https://osf.io/rjp4m.</t>
  </si>
  <si>
    <t>Milk loss proportion during manufacturing of ice cream, cheese, yoghurt, and butter</t>
  </si>
  <si>
    <t>Additional sources of milk 'loss' during production of dairy products are captured on the 'Milk loss proportion' tab.</t>
  </si>
  <si>
    <t>Total LIVES PER KG purchased for retail sale (direct + indirect). Includes elasticities</t>
  </si>
  <si>
    <t>Direct LIVES PER KG purchased for retail sale. Incl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</si>
</sst>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0.000"/>
    <numFmt numFmtId="165" formatCode="#,##0.0"/>
    <numFmt numFmtId="166" formatCode="0.0%"/>
    <numFmt numFmtId="167" formatCode="0.0000"/>
    <numFmt numFmtId="168" formatCode="0.000"/>
    <numFmt numFmtId="169" formatCode="0.0"/>
    <numFmt numFmtId="170" formatCode="#,##0.###############"/>
    <numFmt numFmtId="171" formatCode="#,##0.00000"/>
    <numFmt numFmtId="172" formatCode="_-* #,##0_-;\-* #,##0_-;_-* &quot;-&quot;??_-;_-@_-"/>
    <numFmt numFmtId="173" formatCode="#,##0.0000"/>
  </numFmts>
  <fonts count="59">
    <font>
      <sz val="10"/>
      <color rgb="FF000000"/>
      <name val="Arial"/>
    </font>
    <font>
      <sz val="10"/>
      <color theme="1"/>
      <name val="Arial"/>
      <family val="2"/>
    </font>
    <font>
      <b/>
      <u/>
      <sz val="14"/>
      <color theme="1"/>
      <name val="Arial"/>
      <family val="2"/>
    </font>
    <font>
      <b/>
      <u/>
      <sz val="11"/>
      <color theme="1"/>
      <name val="Arial"/>
      <family val="2"/>
    </font>
    <font>
      <b/>
      <sz val="10"/>
      <color theme="1"/>
      <name val="Arial"/>
      <family val="2"/>
    </font>
    <font>
      <b/>
      <u/>
      <sz val="12"/>
      <color theme="1"/>
      <name val="Arial"/>
      <family val="2"/>
    </font>
    <font>
      <b/>
      <sz val="10"/>
      <color rgb="FF000000"/>
      <name val="Arial"/>
      <family val="2"/>
    </font>
    <font>
      <i/>
      <sz val="10"/>
      <color rgb="FF000000"/>
      <name val="Arial"/>
      <family val="2"/>
    </font>
    <font>
      <sz val="10"/>
      <color rgb="FF000000"/>
      <name val="Arial"/>
      <family val="2"/>
    </font>
    <font>
      <i/>
      <sz val="10"/>
      <color theme="1"/>
      <name val="Arial"/>
      <family val="2"/>
    </font>
    <font>
      <b/>
      <i/>
      <sz val="10"/>
      <color theme="1"/>
      <name val="Arial"/>
      <family val="2"/>
    </font>
    <font>
      <b/>
      <u/>
      <sz val="12"/>
      <color theme="1"/>
      <name val="Arial"/>
      <family val="2"/>
    </font>
    <font>
      <b/>
      <sz val="10"/>
      <color theme="1"/>
      <name val="Arial"/>
      <family val="2"/>
    </font>
    <font>
      <sz val="10"/>
      <color theme="1"/>
      <name val="Arial"/>
      <family val="2"/>
    </font>
    <font>
      <b/>
      <sz val="10"/>
      <color rgb="FF000000"/>
      <name val="Arial"/>
      <family val="2"/>
    </font>
    <font>
      <b/>
      <u/>
      <sz val="12"/>
      <color rgb="FF222222"/>
      <name val="Arial"/>
      <family val="2"/>
    </font>
    <font>
      <b/>
      <sz val="10"/>
      <color rgb="FF222222"/>
      <name val="Arial"/>
      <family val="2"/>
    </font>
    <font>
      <sz val="10"/>
      <color rgb="FF222222"/>
      <name val="Arial"/>
      <family val="2"/>
    </font>
    <font>
      <sz val="10"/>
      <name val="Arial"/>
      <family val="2"/>
    </font>
    <font>
      <b/>
      <u/>
      <sz val="12"/>
      <color rgb="FF222222"/>
      <name val="Arial"/>
      <family val="2"/>
    </font>
    <font>
      <u/>
      <sz val="10"/>
      <color rgb="FF0000FF"/>
      <name val="Arial"/>
      <family val="2"/>
    </font>
    <font>
      <u/>
      <sz val="10"/>
      <color rgb="FF0000FF"/>
      <name val="Arial"/>
      <family val="2"/>
    </font>
    <font>
      <u/>
      <sz val="10"/>
      <color rgb="FF0000FF"/>
      <name val="Arial"/>
      <family val="2"/>
    </font>
    <font>
      <b/>
      <u/>
      <sz val="11"/>
      <color theme="1"/>
      <name val="Arial"/>
      <family val="2"/>
    </font>
    <font>
      <sz val="10"/>
      <color rgb="FF000000"/>
      <name val="Arial"/>
      <family val="2"/>
    </font>
    <font>
      <sz val="10"/>
      <color rgb="FF222222"/>
      <name val="Arial"/>
      <family val="2"/>
    </font>
    <font>
      <b/>
      <u/>
      <sz val="12"/>
      <color theme="1"/>
      <name val="Arial"/>
      <family val="2"/>
    </font>
    <font>
      <b/>
      <u/>
      <sz val="11"/>
      <color theme="1"/>
      <name val="Arial"/>
      <family val="2"/>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0"/>
      <color rgb="FF0000FF"/>
      <name val="Arial"/>
      <family val="2"/>
    </font>
    <font>
      <u/>
      <sz val="10"/>
      <color rgb="FF000000"/>
      <name val="Arial"/>
      <family val="2"/>
    </font>
    <font>
      <u/>
      <sz val="10"/>
      <color rgb="FF0000FF"/>
      <name val="Arial"/>
      <family val="2"/>
    </font>
    <font>
      <b/>
      <u/>
      <sz val="12"/>
      <color rgb="FF000000"/>
      <name val="Arial"/>
      <family val="2"/>
    </font>
    <font>
      <b/>
      <sz val="10"/>
      <color rgb="FF111111"/>
      <name val="Arial"/>
      <family val="2"/>
    </font>
    <font>
      <sz val="10"/>
      <color rgb="FF111111"/>
      <name val="Arial"/>
      <family val="2"/>
    </font>
    <font>
      <b/>
      <u/>
      <sz val="12"/>
      <color rgb="FF111111"/>
      <name val="Arial"/>
      <family val="2"/>
    </font>
    <font>
      <b/>
      <u/>
      <sz val="12"/>
      <color theme="1"/>
      <name val="Arial"/>
      <family val="2"/>
    </font>
    <font>
      <b/>
      <u/>
      <sz val="10"/>
      <color rgb="FF0000FF"/>
      <name val="Arial"/>
      <family val="2"/>
    </font>
    <font>
      <i/>
      <sz val="10"/>
      <color theme="1"/>
      <name val="Arial"/>
      <family val="2"/>
    </font>
    <font>
      <b/>
      <u/>
      <sz val="12"/>
      <color rgb="FF000000"/>
      <name val="Arial"/>
      <family val="2"/>
    </font>
    <font>
      <b/>
      <u/>
      <sz val="10"/>
      <color rgb="FF000000"/>
      <name val="Arial"/>
      <family val="2"/>
    </font>
    <font>
      <b/>
      <u/>
      <sz val="10"/>
      <color rgb="FF000000"/>
      <name val="Arial"/>
      <family val="2"/>
    </font>
    <font>
      <sz val="10"/>
      <color rgb="FF000000"/>
      <name val="Roboto"/>
    </font>
    <font>
      <sz val="8"/>
      <color rgb="FF000000"/>
      <name val="Calibri"/>
      <family val="2"/>
    </font>
    <font>
      <b/>
      <sz val="10"/>
      <name val="Arial"/>
      <family val="2"/>
    </font>
    <font>
      <sz val="9"/>
      <color indexed="81"/>
      <name val="Tahoma"/>
      <family val="2"/>
    </font>
    <font>
      <sz val="10"/>
      <color rgb="FF000000"/>
      <name val="Arial"/>
      <family val="2"/>
    </font>
    <font>
      <b/>
      <sz val="10"/>
      <color theme="1"/>
      <name val="Arial"/>
      <family val="2"/>
    </font>
    <font>
      <i/>
      <sz val="10"/>
      <color rgb="FF000000"/>
      <name val="Arial"/>
      <family val="2"/>
    </font>
    <font>
      <u/>
      <sz val="10"/>
      <color theme="10"/>
      <name val="Arial"/>
    </font>
    <font>
      <b/>
      <sz val="9"/>
      <color indexed="81"/>
      <name val="Tahoma"/>
      <family val="2"/>
    </font>
    <font>
      <b/>
      <sz val="9"/>
      <color indexed="81"/>
      <name val="Tahoma"/>
      <charset val="1"/>
    </font>
    <font>
      <u/>
      <sz val="10"/>
      <color theme="10"/>
      <name val="Arial"/>
      <family val="2"/>
    </font>
    <font>
      <sz val="10"/>
      <color rgb="FF000000"/>
      <name val="Arial"/>
    </font>
    <font>
      <b/>
      <sz val="10"/>
      <color rgb="FF000000"/>
      <name val="Roboto"/>
    </font>
    <font>
      <sz val="11"/>
      <color rgb="FF9C57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8FFFF"/>
        <bgColor rgb="FFF8FFFF"/>
      </patternFill>
    </fill>
    <fill>
      <patternFill patternType="solid">
        <fgColor rgb="FFFFEB9C"/>
      </patternFill>
    </fill>
  </fills>
  <borders count="83">
    <border>
      <left/>
      <right/>
      <top/>
      <bottom/>
      <diagonal/>
    </border>
    <border>
      <left style="thick">
        <color rgb="FF000000"/>
      </left>
      <right/>
      <top style="thick">
        <color rgb="FF000000"/>
      </top>
      <bottom/>
      <diagonal/>
    </border>
    <border>
      <left/>
      <right/>
      <top style="thick">
        <color rgb="FF000000"/>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right style="thin">
        <color rgb="FF000000"/>
      </right>
      <top style="thick">
        <color rgb="FF000000"/>
      </top>
      <bottom style="thin">
        <color rgb="FF000000"/>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right style="thin">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right style="thin">
        <color rgb="FF000000"/>
      </right>
      <top/>
      <bottom style="thick">
        <color rgb="FF000000"/>
      </bottom>
      <diagonal/>
    </border>
    <border>
      <left style="thick">
        <color rgb="FF000000"/>
      </left>
      <right/>
      <top/>
      <bottom/>
      <diagonal/>
    </border>
    <border>
      <left/>
      <right style="thick">
        <color rgb="FF000000"/>
      </right>
      <top/>
      <bottom/>
      <diagonal/>
    </border>
    <border>
      <left style="thin">
        <color rgb="FF000000"/>
      </left>
      <right/>
      <top style="thick">
        <color rgb="FF000000"/>
      </top>
      <bottom style="thin">
        <color rgb="FF000000"/>
      </bottom>
      <diagonal/>
    </border>
    <border>
      <left style="thin">
        <color rgb="FF000000"/>
      </left>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n">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thick">
        <color rgb="FF000000"/>
      </left>
      <right style="thin">
        <color rgb="FF000000"/>
      </right>
      <top/>
      <bottom style="thin">
        <color indexed="64"/>
      </bottom>
      <diagonal/>
    </border>
    <border>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style="thick">
        <color indexed="64"/>
      </right>
      <top style="thick">
        <color rgb="FF000000"/>
      </top>
      <bottom style="thin">
        <color rgb="FF000000"/>
      </bottom>
      <diagonal/>
    </border>
    <border>
      <left style="thin">
        <color rgb="FF000000"/>
      </left>
      <right style="thick">
        <color indexed="64"/>
      </right>
      <top/>
      <bottom/>
      <diagonal/>
    </border>
    <border>
      <left style="thin">
        <color rgb="FF000000"/>
      </left>
      <right style="thick">
        <color indexed="64"/>
      </right>
      <top/>
      <bottom style="thin">
        <color indexed="64"/>
      </bottom>
      <diagonal/>
    </border>
    <border>
      <left style="thin">
        <color rgb="FF000000"/>
      </left>
      <right style="thick">
        <color indexed="64"/>
      </right>
      <top/>
      <bottom style="thick">
        <color rgb="FF000000"/>
      </bottom>
      <diagonal/>
    </border>
    <border>
      <left style="thin">
        <color rgb="FF000000"/>
      </left>
      <right style="thin">
        <color rgb="FF000000"/>
      </right>
      <top style="thin">
        <color indexed="64"/>
      </top>
      <bottom style="thick">
        <color rgb="FF000000"/>
      </bottom>
      <diagonal/>
    </border>
    <border>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indexed="64"/>
      </right>
      <top style="thick">
        <color rgb="FF000000"/>
      </top>
      <bottom style="thin">
        <color rgb="FF000000"/>
      </bottom>
      <diagonal/>
    </border>
    <border>
      <left style="thin">
        <color rgb="FF000000"/>
      </left>
      <right style="thick">
        <color indexed="64"/>
      </right>
      <top style="thin">
        <color rgb="FF000000"/>
      </top>
      <bottom/>
      <diagonal/>
    </border>
    <border>
      <left style="thin">
        <color rgb="FF000000"/>
      </left>
      <right style="thick">
        <color indexed="64"/>
      </right>
      <top/>
      <bottom style="thick">
        <color indexed="64"/>
      </bottom>
      <diagonal/>
    </border>
    <border>
      <left style="thick">
        <color rgb="FF000000"/>
      </left>
      <right style="thin">
        <color indexed="64"/>
      </right>
      <top/>
      <bottom style="thick">
        <color rgb="FF000000"/>
      </bottom>
      <diagonal/>
    </border>
    <border>
      <left/>
      <right style="thin">
        <color rgb="FF000000"/>
      </right>
      <top/>
      <bottom style="thick">
        <color indexed="64"/>
      </bottom>
      <diagonal/>
    </border>
    <border>
      <left style="thick">
        <color indexed="64"/>
      </left>
      <right style="thin">
        <color rgb="FF000000"/>
      </right>
      <top/>
      <bottom style="thick">
        <color indexed="64"/>
      </bottom>
      <diagonal/>
    </border>
    <border>
      <left style="thick">
        <color indexed="64"/>
      </left>
      <right/>
      <top style="medium">
        <color rgb="FF000000"/>
      </top>
      <bottom style="medium">
        <color rgb="FF000000"/>
      </bottom>
      <diagonal/>
    </border>
    <border>
      <left style="thick">
        <color indexed="64"/>
      </left>
      <right style="thick">
        <color indexed="64"/>
      </right>
      <top style="medium">
        <color rgb="FF000000"/>
      </top>
      <bottom style="medium">
        <color rgb="FF000000"/>
      </bottom>
      <diagonal/>
    </border>
    <border>
      <left/>
      <right style="thick">
        <color indexed="64"/>
      </right>
      <top style="medium">
        <color rgb="FF000000"/>
      </top>
      <bottom style="medium">
        <color rgb="FF000000"/>
      </bottom>
      <diagonal/>
    </border>
    <border>
      <left/>
      <right style="thick">
        <color indexed="64"/>
      </right>
      <top/>
      <bottom style="medium">
        <color rgb="FF000000"/>
      </bottom>
      <diagonal/>
    </border>
    <border>
      <left/>
      <right style="thick">
        <color indexed="64"/>
      </right>
      <top/>
      <bottom/>
      <diagonal/>
    </border>
    <border>
      <left style="thick">
        <color indexed="64"/>
      </left>
      <right style="thick">
        <color indexed="64"/>
      </right>
      <top/>
      <bottom/>
      <diagonal/>
    </border>
    <border>
      <left style="thick">
        <color indexed="64"/>
      </left>
      <right style="thick">
        <color indexed="64"/>
      </right>
      <top/>
      <bottom style="medium">
        <color rgb="FF000000"/>
      </bottom>
      <diagonal/>
    </border>
    <border>
      <left style="medium">
        <color rgb="FF000000"/>
      </left>
      <right/>
      <top/>
      <bottom style="thick">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style="thick">
        <color indexed="64"/>
      </right>
      <top/>
      <bottom style="thick">
        <color indexed="64"/>
      </bottom>
      <diagonal/>
    </border>
    <border>
      <left/>
      <right/>
      <top style="thick">
        <color indexed="64"/>
      </top>
      <bottom/>
      <diagonal/>
    </border>
    <border>
      <left style="thick">
        <color indexed="64"/>
      </left>
      <right/>
      <top/>
      <bottom style="thick">
        <color indexed="64"/>
      </bottom>
      <diagonal/>
    </border>
  </borders>
  <cellStyleXfs count="5">
    <xf numFmtId="0" fontId="0" fillId="0" borderId="0"/>
    <xf numFmtId="9" fontId="8" fillId="0" borderId="0" applyFont="0" applyFill="0" applyBorder="0" applyAlignment="0" applyProtection="0"/>
    <xf numFmtId="0" fontId="52" fillId="0" borderId="0" applyNumberFormat="0" applyFill="0" applyBorder="0" applyAlignment="0" applyProtection="0"/>
    <xf numFmtId="43" fontId="56" fillId="0" borderId="0" applyFont="0" applyFill="0" applyBorder="0" applyAlignment="0" applyProtection="0"/>
    <xf numFmtId="0" fontId="58" fillId="4" borderId="0" applyNumberFormat="0" applyBorder="0" applyAlignment="0" applyProtection="0"/>
  </cellStyleXfs>
  <cellXfs count="431">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xf numFmtId="0" fontId="4" fillId="0" borderId="0" xfId="0" applyFont="1"/>
    <xf numFmtId="0" fontId="4" fillId="0" borderId="4" xfId="0" applyFont="1" applyBorder="1" applyAlignment="1">
      <alignment wrapText="1"/>
    </xf>
    <xf numFmtId="3" fontId="1" fillId="0" borderId="0" xfId="0" applyNumberFormat="1" applyFont="1"/>
    <xf numFmtId="0" fontId="11" fillId="0" borderId="0" xfId="0" applyFont="1"/>
    <xf numFmtId="0" fontId="12" fillId="0" borderId="0" xfId="0" applyFont="1"/>
    <xf numFmtId="0" fontId="13" fillId="0" borderId="0" xfId="0" applyFont="1"/>
    <xf numFmtId="0" fontId="12" fillId="0" borderId="3" xfId="0" applyFont="1" applyBorder="1"/>
    <xf numFmtId="0" fontId="13" fillId="0" borderId="7" xfId="0" applyFont="1" applyBorder="1"/>
    <xf numFmtId="166" fontId="13" fillId="0" borderId="8" xfId="0" applyNumberFormat="1" applyFont="1" applyBorder="1"/>
    <xf numFmtId="166" fontId="13" fillId="0" borderId="9" xfId="0" applyNumberFormat="1" applyFont="1" applyBorder="1"/>
    <xf numFmtId="0" fontId="16" fillId="0" borderId="0" xfId="0" applyFont="1" applyAlignment="1">
      <alignment horizontal="left"/>
    </xf>
    <xf numFmtId="0" fontId="17" fillId="0" borderId="7" xfId="0" applyFont="1" applyBorder="1" applyAlignment="1">
      <alignment horizontal="left"/>
    </xf>
    <xf numFmtId="3" fontId="1" fillId="0" borderId="8" xfId="0" applyNumberFormat="1" applyFont="1" applyBorder="1"/>
    <xf numFmtId="0" fontId="1" fillId="0" borderId="8" xfId="0" applyFont="1" applyBorder="1"/>
    <xf numFmtId="0" fontId="1" fillId="0" borderId="9" xfId="0" applyFont="1" applyBorder="1"/>
    <xf numFmtId="0" fontId="1" fillId="0" borderId="11" xfId="0" applyFont="1" applyBorder="1"/>
    <xf numFmtId="0" fontId="1" fillId="0" borderId="12" xfId="0" applyFont="1" applyBorder="1"/>
    <xf numFmtId="0" fontId="1" fillId="0" borderId="13" xfId="0" applyFont="1" applyBorder="1"/>
    <xf numFmtId="0" fontId="1" fillId="0" borderId="7" xfId="0" applyFont="1" applyBorder="1"/>
    <xf numFmtId="169" fontId="1" fillId="0" borderId="8" xfId="0" applyNumberFormat="1" applyFont="1" applyBorder="1"/>
    <xf numFmtId="3" fontId="16" fillId="0" borderId="0" xfId="0" applyNumberFormat="1" applyFont="1" applyAlignment="1">
      <alignment horizontal="left"/>
    </xf>
    <xf numFmtId="4" fontId="4" fillId="0" borderId="0" xfId="0" applyNumberFormat="1" applyFont="1"/>
    <xf numFmtId="3" fontId="16" fillId="0" borderId="4" xfId="0" applyNumberFormat="1" applyFont="1" applyBorder="1" applyAlignment="1">
      <alignment horizontal="left"/>
    </xf>
    <xf numFmtId="0" fontId="16" fillId="0" borderId="11" xfId="0" applyFont="1" applyBorder="1" applyAlignment="1">
      <alignment horizontal="left"/>
    </xf>
    <xf numFmtId="0" fontId="23" fillId="0" borderId="0" xfId="0" applyFont="1"/>
    <xf numFmtId="0" fontId="1" fillId="0" borderId="3" xfId="0" applyFont="1" applyBorder="1"/>
    <xf numFmtId="0" fontId="4" fillId="0" borderId="4" xfId="0" applyFont="1" applyBorder="1"/>
    <xf numFmtId="0" fontId="12" fillId="0" borderId="3" xfId="0" applyFont="1" applyBorder="1" applyAlignment="1">
      <alignment wrapText="1"/>
    </xf>
    <xf numFmtId="0" fontId="12" fillId="0" borderId="4" xfId="0" applyFont="1" applyBorder="1" applyAlignment="1">
      <alignment wrapText="1"/>
    </xf>
    <xf numFmtId="0" fontId="12" fillId="0" borderId="5" xfId="0" applyFont="1" applyBorder="1" applyAlignment="1">
      <alignment wrapText="1"/>
    </xf>
    <xf numFmtId="0" fontId="13" fillId="0" borderId="8" xfId="0" applyFont="1" applyBorder="1"/>
    <xf numFmtId="0" fontId="13" fillId="0" borderId="9" xfId="0" applyFont="1" applyBorder="1"/>
    <xf numFmtId="2" fontId="13" fillId="0" borderId="8" xfId="0" applyNumberFormat="1" applyFont="1" applyBorder="1"/>
    <xf numFmtId="2" fontId="13" fillId="0" borderId="9" xfId="0" applyNumberFormat="1" applyFont="1" applyBorder="1"/>
    <xf numFmtId="0" fontId="13" fillId="0" borderId="11" xfId="0" applyFont="1" applyBorder="1"/>
    <xf numFmtId="2" fontId="13" fillId="0" borderId="12" xfId="0" applyNumberFormat="1" applyFont="1" applyBorder="1"/>
    <xf numFmtId="2" fontId="13" fillId="0" borderId="13" xfId="0" applyNumberFormat="1" applyFont="1" applyBorder="1"/>
    <xf numFmtId="0" fontId="0" fillId="0" borderId="7" xfId="0" applyBorder="1" applyAlignment="1">
      <alignment horizontal="left" vertical="top" wrapText="1"/>
    </xf>
    <xf numFmtId="0" fontId="13" fillId="0" borderId="9" xfId="0" applyFont="1" applyBorder="1" applyAlignment="1">
      <alignment horizontal="right"/>
    </xf>
    <xf numFmtId="0" fontId="0" fillId="0" borderId="11" xfId="0" applyBorder="1" applyAlignment="1">
      <alignment horizontal="left" vertical="top" wrapText="1"/>
    </xf>
    <xf numFmtId="0" fontId="13" fillId="0" borderId="13" xfId="0" applyFont="1" applyBorder="1" applyAlignment="1">
      <alignment horizontal="right"/>
    </xf>
    <xf numFmtId="0" fontId="24" fillId="0" borderId="0" xfId="0" applyFont="1"/>
    <xf numFmtId="2" fontId="13" fillId="0" borderId="0" xfId="0" applyNumberFormat="1" applyFont="1"/>
    <xf numFmtId="0" fontId="25" fillId="2" borderId="0" xfId="0" applyFont="1" applyFill="1" applyAlignment="1">
      <alignment horizontal="left"/>
    </xf>
    <xf numFmtId="0" fontId="13" fillId="0" borderId="3" xfId="0" applyFont="1" applyBorder="1"/>
    <xf numFmtId="0" fontId="13" fillId="0" borderId="4" xfId="0" applyFont="1" applyBorder="1"/>
    <xf numFmtId="0" fontId="13" fillId="0" borderId="5" xfId="0" applyFont="1" applyBorder="1"/>
    <xf numFmtId="3" fontId="13" fillId="0" borderId="8" xfId="0" applyNumberFormat="1" applyFont="1" applyBorder="1"/>
    <xf numFmtId="3" fontId="13" fillId="0" borderId="9" xfId="0" applyNumberFormat="1" applyFont="1" applyBorder="1"/>
    <xf numFmtId="0" fontId="13" fillId="0" borderId="12" xfId="0" applyFont="1" applyBorder="1"/>
    <xf numFmtId="0" fontId="13" fillId="0" borderId="13" xfId="0" applyFont="1" applyBorder="1"/>
    <xf numFmtId="0" fontId="12" fillId="0" borderId="24" xfId="0" applyFont="1" applyBorder="1" applyAlignment="1">
      <alignment wrapText="1"/>
    </xf>
    <xf numFmtId="0" fontId="12" fillId="0" borderId="25" xfId="0" applyFont="1" applyBorder="1" applyAlignment="1">
      <alignment wrapText="1"/>
    </xf>
    <xf numFmtId="0" fontId="12" fillId="0" borderId="26" xfId="0" applyFont="1" applyBorder="1" applyAlignment="1">
      <alignment wrapText="1"/>
    </xf>
    <xf numFmtId="0" fontId="0" fillId="0" borderId="7" xfId="0" applyBorder="1"/>
    <xf numFmtId="170" fontId="0" fillId="0" borderId="8" xfId="0" applyNumberFormat="1" applyBorder="1" applyAlignment="1">
      <alignment horizontal="right"/>
    </xf>
    <xf numFmtId="0" fontId="0" fillId="0" borderId="11" xfId="0" applyBorder="1"/>
    <xf numFmtId="170" fontId="0" fillId="0" borderId="12" xfId="0" applyNumberFormat="1" applyBorder="1" applyAlignment="1">
      <alignment horizontal="right"/>
    </xf>
    <xf numFmtId="0" fontId="14" fillId="2" borderId="3" xfId="0" applyFont="1" applyFill="1" applyBorder="1" applyAlignment="1">
      <alignment horizontal="left" vertical="top" wrapText="1"/>
    </xf>
    <xf numFmtId="0" fontId="14" fillId="2" borderId="4" xfId="0" applyFont="1" applyFill="1" applyBorder="1" applyAlignment="1">
      <alignment horizontal="left" vertical="top" wrapText="1"/>
    </xf>
    <xf numFmtId="0" fontId="14" fillId="2" borderId="5" xfId="0" applyFont="1" applyFill="1" applyBorder="1" applyAlignment="1">
      <alignment horizontal="left" vertical="top" wrapText="1"/>
    </xf>
    <xf numFmtId="2" fontId="0" fillId="0" borderId="8" xfId="0" applyNumberFormat="1" applyBorder="1" applyAlignment="1">
      <alignment horizontal="right" vertical="top" wrapText="1"/>
    </xf>
    <xf numFmtId="2" fontId="0" fillId="0" borderId="9" xfId="0" applyNumberFormat="1" applyBorder="1" applyAlignment="1">
      <alignment horizontal="right" vertical="top" wrapText="1"/>
    </xf>
    <xf numFmtId="2" fontId="0" fillId="0" borderId="12" xfId="0" applyNumberFormat="1" applyBorder="1" applyAlignment="1">
      <alignment horizontal="right" vertical="top" wrapText="1"/>
    </xf>
    <xf numFmtId="2" fontId="0" fillId="0" borderId="13" xfId="0" applyNumberFormat="1" applyBorder="1" applyAlignment="1">
      <alignment horizontal="right" vertical="top" wrapText="1"/>
    </xf>
    <xf numFmtId="0" fontId="26" fillId="0" borderId="0" xfId="0" applyFont="1"/>
    <xf numFmtId="0" fontId="4" fillId="0" borderId="5" xfId="0" applyFont="1" applyBorder="1" applyAlignment="1">
      <alignment wrapText="1"/>
    </xf>
    <xf numFmtId="166" fontId="1" fillId="0" borderId="8" xfId="0" applyNumberFormat="1" applyFont="1" applyBorder="1" applyAlignment="1">
      <alignment horizontal="right"/>
    </xf>
    <xf numFmtId="4" fontId="1" fillId="0" borderId="8" xfId="0" applyNumberFormat="1" applyFont="1" applyBorder="1"/>
    <xf numFmtId="169" fontId="1" fillId="0" borderId="8" xfId="0" applyNumberFormat="1" applyFont="1" applyBorder="1" applyAlignment="1">
      <alignment horizontal="right"/>
    </xf>
    <xf numFmtId="166" fontId="1" fillId="0" borderId="9" xfId="0" applyNumberFormat="1" applyFont="1" applyBorder="1"/>
    <xf numFmtId="0" fontId="1" fillId="0" borderId="8" xfId="0" applyFont="1" applyBorder="1" applyAlignment="1">
      <alignment horizontal="right"/>
    </xf>
    <xf numFmtId="0" fontId="27" fillId="0" borderId="0" xfId="0" applyFont="1"/>
    <xf numFmtId="166" fontId="1" fillId="0" borderId="0" xfId="0" applyNumberFormat="1" applyFont="1" applyAlignment="1">
      <alignment horizontal="right"/>
    </xf>
    <xf numFmtId="0" fontId="28" fillId="0" borderId="0" xfId="0" applyFont="1"/>
    <xf numFmtId="0" fontId="29" fillId="0" borderId="0" xfId="0" applyFont="1"/>
    <xf numFmtId="9" fontId="1" fillId="0" borderId="0" xfId="0" applyNumberFormat="1" applyFont="1" applyAlignment="1">
      <alignment horizontal="right"/>
    </xf>
    <xf numFmtId="9" fontId="1" fillId="0" borderId="0" xfId="0" applyNumberFormat="1" applyFont="1"/>
    <xf numFmtId="0" fontId="1" fillId="0" borderId="0" xfId="0" applyFont="1" applyAlignment="1">
      <alignment horizontal="right"/>
    </xf>
    <xf numFmtId="169" fontId="1" fillId="0" borderId="0" xfId="0" applyNumberFormat="1" applyFont="1" applyAlignment="1">
      <alignment horizontal="right"/>
    </xf>
    <xf numFmtId="166" fontId="1" fillId="0" borderId="0" xfId="0" applyNumberFormat="1" applyFont="1"/>
    <xf numFmtId="0" fontId="30" fillId="0" borderId="0" xfId="0" applyFont="1"/>
    <xf numFmtId="0" fontId="31" fillId="0" borderId="0" xfId="0" applyFont="1"/>
    <xf numFmtId="10" fontId="1" fillId="0" borderId="0" xfId="0" applyNumberFormat="1" applyFont="1" applyAlignment="1">
      <alignment horizontal="right"/>
    </xf>
    <xf numFmtId="169" fontId="1" fillId="0" borderId="0" xfId="0" applyNumberFormat="1" applyFont="1"/>
    <xf numFmtId="0" fontId="32" fillId="0" borderId="0" xfId="0" applyFont="1"/>
    <xf numFmtId="1" fontId="1" fillId="0" borderId="0" xfId="0" applyNumberFormat="1" applyFont="1" applyAlignment="1">
      <alignment horizontal="right"/>
    </xf>
    <xf numFmtId="0" fontId="33" fillId="0" borderId="0" xfId="0" applyFont="1"/>
    <xf numFmtId="0" fontId="34" fillId="0" borderId="0" xfId="0" applyFont="1"/>
    <xf numFmtId="0" fontId="4" fillId="0" borderId="0" xfId="0" applyFont="1" applyAlignment="1">
      <alignment horizontal="left"/>
    </xf>
    <xf numFmtId="0" fontId="1" fillId="0" borderId="0" xfId="0" applyFont="1" applyAlignment="1">
      <alignment horizontal="left"/>
    </xf>
    <xf numFmtId="0" fontId="36" fillId="0" borderId="0" xfId="0" applyFont="1" applyAlignment="1">
      <alignment horizontal="left" vertical="top"/>
    </xf>
    <xf numFmtId="0" fontId="36" fillId="0" borderId="0" xfId="0" applyFont="1" applyAlignment="1">
      <alignment horizontal="left" vertical="top" wrapText="1"/>
    </xf>
    <xf numFmtId="0" fontId="37" fillId="0" borderId="0" xfId="0" applyFont="1" applyAlignment="1">
      <alignment horizontal="left" vertical="top"/>
    </xf>
    <xf numFmtId="49" fontId="37" fillId="0" borderId="0" xfId="0" applyNumberFormat="1" applyFont="1" applyAlignment="1">
      <alignment horizontal="left" vertical="top"/>
    </xf>
    <xf numFmtId="0" fontId="37" fillId="0" borderId="0" xfId="0" applyFont="1" applyAlignment="1">
      <alignment horizontal="left" vertical="top" wrapText="1"/>
    </xf>
    <xf numFmtId="0" fontId="38" fillId="0" borderId="0" xfId="0" applyFont="1" applyAlignment="1">
      <alignment horizontal="left" vertical="top"/>
    </xf>
    <xf numFmtId="3" fontId="37" fillId="0" borderId="0" xfId="0" applyNumberFormat="1" applyFont="1" applyAlignment="1">
      <alignment horizontal="left" vertical="top"/>
    </xf>
    <xf numFmtId="3" fontId="36" fillId="0" borderId="0" xfId="0" applyNumberFormat="1" applyFont="1" applyAlignment="1">
      <alignment horizontal="left" vertical="top"/>
    </xf>
    <xf numFmtId="3" fontId="37" fillId="0" borderId="0" xfId="0" applyNumberFormat="1" applyFont="1" applyAlignment="1">
      <alignment horizontal="right" vertical="top"/>
    </xf>
    <xf numFmtId="4" fontId="37" fillId="0" borderId="0" xfId="0" applyNumberFormat="1" applyFont="1" applyAlignment="1">
      <alignment horizontal="right" vertical="top"/>
    </xf>
    <xf numFmtId="0" fontId="37" fillId="3" borderId="0" xfId="0" applyFont="1" applyFill="1" applyAlignment="1">
      <alignment horizontal="left" vertical="top"/>
    </xf>
    <xf numFmtId="0" fontId="39" fillId="0" borderId="0" xfId="0" applyFont="1"/>
    <xf numFmtId="0" fontId="12" fillId="0" borderId="0" xfId="0" applyFont="1" applyAlignment="1">
      <alignment horizontal="center"/>
    </xf>
    <xf numFmtId="0" fontId="40" fillId="0" borderId="0" xfId="0" applyFont="1"/>
    <xf numFmtId="0" fontId="12" fillId="0" borderId="28" xfId="0" applyFont="1" applyBorder="1" applyAlignment="1">
      <alignment horizontal="left" wrapText="1"/>
    </xf>
    <xf numFmtId="0" fontId="1" fillId="0" borderId="0" xfId="0" applyFont="1" applyAlignment="1">
      <alignment horizontal="left" wrapText="1"/>
    </xf>
    <xf numFmtId="0" fontId="13" fillId="0" borderId="27" xfId="0" applyFont="1" applyBorder="1"/>
    <xf numFmtId="0" fontId="41" fillId="0" borderId="28" xfId="0" applyFont="1" applyBorder="1" applyAlignment="1">
      <alignment horizontal="center"/>
    </xf>
    <xf numFmtId="0" fontId="1" fillId="0" borderId="28" xfId="0" applyFont="1" applyBorder="1"/>
    <xf numFmtId="0" fontId="13" fillId="0" borderId="29" xfId="0" applyFont="1" applyBorder="1"/>
    <xf numFmtId="0" fontId="13" fillId="2" borderId="0" xfId="0" applyFont="1" applyFill="1" applyAlignment="1">
      <alignment horizontal="right"/>
    </xf>
    <xf numFmtId="0" fontId="13" fillId="0" borderId="0" xfId="0" applyFont="1" applyAlignment="1">
      <alignment horizontal="right"/>
    </xf>
    <xf numFmtId="10" fontId="1" fillId="0" borderId="0" xfId="0" applyNumberFormat="1" applyFont="1"/>
    <xf numFmtId="0" fontId="4" fillId="0" borderId="0" xfId="0" applyFont="1" applyAlignment="1">
      <alignment horizontal="left" wrapText="1"/>
    </xf>
    <xf numFmtId="0" fontId="42" fillId="2" borderId="0" xfId="0" applyFont="1" applyFill="1" applyAlignment="1">
      <alignment horizontal="left"/>
    </xf>
    <xf numFmtId="0" fontId="8" fillId="2" borderId="0" xfId="0" applyFont="1" applyFill="1" applyAlignment="1">
      <alignment horizontal="left"/>
    </xf>
    <xf numFmtId="0" fontId="6" fillId="2" borderId="0" xfId="0" applyFont="1" applyFill="1" applyAlignment="1">
      <alignment horizontal="left"/>
    </xf>
    <xf numFmtId="10" fontId="8" fillId="2" borderId="0" xfId="0" applyNumberFormat="1" applyFont="1" applyFill="1" applyAlignment="1">
      <alignment horizontal="right"/>
    </xf>
    <xf numFmtId="0" fontId="43" fillId="2" borderId="0" xfId="0" applyFont="1" applyFill="1" applyAlignment="1">
      <alignment horizontal="left"/>
    </xf>
    <xf numFmtId="0" fontId="44" fillId="2" borderId="0" xfId="0" applyFont="1" applyFill="1" applyAlignment="1">
      <alignment horizontal="right"/>
    </xf>
    <xf numFmtId="0" fontId="6" fillId="2" borderId="0" xfId="0" applyFont="1" applyFill="1" applyAlignment="1">
      <alignment horizontal="center"/>
    </xf>
    <xf numFmtId="0" fontId="8" fillId="2" borderId="0" xfId="0" applyFont="1" applyFill="1" applyAlignment="1">
      <alignment horizontal="right"/>
    </xf>
    <xf numFmtId="0" fontId="45" fillId="2" borderId="0" xfId="0" applyFont="1" applyFill="1"/>
    <xf numFmtId="0" fontId="1" fillId="0" borderId="0" xfId="0" applyFont="1" applyAlignment="1">
      <alignment wrapText="1"/>
    </xf>
    <xf numFmtId="0" fontId="1" fillId="2" borderId="0" xfId="0" applyFont="1" applyFill="1" applyAlignment="1">
      <alignment horizontal="right"/>
    </xf>
    <xf numFmtId="2" fontId="1" fillId="0" borderId="0" xfId="0" applyNumberFormat="1" applyFont="1" applyAlignment="1">
      <alignment horizontal="right"/>
    </xf>
    <xf numFmtId="3" fontId="1" fillId="0" borderId="0" xfId="0" applyNumberFormat="1" applyFont="1" applyAlignment="1">
      <alignment horizontal="right"/>
    </xf>
    <xf numFmtId="4" fontId="4" fillId="0" borderId="0" xfId="0" applyNumberFormat="1" applyFont="1" applyAlignment="1">
      <alignment horizontal="right"/>
    </xf>
    <xf numFmtId="165" fontId="1" fillId="0" borderId="0" xfId="0" applyNumberFormat="1" applyFont="1" applyAlignment="1">
      <alignment horizontal="right"/>
    </xf>
    <xf numFmtId="4" fontId="1" fillId="0" borderId="0" xfId="0" applyNumberFormat="1" applyFont="1" applyAlignment="1">
      <alignment horizontal="right"/>
    </xf>
    <xf numFmtId="0" fontId="46" fillId="0" borderId="0" xfId="0" applyFont="1" applyAlignment="1">
      <alignment horizontal="left"/>
    </xf>
    <xf numFmtId="0" fontId="46" fillId="0" borderId="0" xfId="0" applyFont="1" applyAlignment="1">
      <alignment horizontal="right"/>
    </xf>
    <xf numFmtId="0" fontId="0" fillId="0" borderId="0" xfId="0" applyAlignment="1">
      <alignment wrapText="1"/>
    </xf>
    <xf numFmtId="0" fontId="5" fillId="0" borderId="0" xfId="0" applyFont="1"/>
    <xf numFmtId="166" fontId="0" fillId="0" borderId="0" xfId="1" applyNumberFormat="1" applyFont="1" applyAlignment="1"/>
    <xf numFmtId="9" fontId="13" fillId="0" borderId="8" xfId="1" applyFont="1" applyFill="1" applyBorder="1" applyAlignment="1"/>
    <xf numFmtId="166" fontId="13" fillId="0" borderId="8" xfId="1" applyNumberFormat="1" applyFont="1" applyFill="1" applyBorder="1" applyAlignment="1"/>
    <xf numFmtId="0" fontId="16" fillId="0" borderId="3" xfId="0" applyFont="1" applyBorder="1" applyAlignment="1">
      <alignment horizontal="left"/>
    </xf>
    <xf numFmtId="0" fontId="17" fillId="0" borderId="10" xfId="0" applyFont="1" applyBorder="1" applyAlignment="1">
      <alignment horizontal="left"/>
    </xf>
    <xf numFmtId="0" fontId="16" fillId="0" borderId="14" xfId="0" applyFont="1" applyBorder="1" applyAlignment="1">
      <alignment horizontal="left"/>
    </xf>
    <xf numFmtId="0" fontId="18" fillId="0" borderId="23" xfId="0" applyFont="1" applyBorder="1"/>
    <xf numFmtId="164" fontId="17" fillId="0" borderId="8" xfId="0" applyNumberFormat="1" applyFont="1" applyBorder="1" applyAlignment="1">
      <alignment horizontal="left"/>
    </xf>
    <xf numFmtId="0" fontId="17" fillId="0" borderId="32" xfId="0" applyFont="1" applyBorder="1" applyAlignment="1">
      <alignment horizontal="left"/>
    </xf>
    <xf numFmtId="0" fontId="17" fillId="0" borderId="33" xfId="0" applyFont="1" applyBorder="1" applyAlignment="1">
      <alignment horizontal="left"/>
    </xf>
    <xf numFmtId="164" fontId="17" fillId="0" borderId="34" xfId="0" applyNumberFormat="1" applyFont="1" applyBorder="1" applyAlignment="1">
      <alignment horizontal="left"/>
    </xf>
    <xf numFmtId="164" fontId="16" fillId="0" borderId="12" xfId="0" applyNumberFormat="1" applyFont="1" applyBorder="1" applyAlignment="1">
      <alignment horizontal="left"/>
    </xf>
    <xf numFmtId="0" fontId="6" fillId="0" borderId="0" xfId="0" applyFont="1"/>
    <xf numFmtId="4" fontId="4" fillId="0" borderId="35" xfId="0" applyNumberFormat="1" applyFont="1" applyBorder="1"/>
    <xf numFmtId="4" fontId="52" fillId="0" borderId="37" xfId="2" applyNumberFormat="1" applyBorder="1" applyAlignment="1"/>
    <xf numFmtId="0" fontId="18" fillId="0" borderId="38" xfId="0" applyFont="1" applyBorder="1"/>
    <xf numFmtId="4" fontId="52" fillId="0" borderId="36" xfId="2" applyNumberFormat="1" applyBorder="1" applyAlignment="1">
      <alignment horizontal="left"/>
    </xf>
    <xf numFmtId="166" fontId="0" fillId="0" borderId="0" xfId="0" applyNumberFormat="1"/>
    <xf numFmtId="164" fontId="16" fillId="0" borderId="39" xfId="0" applyNumberFormat="1" applyFont="1" applyBorder="1" applyAlignment="1">
      <alignment horizontal="left"/>
    </xf>
    <xf numFmtId="0" fontId="35" fillId="0" borderId="0" xfId="0" applyFont="1"/>
    <xf numFmtId="0" fontId="8" fillId="0" borderId="0" xfId="0" applyFont="1"/>
    <xf numFmtId="168" fontId="1" fillId="0" borderId="0" xfId="0" applyNumberFormat="1" applyFont="1"/>
    <xf numFmtId="0" fontId="0" fillId="0" borderId="0" xfId="0" applyAlignment="1">
      <alignment horizontal="left"/>
    </xf>
    <xf numFmtId="0" fontId="6" fillId="0" borderId="40" xfId="0" applyFont="1" applyBorder="1" applyAlignment="1">
      <alignment horizontal="center" vertical="center" wrapText="1"/>
    </xf>
    <xf numFmtId="9" fontId="0" fillId="0" borderId="45" xfId="0" applyNumberFormat="1" applyBorder="1"/>
    <xf numFmtId="4" fontId="0" fillId="0" borderId="45" xfId="0" applyNumberFormat="1" applyBorder="1"/>
    <xf numFmtId="0" fontId="8" fillId="0" borderId="45" xfId="0" applyFont="1" applyBorder="1"/>
    <xf numFmtId="2" fontId="0" fillId="0" borderId="45" xfId="0" applyNumberFormat="1" applyBorder="1"/>
    <xf numFmtId="0" fontId="16" fillId="0" borderId="47" xfId="0" applyFont="1" applyBorder="1" applyAlignment="1">
      <alignment horizontal="center" vertical="center"/>
    </xf>
    <xf numFmtId="0" fontId="6" fillId="0" borderId="47" xfId="0" applyFont="1" applyBorder="1" applyAlignment="1">
      <alignment horizontal="center" vertical="center"/>
    </xf>
    <xf numFmtId="0" fontId="6" fillId="0" borderId="47" xfId="0" applyFont="1" applyBorder="1" applyAlignment="1">
      <alignment horizontal="center" vertical="center" wrapText="1"/>
    </xf>
    <xf numFmtId="0" fontId="6" fillId="0" borderId="48" xfId="0" applyFont="1" applyBorder="1" applyAlignment="1">
      <alignment horizontal="left" vertical="center"/>
    </xf>
    <xf numFmtId="9" fontId="0" fillId="0" borderId="50" xfId="0" applyNumberFormat="1" applyBorder="1"/>
    <xf numFmtId="4" fontId="0" fillId="0" borderId="50" xfId="0" applyNumberFormat="1" applyBorder="1"/>
    <xf numFmtId="0" fontId="8" fillId="0" borderId="50" xfId="0" applyFont="1" applyBorder="1"/>
    <xf numFmtId="2" fontId="0" fillId="0" borderId="50" xfId="0" applyNumberFormat="1" applyBorder="1"/>
    <xf numFmtId="0" fontId="16" fillId="0" borderId="46" xfId="0" applyFont="1" applyBorder="1" applyAlignment="1">
      <alignment horizontal="left" wrapText="1"/>
    </xf>
    <xf numFmtId="9" fontId="0" fillId="0" borderId="45" xfId="0" applyNumberFormat="1" applyBorder="1" applyAlignment="1">
      <alignment horizontal="left"/>
    </xf>
    <xf numFmtId="9" fontId="8" fillId="0" borderId="50" xfId="0" applyNumberFormat="1" applyFont="1" applyBorder="1" applyAlignment="1">
      <alignment horizontal="left"/>
    </xf>
    <xf numFmtId="0" fontId="6" fillId="0" borderId="52" xfId="0" applyFont="1" applyBorder="1" applyAlignment="1">
      <alignment wrapText="1"/>
    </xf>
    <xf numFmtId="0" fontId="8" fillId="0" borderId="41" xfId="0" applyFont="1" applyBorder="1" applyAlignment="1">
      <alignment horizontal="left" vertical="center"/>
    </xf>
    <xf numFmtId="0" fontId="8" fillId="0" borderId="42" xfId="0" applyFont="1" applyBorder="1" applyAlignment="1">
      <alignment vertical="center" wrapText="1"/>
    </xf>
    <xf numFmtId="0" fontId="8" fillId="0" borderId="43" xfId="0" applyFont="1" applyBorder="1" applyAlignment="1">
      <alignment horizontal="left" vertical="center"/>
    </xf>
    <xf numFmtId="0" fontId="6" fillId="0" borderId="53" xfId="0" applyFont="1" applyBorder="1" applyAlignment="1">
      <alignment horizontal="center" vertical="center" wrapText="1"/>
    </xf>
    <xf numFmtId="0" fontId="6" fillId="0" borderId="54" xfId="0" applyFont="1" applyBorder="1" applyAlignment="1">
      <alignment horizontal="left" vertical="center"/>
    </xf>
    <xf numFmtId="0" fontId="52" fillId="0" borderId="58" xfId="2" applyBorder="1" applyAlignment="1">
      <alignment horizontal="left" vertical="center"/>
    </xf>
    <xf numFmtId="0" fontId="0" fillId="0" borderId="55" xfId="0" applyBorder="1" applyAlignment="1">
      <alignment vertical="center"/>
    </xf>
    <xf numFmtId="0" fontId="0" fillId="0" borderId="56" xfId="0" applyBorder="1" applyAlignment="1">
      <alignment vertical="center"/>
    </xf>
    <xf numFmtId="0" fontId="0" fillId="0" borderId="59" xfId="0" applyBorder="1" applyAlignment="1">
      <alignment vertical="center"/>
    </xf>
    <xf numFmtId="0" fontId="8" fillId="0" borderId="62" xfId="0" applyFont="1" applyBorder="1" applyAlignment="1">
      <alignment horizontal="left" wrapText="1"/>
    </xf>
    <xf numFmtId="0" fontId="8" fillId="0" borderId="63" xfId="0" applyFont="1" applyBorder="1" applyAlignment="1">
      <alignment horizontal="left" wrapText="1"/>
    </xf>
    <xf numFmtId="0" fontId="16" fillId="0" borderId="53" xfId="0" applyFont="1" applyBorder="1" applyAlignment="1">
      <alignment horizontal="center" wrapText="1"/>
    </xf>
    <xf numFmtId="2" fontId="8" fillId="0" borderId="55" xfId="0" applyNumberFormat="1" applyFont="1" applyBorder="1" applyAlignment="1">
      <alignment vertical="center" wrapText="1"/>
    </xf>
    <xf numFmtId="2" fontId="8" fillId="0" borderId="59" xfId="0" applyNumberFormat="1" applyFont="1" applyBorder="1" applyAlignment="1">
      <alignment vertical="center" wrapText="1"/>
    </xf>
    <xf numFmtId="0" fontId="15" fillId="0" borderId="0" xfId="0" applyFont="1" applyAlignment="1">
      <alignment horizontal="left"/>
    </xf>
    <xf numFmtId="0" fontId="16" fillId="0" borderId="0" xfId="0" applyFont="1" applyAlignment="1">
      <alignment horizontal="left" wrapText="1"/>
    </xf>
    <xf numFmtId="0" fontId="17" fillId="0" borderId="0" xfId="0" applyFont="1" applyAlignment="1">
      <alignment horizontal="left"/>
    </xf>
    <xf numFmtId="0" fontId="16" fillId="0" borderId="3" xfId="0" applyFont="1" applyBorder="1" applyAlignment="1">
      <alignment horizontal="left" wrapText="1"/>
    </xf>
    <xf numFmtId="0" fontId="16" fillId="0" borderId="4" xfId="0" applyFont="1" applyBorder="1" applyAlignment="1">
      <alignment horizontal="left" wrapText="1"/>
    </xf>
    <xf numFmtId="0" fontId="4" fillId="0" borderId="17" xfId="0" applyFont="1" applyBorder="1" applyAlignment="1">
      <alignment wrapText="1"/>
    </xf>
    <xf numFmtId="4" fontId="17" fillId="0" borderId="8" xfId="0" applyNumberFormat="1" applyFont="1" applyBorder="1" applyAlignment="1">
      <alignment horizontal="right"/>
    </xf>
    <xf numFmtId="166" fontId="1" fillId="0" borderId="8" xfId="0" applyNumberFormat="1" applyFont="1" applyBorder="1"/>
    <xf numFmtId="1" fontId="1" fillId="0" borderId="8" xfId="0" applyNumberFormat="1" applyFont="1" applyBorder="1"/>
    <xf numFmtId="169" fontId="1" fillId="0" borderId="18" xfId="0" applyNumberFormat="1" applyFont="1" applyBorder="1"/>
    <xf numFmtId="1" fontId="1" fillId="0" borderId="18" xfId="0" applyNumberFormat="1" applyFont="1" applyBorder="1"/>
    <xf numFmtId="4" fontId="1" fillId="0" borderId="12" xfId="0" applyNumberFormat="1" applyFont="1" applyBorder="1"/>
    <xf numFmtId="3" fontId="1" fillId="0" borderId="12" xfId="0" applyNumberFormat="1" applyFont="1" applyBorder="1"/>
    <xf numFmtId="166" fontId="1" fillId="0" borderId="12" xfId="0" applyNumberFormat="1" applyFont="1" applyBorder="1"/>
    <xf numFmtId="1" fontId="1" fillId="0" borderId="12" xfId="0" applyNumberFormat="1" applyFont="1" applyBorder="1"/>
    <xf numFmtId="169" fontId="1" fillId="0" borderId="12" xfId="0" applyNumberFormat="1" applyFont="1" applyBorder="1"/>
    <xf numFmtId="165" fontId="1" fillId="0" borderId="12" xfId="0" applyNumberFormat="1" applyFont="1" applyBorder="1"/>
    <xf numFmtId="1" fontId="1" fillId="0" borderId="0" xfId="0" applyNumberFormat="1" applyFont="1"/>
    <xf numFmtId="10" fontId="1" fillId="0" borderId="8" xfId="0" applyNumberFormat="1" applyFont="1" applyBorder="1"/>
    <xf numFmtId="2" fontId="1" fillId="0" borderId="18" xfId="0" applyNumberFormat="1" applyFont="1" applyBorder="1"/>
    <xf numFmtId="3" fontId="1" fillId="0" borderId="18" xfId="0" applyNumberFormat="1" applyFont="1" applyBorder="1"/>
    <xf numFmtId="0" fontId="1" fillId="0" borderId="18" xfId="0" applyFont="1" applyBorder="1"/>
    <xf numFmtId="10" fontId="1" fillId="0" borderId="12" xfId="0" applyNumberFormat="1" applyFont="1" applyBorder="1"/>
    <xf numFmtId="2" fontId="1" fillId="0" borderId="12" xfId="0" applyNumberFormat="1" applyFont="1" applyBorder="1"/>
    <xf numFmtId="0" fontId="19" fillId="0" borderId="0" xfId="0" applyFont="1" applyAlignment="1">
      <alignment horizontal="left"/>
    </xf>
    <xf numFmtId="0" fontId="17" fillId="0" borderId="3" xfId="0" applyFont="1" applyBorder="1" applyAlignment="1">
      <alignment horizontal="left"/>
    </xf>
    <xf numFmtId="3" fontId="17" fillId="0" borderId="8" xfId="0" applyNumberFormat="1" applyFont="1" applyBorder="1" applyAlignment="1">
      <alignment horizontal="left"/>
    </xf>
    <xf numFmtId="4" fontId="20" fillId="0" borderId="0" xfId="0" applyNumberFormat="1" applyFont="1"/>
    <xf numFmtId="4" fontId="1" fillId="0" borderId="0" xfId="0" applyNumberFormat="1" applyFont="1"/>
    <xf numFmtId="4" fontId="1" fillId="0" borderId="16" xfId="0" applyNumberFormat="1" applyFont="1" applyBorder="1"/>
    <xf numFmtId="4" fontId="17" fillId="0" borderId="8" xfId="0" applyNumberFormat="1" applyFont="1" applyBorder="1" applyAlignment="1">
      <alignment horizontal="left"/>
    </xf>
    <xf numFmtId="165" fontId="17" fillId="0" borderId="8" xfId="0" applyNumberFormat="1" applyFont="1" applyBorder="1" applyAlignment="1">
      <alignment horizontal="left"/>
    </xf>
    <xf numFmtId="0" fontId="16" fillId="0" borderId="7" xfId="0" applyFont="1" applyBorder="1" applyAlignment="1">
      <alignment horizontal="left"/>
    </xf>
    <xf numFmtId="165" fontId="16" fillId="0" borderId="8" xfId="0" applyNumberFormat="1" applyFont="1" applyBorder="1" applyAlignment="1">
      <alignment horizontal="left"/>
    </xf>
    <xf numFmtId="165" fontId="16" fillId="0" borderId="12" xfId="0" applyNumberFormat="1" applyFont="1" applyBorder="1" applyAlignment="1">
      <alignment horizontal="left"/>
    </xf>
    <xf numFmtId="172" fontId="0" fillId="0" borderId="0" xfId="0" applyNumberFormat="1"/>
    <xf numFmtId="0" fontId="1" fillId="0" borderId="8" xfId="0" applyFont="1" applyBorder="1" applyAlignment="1">
      <alignment horizontal="left"/>
    </xf>
    <xf numFmtId="2" fontId="1" fillId="0" borderId="8" xfId="0" applyNumberFormat="1" applyFont="1" applyBorder="1" applyAlignment="1">
      <alignment horizontal="left"/>
    </xf>
    <xf numFmtId="0" fontId="4" fillId="0" borderId="11" xfId="0" applyFont="1" applyBorder="1"/>
    <xf numFmtId="169" fontId="4" fillId="0" borderId="12" xfId="0" applyNumberFormat="1" applyFont="1" applyBorder="1" applyAlignment="1">
      <alignment horizontal="left"/>
    </xf>
    <xf numFmtId="168" fontId="1" fillId="0" borderId="8" xfId="0" applyNumberFormat="1" applyFont="1" applyBorder="1" applyAlignment="1">
      <alignment horizontal="left"/>
    </xf>
    <xf numFmtId="0" fontId="4" fillId="0" borderId="7" xfId="0" applyFont="1" applyBorder="1"/>
    <xf numFmtId="169" fontId="4" fillId="0" borderId="8" xfId="0" applyNumberFormat="1" applyFont="1" applyBorder="1" applyAlignment="1">
      <alignment horizontal="left"/>
    </xf>
    <xf numFmtId="0" fontId="4" fillId="0" borderId="5" xfId="0" applyFont="1" applyBorder="1"/>
    <xf numFmtId="169" fontId="1" fillId="0" borderId="9" xfId="0" applyNumberFormat="1" applyFont="1" applyBorder="1"/>
    <xf numFmtId="168" fontId="1" fillId="0" borderId="8" xfId="0" applyNumberFormat="1" applyFont="1" applyBorder="1"/>
    <xf numFmtId="168" fontId="1" fillId="0" borderId="9" xfId="0" applyNumberFormat="1" applyFont="1" applyBorder="1"/>
    <xf numFmtId="169" fontId="4" fillId="0" borderId="8" xfId="0" applyNumberFormat="1" applyFont="1" applyBorder="1"/>
    <xf numFmtId="169" fontId="4" fillId="0" borderId="9" xfId="0" applyNumberFormat="1" applyFont="1" applyBorder="1"/>
    <xf numFmtId="169" fontId="4" fillId="0" borderId="12" xfId="0" applyNumberFormat="1" applyFont="1" applyBorder="1"/>
    <xf numFmtId="169" fontId="4" fillId="0" borderId="13" xfId="0" applyNumberFormat="1" applyFont="1" applyBorder="1"/>
    <xf numFmtId="165" fontId="1" fillId="0" borderId="8" xfId="0" applyNumberFormat="1" applyFont="1" applyBorder="1"/>
    <xf numFmtId="0" fontId="35" fillId="0" borderId="0" xfId="0" applyFont="1" applyAlignment="1">
      <alignment horizontal="left"/>
    </xf>
    <xf numFmtId="0" fontId="6" fillId="0" borderId="0" xfId="0" applyFont="1" applyAlignment="1">
      <alignment horizontal="left"/>
    </xf>
    <xf numFmtId="172" fontId="0" fillId="0" borderId="0" xfId="3" applyNumberFormat="1" applyFont="1" applyFill="1"/>
    <xf numFmtId="0" fontId="8" fillId="0" borderId="0" xfId="0" applyFont="1" applyAlignment="1">
      <alignment horizontal="left"/>
    </xf>
    <xf numFmtId="0" fontId="8" fillId="0" borderId="0" xfId="0" applyFont="1" applyAlignment="1">
      <alignment wrapText="1"/>
    </xf>
    <xf numFmtId="0" fontId="5" fillId="0" borderId="1" xfId="0" applyFont="1" applyBorder="1"/>
    <xf numFmtId="0" fontId="1" fillId="0" borderId="2" xfId="0" applyFont="1" applyBorder="1"/>
    <xf numFmtId="0" fontId="4" fillId="0" borderId="2" xfId="0" applyFont="1" applyBorder="1"/>
    <xf numFmtId="0" fontId="6" fillId="0" borderId="3" xfId="0" applyFont="1" applyBorder="1" applyAlignment="1">
      <alignment wrapText="1"/>
    </xf>
    <xf numFmtId="0" fontId="7" fillId="0" borderId="5" xfId="0" applyFont="1" applyBorder="1" applyAlignment="1">
      <alignment wrapText="1"/>
    </xf>
    <xf numFmtId="0" fontId="6" fillId="0" borderId="6" xfId="0" applyFont="1" applyBorder="1" applyAlignment="1">
      <alignment wrapText="1"/>
    </xf>
    <xf numFmtId="0" fontId="6" fillId="0" borderId="4" xfId="0" applyFont="1" applyBorder="1" applyAlignment="1">
      <alignment wrapText="1"/>
    </xf>
    <xf numFmtId="0" fontId="7" fillId="0" borderId="4" xfId="0" applyFont="1" applyBorder="1" applyAlignment="1">
      <alignment wrapText="1"/>
    </xf>
    <xf numFmtId="0" fontId="6" fillId="0" borderId="5" xfId="0" applyFont="1" applyBorder="1" applyAlignment="1">
      <alignment wrapText="1"/>
    </xf>
    <xf numFmtId="0" fontId="4" fillId="0" borderId="6" xfId="0" applyFont="1" applyBorder="1" applyAlignment="1">
      <alignment wrapText="1"/>
    </xf>
    <xf numFmtId="0" fontId="8" fillId="0" borderId="7" xfId="0" applyFont="1" applyBorder="1"/>
    <xf numFmtId="4" fontId="8" fillId="0" borderId="8" xfId="0" applyNumberFormat="1" applyFont="1" applyBorder="1" applyAlignment="1">
      <alignment horizontal="right"/>
    </xf>
    <xf numFmtId="4" fontId="7" fillId="0" borderId="9" xfId="0" applyNumberFormat="1" applyFont="1" applyBorder="1" applyAlignment="1">
      <alignment horizontal="left"/>
    </xf>
    <xf numFmtId="4" fontId="1" fillId="0" borderId="10" xfId="0" applyNumberFormat="1" applyFont="1" applyBorder="1" applyAlignment="1">
      <alignment horizontal="right"/>
    </xf>
    <xf numFmtId="4" fontId="1" fillId="0" borderId="8" xfId="0" applyNumberFormat="1" applyFont="1" applyBorder="1" applyAlignment="1">
      <alignment horizontal="right"/>
    </xf>
    <xf numFmtId="4" fontId="7" fillId="0" borderId="8" xfId="0" applyNumberFormat="1" applyFont="1" applyBorder="1" applyAlignment="1">
      <alignment horizontal="left"/>
    </xf>
    <xf numFmtId="4" fontId="8" fillId="0" borderId="9" xfId="0" applyNumberFormat="1" applyFont="1" applyBorder="1" applyAlignment="1">
      <alignment horizontal="right"/>
    </xf>
    <xf numFmtId="4" fontId="8" fillId="0" borderId="7" xfId="0" applyNumberFormat="1" applyFont="1" applyBorder="1" applyAlignment="1">
      <alignment horizontal="right"/>
    </xf>
    <xf numFmtId="4" fontId="1" fillId="0" borderId="9" xfId="0" applyNumberFormat="1" applyFont="1" applyBorder="1"/>
    <xf numFmtId="4" fontId="1" fillId="0" borderId="10" xfId="0" applyNumberFormat="1" applyFont="1" applyBorder="1"/>
    <xf numFmtId="4" fontId="1" fillId="0" borderId="9" xfId="0" applyNumberFormat="1" applyFont="1" applyBorder="1" applyAlignment="1">
      <alignment horizontal="right"/>
    </xf>
    <xf numFmtId="4" fontId="1" fillId="0" borderId="7" xfId="0" applyNumberFormat="1" applyFont="1" applyBorder="1" applyAlignment="1">
      <alignment horizontal="right"/>
    </xf>
    <xf numFmtId="0" fontId="49" fillId="0" borderId="7" xfId="0" applyFont="1" applyBorder="1"/>
    <xf numFmtId="4" fontId="51" fillId="0" borderId="8" xfId="0" applyNumberFormat="1" applyFont="1" applyBorder="1" applyAlignment="1">
      <alignment horizontal="left"/>
    </xf>
    <xf numFmtId="2" fontId="0" fillId="0" borderId="0" xfId="0" applyNumberFormat="1"/>
    <xf numFmtId="0" fontId="8" fillId="0" borderId="11" xfId="0" applyFont="1" applyBorder="1"/>
    <xf numFmtId="4" fontId="8" fillId="0" borderId="12" xfId="0" applyNumberFormat="1" applyFont="1" applyBorder="1" applyAlignment="1">
      <alignment horizontal="right"/>
    </xf>
    <xf numFmtId="4" fontId="7" fillId="0" borderId="13" xfId="0" applyNumberFormat="1" applyFont="1" applyBorder="1" applyAlignment="1">
      <alignment horizontal="left"/>
    </xf>
    <xf numFmtId="4" fontId="1" fillId="0" borderId="14" xfId="0" applyNumberFormat="1" applyFont="1" applyBorder="1" applyAlignment="1">
      <alignment horizontal="right"/>
    </xf>
    <xf numFmtId="4" fontId="1" fillId="0" borderId="12" xfId="0" applyNumberFormat="1" applyFont="1" applyBorder="1" applyAlignment="1">
      <alignment horizontal="right"/>
    </xf>
    <xf numFmtId="4" fontId="7" fillId="0" borderId="12" xfId="0" applyNumberFormat="1" applyFont="1" applyBorder="1" applyAlignment="1">
      <alignment horizontal="left"/>
    </xf>
    <xf numFmtId="4" fontId="8" fillId="0" borderId="13" xfId="0" applyNumberFormat="1" applyFont="1" applyBorder="1" applyAlignment="1">
      <alignment horizontal="right"/>
    </xf>
    <xf numFmtId="4" fontId="8" fillId="0" borderId="11" xfId="0" applyNumberFormat="1" applyFont="1" applyBorder="1" applyAlignment="1">
      <alignment horizontal="right"/>
    </xf>
    <xf numFmtId="4" fontId="1" fillId="0" borderId="13" xfId="0" applyNumberFormat="1" applyFont="1" applyBorder="1"/>
    <xf numFmtId="4" fontId="1" fillId="0" borderId="14" xfId="0" applyNumberFormat="1" applyFont="1" applyBorder="1"/>
    <xf numFmtId="4" fontId="8" fillId="0" borderId="0" xfId="0" applyNumberFormat="1" applyFont="1" applyAlignment="1">
      <alignment horizontal="right"/>
    </xf>
    <xf numFmtId="4" fontId="7" fillId="0" borderId="0" xfId="0" applyNumberFormat="1" applyFont="1" applyAlignment="1">
      <alignment horizontal="right"/>
    </xf>
    <xf numFmtId="164" fontId="1" fillId="0" borderId="0" xfId="0" applyNumberFormat="1" applyFont="1" applyAlignment="1">
      <alignment horizontal="right"/>
    </xf>
    <xf numFmtId="4" fontId="9" fillId="0" borderId="0" xfId="0" applyNumberFormat="1" applyFont="1" applyAlignment="1">
      <alignment horizontal="right"/>
    </xf>
    <xf numFmtId="0" fontId="10" fillId="0" borderId="0" xfId="0" applyFont="1"/>
    <xf numFmtId="0" fontId="12" fillId="0" borderId="4" xfId="0" applyFont="1" applyBorder="1"/>
    <xf numFmtId="0" fontId="50" fillId="0" borderId="4" xfId="0" applyFont="1" applyBorder="1"/>
    <xf numFmtId="0" fontId="12" fillId="0" borderId="5" xfId="0" applyFont="1" applyBorder="1"/>
    <xf numFmtId="4" fontId="13" fillId="0" borderId="8" xfId="0" applyNumberFormat="1" applyFont="1" applyBorder="1"/>
    <xf numFmtId="4" fontId="13" fillId="0" borderId="9" xfId="0" applyNumberFormat="1" applyFont="1" applyBorder="1"/>
    <xf numFmtId="1" fontId="13" fillId="0" borderId="8" xfId="0" applyNumberFormat="1" applyFont="1" applyBorder="1"/>
    <xf numFmtId="1" fontId="13" fillId="0" borderId="9" xfId="0" applyNumberFormat="1" applyFont="1" applyBorder="1"/>
    <xf numFmtId="165" fontId="13" fillId="0" borderId="8" xfId="0" applyNumberFormat="1" applyFont="1" applyBorder="1"/>
    <xf numFmtId="165" fontId="13" fillId="0" borderId="9" xfId="0" applyNumberFormat="1" applyFont="1" applyBorder="1"/>
    <xf numFmtId="166" fontId="1" fillId="0" borderId="8" xfId="1" applyNumberFormat="1" applyFont="1" applyFill="1" applyBorder="1" applyAlignment="1"/>
    <xf numFmtId="9" fontId="13" fillId="0" borderId="8" xfId="1" applyFont="1" applyFill="1" applyBorder="1"/>
    <xf numFmtId="9" fontId="13" fillId="0" borderId="9" xfId="1" applyFont="1" applyFill="1" applyBorder="1"/>
    <xf numFmtId="0" fontId="14" fillId="0" borderId="7" xfId="0" applyFont="1" applyBorder="1" applyAlignment="1">
      <alignment horizontal="left"/>
    </xf>
    <xf numFmtId="4" fontId="12" fillId="0" borderId="8" xfId="0" applyNumberFormat="1" applyFont="1" applyBorder="1"/>
    <xf numFmtId="4" fontId="4" fillId="0" borderId="8" xfId="0" applyNumberFormat="1" applyFont="1" applyBorder="1"/>
    <xf numFmtId="4" fontId="12" fillId="0" borderId="9" xfId="0" applyNumberFormat="1" applyFont="1" applyBorder="1"/>
    <xf numFmtId="171" fontId="12" fillId="0" borderId="8" xfId="0" applyNumberFormat="1" applyFont="1" applyBorder="1"/>
    <xf numFmtId="171" fontId="4" fillId="0" borderId="8" xfId="0" applyNumberFormat="1" applyFont="1" applyBorder="1"/>
    <xf numFmtId="171" fontId="12" fillId="0" borderId="9" xfId="0" applyNumberFormat="1" applyFont="1" applyBorder="1"/>
    <xf numFmtId="0" fontId="14" fillId="0" borderId="11" xfId="0" applyFont="1" applyBorder="1" applyAlignment="1">
      <alignment horizontal="left"/>
    </xf>
    <xf numFmtId="171" fontId="12" fillId="0" borderId="12" xfId="0" applyNumberFormat="1" applyFont="1" applyBorder="1"/>
    <xf numFmtId="171" fontId="4" fillId="0" borderId="12" xfId="0" applyNumberFormat="1" applyFont="1" applyBorder="1"/>
    <xf numFmtId="171" fontId="12" fillId="0" borderId="13" xfId="0" applyNumberFormat="1" applyFont="1" applyBorder="1"/>
    <xf numFmtId="167" fontId="13" fillId="0" borderId="0" xfId="0" applyNumberFormat="1" applyFont="1"/>
    <xf numFmtId="0" fontId="12" fillId="0" borderId="7" xfId="0" applyFont="1" applyBorder="1"/>
    <xf numFmtId="0" fontId="12" fillId="0" borderId="11" xfId="0" applyFont="1" applyBorder="1"/>
    <xf numFmtId="4" fontId="12" fillId="0" borderId="12" xfId="0" applyNumberFormat="1" applyFont="1" applyBorder="1"/>
    <xf numFmtId="4" fontId="12" fillId="0" borderId="0" xfId="0" applyNumberFormat="1" applyFont="1"/>
    <xf numFmtId="168" fontId="13" fillId="0" borderId="0" xfId="0" applyNumberFormat="1" applyFont="1"/>
    <xf numFmtId="167" fontId="17" fillId="0" borderId="10" xfId="0" applyNumberFormat="1" applyFont="1" applyBorder="1" applyAlignment="1">
      <alignment horizontal="left"/>
    </xf>
    <xf numFmtId="173" fontId="17" fillId="0" borderId="8" xfId="0" applyNumberFormat="1" applyFont="1" applyBorder="1" applyAlignment="1">
      <alignment horizontal="left"/>
    </xf>
    <xf numFmtId="4" fontId="52" fillId="0" borderId="36" xfId="2" applyNumberFormat="1" applyFill="1" applyBorder="1" applyAlignment="1">
      <alignment horizontal="left"/>
    </xf>
    <xf numFmtId="0" fontId="17" fillId="0" borderId="7" xfId="0" applyFont="1" applyBorder="1" applyAlignment="1">
      <alignment horizontal="left" wrapText="1"/>
    </xf>
    <xf numFmtId="4" fontId="52" fillId="0" borderId="36" xfId="2" applyNumberFormat="1" applyFill="1" applyBorder="1" applyAlignment="1">
      <alignment horizontal="left" wrapText="1"/>
    </xf>
    <xf numFmtId="0" fontId="17" fillId="0" borderId="32" xfId="0" applyFont="1" applyBorder="1" applyAlignment="1">
      <alignment horizontal="left" wrapText="1"/>
    </xf>
    <xf numFmtId="4" fontId="52" fillId="0" borderId="37" xfId="2" applyNumberFormat="1" applyFill="1" applyBorder="1" applyAlignment="1"/>
    <xf numFmtId="0" fontId="4" fillId="0" borderId="64" xfId="0" applyFont="1" applyBorder="1"/>
    <xf numFmtId="168" fontId="1" fillId="0" borderId="8" xfId="1" applyNumberFormat="1" applyFont="1" applyBorder="1"/>
    <xf numFmtId="2" fontId="1" fillId="0" borderId="8" xfId="1" applyNumberFormat="1" applyFont="1" applyBorder="1"/>
    <xf numFmtId="164" fontId="4" fillId="0" borderId="8" xfId="0" applyNumberFormat="1" applyFont="1" applyBorder="1"/>
    <xf numFmtId="4" fontId="4" fillId="0" borderId="12" xfId="0" applyNumberFormat="1" applyFont="1" applyBorder="1"/>
    <xf numFmtId="0" fontId="4" fillId="0" borderId="20" xfId="0" applyFont="1" applyBorder="1"/>
    <xf numFmtId="4" fontId="4" fillId="0" borderId="16" xfId="0" applyNumberFormat="1" applyFont="1" applyBorder="1"/>
    <xf numFmtId="4" fontId="4" fillId="0" borderId="23" xfId="0" applyNumberFormat="1" applyFont="1" applyBorder="1"/>
    <xf numFmtId="166" fontId="1" fillId="0" borderId="16" xfId="1" applyNumberFormat="1" applyFont="1" applyFill="1" applyBorder="1"/>
    <xf numFmtId="0" fontId="52" fillId="0" borderId="0" xfId="2" applyAlignment="1">
      <alignment horizontal="left"/>
    </xf>
    <xf numFmtId="0" fontId="57" fillId="2" borderId="0" xfId="0" applyFont="1" applyFill="1"/>
    <xf numFmtId="0" fontId="6" fillId="2" borderId="0" xfId="0" applyFont="1" applyFill="1"/>
    <xf numFmtId="0" fontId="52" fillId="2" borderId="0" xfId="2" applyFill="1"/>
    <xf numFmtId="0" fontId="52" fillId="2" borderId="0" xfId="2" applyFill="1" applyAlignment="1">
      <alignment horizontal="left"/>
    </xf>
    <xf numFmtId="0" fontId="55" fillId="2" borderId="0" xfId="2" applyFont="1" applyFill="1" applyAlignment="1">
      <alignment horizontal="left" wrapText="1"/>
    </xf>
    <xf numFmtId="0" fontId="45" fillId="2" borderId="0" xfId="0" applyFont="1" applyFill="1" applyAlignment="1">
      <alignment horizontal="left" wrapText="1"/>
    </xf>
    <xf numFmtId="166" fontId="57" fillId="2" borderId="0" xfId="1" applyNumberFormat="1" applyFont="1" applyFill="1"/>
    <xf numFmtId="0" fontId="4" fillId="0" borderId="15" xfId="0" applyFont="1" applyBorder="1"/>
    <xf numFmtId="4" fontId="13" fillId="0" borderId="65" xfId="0" applyNumberFormat="1" applyFont="1" applyBorder="1"/>
    <xf numFmtId="4" fontId="13" fillId="0" borderId="36" xfId="0" applyNumberFormat="1" applyFont="1" applyBorder="1"/>
    <xf numFmtId="166" fontId="13" fillId="0" borderId="36" xfId="0" applyNumberFormat="1" applyFont="1" applyBorder="1"/>
    <xf numFmtId="9" fontId="13" fillId="0" borderId="36" xfId="1" applyFont="1" applyFill="1" applyBorder="1"/>
    <xf numFmtId="0" fontId="5" fillId="0" borderId="15" xfId="0" applyFont="1" applyBorder="1"/>
    <xf numFmtId="171" fontId="8" fillId="0" borderId="8" xfId="0" applyNumberFormat="1" applyFont="1" applyBorder="1"/>
    <xf numFmtId="171" fontId="8" fillId="0" borderId="9" xfId="0" applyNumberFormat="1" applyFont="1" applyBorder="1"/>
    <xf numFmtId="171" fontId="8" fillId="0" borderId="12" xfId="0" applyNumberFormat="1" applyFont="1" applyBorder="1"/>
    <xf numFmtId="171" fontId="8" fillId="0" borderId="13" xfId="0" applyNumberFormat="1" applyFont="1" applyBorder="1"/>
    <xf numFmtId="171" fontId="1" fillId="0" borderId="10" xfId="0" applyNumberFormat="1" applyFont="1" applyBorder="1" applyAlignment="1">
      <alignment horizontal="right"/>
    </xf>
    <xf numFmtId="171" fontId="1" fillId="0" borderId="65" xfId="0" applyNumberFormat="1" applyFont="1" applyBorder="1" applyAlignment="1">
      <alignment horizontal="right"/>
    </xf>
    <xf numFmtId="171" fontId="1" fillId="0" borderId="36" xfId="0" applyNumberFormat="1" applyFont="1" applyBorder="1" applyAlignment="1">
      <alignment horizontal="right"/>
    </xf>
    <xf numFmtId="171" fontId="1" fillId="0" borderId="66" xfId="0" applyNumberFormat="1" applyFont="1" applyBorder="1" applyAlignment="1">
      <alignment horizontal="right"/>
    </xf>
    <xf numFmtId="171" fontId="1" fillId="0" borderId="68" xfId="0" applyNumberFormat="1" applyFont="1" applyBorder="1" applyAlignment="1">
      <alignment horizontal="right"/>
    </xf>
    <xf numFmtId="0" fontId="8" fillId="0" borderId="67" xfId="0" applyFont="1" applyBorder="1"/>
    <xf numFmtId="171" fontId="8" fillId="0" borderId="65" xfId="0" applyNumberFormat="1" applyFont="1" applyBorder="1"/>
    <xf numFmtId="171" fontId="8" fillId="0" borderId="36" xfId="0" applyNumberFormat="1" applyFont="1" applyBorder="1"/>
    <xf numFmtId="171" fontId="8" fillId="0" borderId="69" xfId="0" applyNumberFormat="1" applyFont="1" applyBorder="1"/>
    <xf numFmtId="171" fontId="8" fillId="0" borderId="66" xfId="0" applyNumberFormat="1" applyFont="1" applyBorder="1"/>
    <xf numFmtId="0" fontId="12" fillId="0" borderId="72" xfId="0" applyFont="1" applyBorder="1" applyAlignment="1">
      <alignment horizontal="left" wrapText="1"/>
    </xf>
    <xf numFmtId="0" fontId="41" fillId="0" borderId="72" xfId="0" applyFont="1" applyBorder="1" applyAlignment="1">
      <alignment horizontal="center"/>
    </xf>
    <xf numFmtId="0" fontId="13" fillId="2" borderId="74" xfId="0" applyFont="1" applyFill="1" applyBorder="1" applyAlignment="1">
      <alignment horizontal="right"/>
    </xf>
    <xf numFmtId="0" fontId="41" fillId="0" borderId="71" xfId="0" applyFont="1" applyBorder="1" applyAlignment="1">
      <alignment horizontal="center"/>
    </xf>
    <xf numFmtId="0" fontId="13" fillId="2" borderId="75" xfId="0" applyFont="1" applyFill="1" applyBorder="1" applyAlignment="1">
      <alignment horizontal="right"/>
    </xf>
    <xf numFmtId="169" fontId="13" fillId="0" borderId="74" xfId="0" applyNumberFormat="1" applyFont="1" applyBorder="1"/>
    <xf numFmtId="0" fontId="13" fillId="0" borderId="74" xfId="0" applyFont="1" applyBorder="1" applyAlignment="1">
      <alignment horizontal="right"/>
    </xf>
    <xf numFmtId="0" fontId="13" fillId="0" borderId="72" xfId="0" applyFont="1" applyBorder="1" applyAlignment="1">
      <alignment horizontal="center"/>
    </xf>
    <xf numFmtId="0" fontId="13" fillId="2" borderId="74" xfId="0" applyFont="1" applyFill="1" applyBorder="1" applyAlignment="1">
      <alignment horizontal="center"/>
    </xf>
    <xf numFmtId="0" fontId="13" fillId="0" borderId="77" xfId="0" applyFont="1" applyBorder="1"/>
    <xf numFmtId="0" fontId="13" fillId="2" borderId="78" xfId="0" applyFont="1" applyFill="1" applyBorder="1" applyAlignment="1">
      <alignment horizontal="center"/>
    </xf>
    <xf numFmtId="0" fontId="13" fillId="0" borderId="78" xfId="0" applyFont="1" applyBorder="1" applyAlignment="1">
      <alignment horizontal="right"/>
    </xf>
    <xf numFmtId="0" fontId="13" fillId="2" borderId="78" xfId="0" applyFont="1" applyFill="1" applyBorder="1" applyAlignment="1">
      <alignment horizontal="right"/>
    </xf>
    <xf numFmtId="0" fontId="13" fillId="2" borderId="79" xfId="0" applyFont="1" applyFill="1" applyBorder="1" applyAlignment="1">
      <alignment horizontal="right"/>
    </xf>
    <xf numFmtId="0" fontId="13" fillId="0" borderId="79" xfId="0" applyFont="1" applyBorder="1" applyAlignment="1">
      <alignment horizontal="right"/>
    </xf>
    <xf numFmtId="0" fontId="13" fillId="2" borderId="80" xfId="0" applyFont="1" applyFill="1" applyBorder="1" applyAlignment="1">
      <alignment horizontal="right"/>
    </xf>
    <xf numFmtId="10" fontId="1" fillId="0" borderId="79" xfId="0" applyNumberFormat="1" applyFont="1" applyBorder="1"/>
    <xf numFmtId="0" fontId="0" fillId="0" borderId="81" xfId="0" applyBorder="1"/>
    <xf numFmtId="0" fontId="1" fillId="0" borderId="72" xfId="0" applyFont="1" applyBorder="1"/>
    <xf numFmtId="10" fontId="1" fillId="0" borderId="74" xfId="0" applyNumberFormat="1" applyFont="1" applyBorder="1"/>
    <xf numFmtId="10" fontId="1" fillId="0" borderId="78" xfId="0" applyNumberFormat="1" applyFont="1" applyBorder="1"/>
    <xf numFmtId="0" fontId="12" fillId="0" borderId="76" xfId="0" applyFont="1" applyBorder="1" applyAlignment="1">
      <alignment horizontal="left" wrapText="1"/>
    </xf>
    <xf numFmtId="0" fontId="12" fillId="0" borderId="31" xfId="0" applyFont="1" applyBorder="1" applyAlignment="1">
      <alignment horizontal="left" wrapText="1"/>
    </xf>
    <xf numFmtId="0" fontId="12" fillId="0" borderId="73" xfId="0" applyFont="1" applyBorder="1" applyAlignment="1">
      <alignment horizontal="left" wrapText="1"/>
    </xf>
    <xf numFmtId="0" fontId="4" fillId="0" borderId="31" xfId="0" applyFont="1" applyBorder="1" applyAlignment="1">
      <alignment horizontal="left" wrapText="1"/>
    </xf>
    <xf numFmtId="0" fontId="4" fillId="0" borderId="73" xfId="0" applyFont="1" applyBorder="1" applyAlignment="1">
      <alignment horizontal="left" wrapText="1"/>
    </xf>
    <xf numFmtId="0" fontId="12" fillId="0" borderId="82" xfId="0" applyFont="1" applyBorder="1" applyAlignment="1">
      <alignment horizontal="center"/>
    </xf>
    <xf numFmtId="0" fontId="12" fillId="0" borderId="79" xfId="0" applyFont="1" applyBorder="1" applyAlignment="1">
      <alignment horizontal="center"/>
    </xf>
    <xf numFmtId="0" fontId="1" fillId="0" borderId="79" xfId="0" applyFont="1" applyBorder="1"/>
    <xf numFmtId="0" fontId="12" fillId="0" borderId="30" xfId="0" applyFont="1" applyBorder="1" applyAlignment="1">
      <alignment horizontal="left" wrapText="1"/>
    </xf>
    <xf numFmtId="0" fontId="12" fillId="0" borderId="77" xfId="0" applyFont="1" applyBorder="1"/>
    <xf numFmtId="0" fontId="12" fillId="0" borderId="78" xfId="0" applyFont="1" applyBorder="1" applyAlignment="1">
      <alignment horizontal="center"/>
    </xf>
    <xf numFmtId="1" fontId="13" fillId="0" borderId="74" xfId="0" applyNumberFormat="1" applyFont="1" applyBorder="1"/>
    <xf numFmtId="0" fontId="8" fillId="0" borderId="57" xfId="0" applyFont="1" applyBorder="1" applyAlignment="1">
      <alignment horizontal="left" vertical="center" wrapText="1"/>
    </xf>
    <xf numFmtId="0" fontId="8" fillId="0" borderId="44" xfId="0" applyFont="1" applyBorder="1" applyAlignment="1">
      <alignment horizontal="left" vertical="center" wrapText="1"/>
    </xf>
    <xf numFmtId="0" fontId="8" fillId="0" borderId="60" xfId="0" applyFont="1" applyBorder="1" applyAlignment="1">
      <alignment horizontal="left" wrapText="1"/>
    </xf>
    <xf numFmtId="0" fontId="8" fillId="0" borderId="61" xfId="0" applyFont="1" applyBorder="1" applyAlignment="1">
      <alignment horizontal="left" wrapText="1"/>
    </xf>
    <xf numFmtId="0" fontId="6" fillId="0" borderId="47" xfId="0" applyFont="1" applyBorder="1" applyAlignment="1">
      <alignment horizontal="center" vertical="center" wrapText="1"/>
    </xf>
    <xf numFmtId="0" fontId="55" fillId="0" borderId="49" xfId="2" applyFont="1" applyBorder="1" applyAlignment="1">
      <alignment horizontal="left" wrapText="1"/>
    </xf>
    <xf numFmtId="0" fontId="0" fillId="0" borderId="51" xfId="0" applyBorder="1" applyAlignment="1">
      <alignment horizontal="left"/>
    </xf>
    <xf numFmtId="4" fontId="52" fillId="0" borderId="18" xfId="2" applyNumberFormat="1" applyFill="1" applyBorder="1"/>
    <xf numFmtId="0" fontId="0" fillId="0" borderId="0" xfId="0"/>
    <xf numFmtId="0" fontId="18" fillId="0" borderId="16" xfId="0" applyFont="1" applyBorder="1"/>
    <xf numFmtId="4" fontId="1" fillId="0" borderId="18" xfId="0" applyNumberFormat="1" applyFont="1" applyBorder="1"/>
    <xf numFmtId="4" fontId="1" fillId="0" borderId="21" xfId="0" applyNumberFormat="1" applyFont="1" applyBorder="1"/>
    <xf numFmtId="0" fontId="18" fillId="0" borderId="22" xfId="0" applyFont="1" applyBorder="1"/>
    <xf numFmtId="0" fontId="18" fillId="0" borderId="23" xfId="0" applyFont="1" applyBorder="1"/>
    <xf numFmtId="4" fontId="22" fillId="0" borderId="18" xfId="0" applyNumberFormat="1" applyFont="1" applyBorder="1"/>
    <xf numFmtId="4" fontId="52" fillId="0" borderId="18" xfId="2" applyNumberFormat="1" applyFill="1" applyBorder="1" applyAlignment="1"/>
    <xf numFmtId="4" fontId="20" fillId="0" borderId="18" xfId="0" applyNumberFormat="1" applyFont="1" applyBorder="1"/>
    <xf numFmtId="4" fontId="4" fillId="0" borderId="17" xfId="0" applyNumberFormat="1" applyFont="1" applyBorder="1"/>
    <xf numFmtId="0" fontId="18" fillId="0" borderId="19" xfId="0" applyFont="1" applyBorder="1"/>
    <xf numFmtId="0" fontId="18" fillId="0" borderId="20" xfId="0" applyFont="1" applyBorder="1"/>
    <xf numFmtId="4" fontId="21" fillId="0" borderId="18" xfId="0" applyNumberFormat="1" applyFont="1" applyBorder="1"/>
    <xf numFmtId="0" fontId="12" fillId="0" borderId="70" xfId="0" applyFont="1" applyBorder="1" applyAlignment="1">
      <alignment horizontal="center"/>
    </xf>
    <xf numFmtId="0" fontId="12" fillId="0" borderId="28" xfId="0" applyFont="1" applyBorder="1" applyAlignment="1">
      <alignment horizontal="center"/>
    </xf>
    <xf numFmtId="0" fontId="12" fillId="0" borderId="72" xfId="0" applyFont="1" applyBorder="1" applyAlignment="1">
      <alignment horizontal="center"/>
    </xf>
    <xf numFmtId="0" fontId="6" fillId="2" borderId="0" xfId="0" applyFont="1" applyFill="1" applyAlignment="1">
      <alignment horizontal="center"/>
    </xf>
    <xf numFmtId="0" fontId="8" fillId="2" borderId="0" xfId="0" applyFont="1" applyFill="1" applyAlignment="1">
      <alignment horizontal="left" wrapText="1"/>
    </xf>
    <xf numFmtId="0" fontId="57" fillId="2" borderId="0" xfId="0" applyFont="1" applyFill="1" applyAlignment="1">
      <alignment horizontal="center"/>
    </xf>
    <xf numFmtId="0" fontId="52" fillId="2" borderId="0" xfId="2" applyFill="1" applyAlignment="1">
      <alignment horizontal="left" wrapText="1"/>
    </xf>
    <xf numFmtId="0" fontId="45" fillId="2" borderId="0" xfId="0" applyFont="1" applyFill="1" applyAlignment="1">
      <alignment horizontal="left"/>
    </xf>
    <xf numFmtId="0" fontId="45" fillId="2" borderId="0" xfId="0" applyFont="1" applyFill="1" applyAlignment="1">
      <alignment horizontal="left" wrapText="1"/>
    </xf>
    <xf numFmtId="0" fontId="6" fillId="0" borderId="0" xfId="0" applyFont="1" applyAlignment="1">
      <alignment horizontal="center"/>
    </xf>
    <xf numFmtId="0" fontId="55" fillId="2" borderId="0" xfId="2" applyFont="1" applyFill="1" applyAlignment="1">
      <alignment horizontal="left" wrapText="1"/>
    </xf>
    <xf numFmtId="171" fontId="58" fillId="4" borderId="9" xfId="4" applyNumberFormat="1" applyBorder="1"/>
    <xf numFmtId="171" fontId="58" fillId="4" borderId="13" xfId="4" applyNumberFormat="1" applyBorder="1"/>
  </cellXfs>
  <cellStyles count="5">
    <cellStyle name="Comma" xfId="3" builtinId="3"/>
    <cellStyle name="Hyperlink" xfId="2" builtinId="8"/>
    <cellStyle name="Neutral" xfId="4"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extension.psu.edu/get-more-from-your-milk-increasing-profit-through-value-added-dairy-food-products" TargetMode="External"/><Relationship Id="rId13" Type="http://schemas.openxmlformats.org/officeDocument/2006/relationships/comments" Target="../comments2.xml"/><Relationship Id="rId3" Type="http://schemas.openxmlformats.org/officeDocument/2006/relationships/hyperlink" Target="https://eviayoghurt.com.au/artisan" TargetMode="External"/><Relationship Id="rId7" Type="http://schemas.openxmlformats.org/officeDocument/2006/relationships/hyperlink" Target="https://pubs.nmsu.edu/_e/E216" TargetMode="External"/><Relationship Id="rId12" Type="http://schemas.openxmlformats.org/officeDocument/2006/relationships/vmlDrawing" Target="../drawings/vmlDrawing2.vml"/><Relationship Id="rId2" Type="http://schemas.openxmlformats.org/officeDocument/2006/relationships/hyperlink" Target="https://texasfarmbureau.org/wp-content/uploads/2020/03/DairyConnection_03.2020.pdf" TargetMode="External"/><Relationship Id="rId1" Type="http://schemas.openxmlformats.org/officeDocument/2006/relationships/hyperlink" Target="https://umpquadairy.com/cool-cow-facts/" TargetMode="External"/><Relationship Id="rId6" Type="http://schemas.openxmlformats.org/officeDocument/2006/relationships/hyperlink" Target="https://www.sdstate.edu/south-dakota-agricultural-heritage-museumblog/holy-cows-61021" TargetMode="External"/><Relationship Id="rId11" Type="http://schemas.openxmlformats.org/officeDocument/2006/relationships/printerSettings" Target="../printerSettings/printerSettings4.bin"/><Relationship Id="rId5" Type="http://schemas.openxmlformats.org/officeDocument/2006/relationships/hyperlink" Target="https://www.dairysafe.vic.gov.au/consumers/dairy-foods/cheese" TargetMode="External"/><Relationship Id="rId10" Type="http://schemas.openxmlformats.org/officeDocument/2006/relationships/hyperlink" Target="https://www.cooksinfo.com/butter" TargetMode="External"/><Relationship Id="rId4" Type="http://schemas.openxmlformats.org/officeDocument/2006/relationships/hyperlink" Target="https://introbiz.tv/dairy-industry-puts-its-hope-in-icelandic-yogurt/" TargetMode="External"/><Relationship Id="rId9" Type="http://schemas.openxmlformats.org/officeDocument/2006/relationships/hyperlink" Target="https://www.anchordairy.com/nz/en/nutrition-blog/faqs-and-product-facts/how-cheese-is-made.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ndex.php?title=Chick_culling&amp;oldid=961208387" TargetMode="External"/><Relationship Id="rId1" Type="http://schemas.openxmlformats.org/officeDocument/2006/relationships/hyperlink" Target="https://www.ciwf.org.uk/media/5235185/the-life-of-dairy-cows.pdf"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aboutseafood.com/press_release/nfis-top-10-list-suggests-consumers-diversifying-seafood-consumption/" TargetMode="Externa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8" Type="http://schemas.openxmlformats.org/officeDocument/2006/relationships/hyperlink" Target="http://fishcount.org.uk/farmed-fish-welfare/numbers-of-fish-used-for-feed-in-aquaculture" TargetMode="External"/><Relationship Id="rId13" Type="http://schemas.openxmlformats.org/officeDocument/2006/relationships/hyperlink" Target="https://www.fao.org/faostat/en/" TargetMode="External"/><Relationship Id="rId18" Type="http://schemas.openxmlformats.org/officeDocument/2006/relationships/vmlDrawing" Target="../drawings/vmlDrawing4.vml"/><Relationship Id="rId3" Type="http://schemas.openxmlformats.org/officeDocument/2006/relationships/hyperlink" Target="http://fishcount.org.uk/farmed-fish-welfare/numbers-of-fish-used-for-feed-in-aquaculture" TargetMode="External"/><Relationship Id="rId7" Type="http://schemas.openxmlformats.org/officeDocument/2006/relationships/hyperlink" Target="http://fishcount.org.uk/farmed-fish-welfare/numbers-of-fish-used-for-feed-in-aquaculture" TargetMode="External"/><Relationship Id="rId12" Type="http://schemas.openxmlformats.org/officeDocument/2006/relationships/hyperlink" Target="http://fishcount.org.uk/fish-count-estimates-2/numbers-of-wild-fish-caught-for-reduction-to-fish-oil-and-fishmeal" TargetMode="External"/><Relationship Id="rId17" Type="http://schemas.openxmlformats.org/officeDocument/2006/relationships/printerSettings" Target="../printerSettings/printerSettings7.bin"/><Relationship Id="rId2" Type="http://schemas.openxmlformats.org/officeDocument/2006/relationships/hyperlink" Target="http://fishcount.org.uk/fish-count-estimates-2/numbers-of-farmed-decapod-crustaceans" TargetMode="External"/><Relationship Id="rId16" Type="http://schemas.openxmlformats.org/officeDocument/2006/relationships/hyperlink" Target="https://www.fao.org/faostat/en/" TargetMode="External"/><Relationship Id="rId1" Type="http://schemas.openxmlformats.org/officeDocument/2006/relationships/hyperlink" Target="http://fishcount.org.uk/fish-count-estimates-2/numbers-of-farmed-fish-slaughtered-each-year" TargetMode="External"/><Relationship Id="rId6" Type="http://schemas.openxmlformats.org/officeDocument/2006/relationships/hyperlink" Target="http://fishcount.org.uk/farmed-fish-welfare/numbers-of-fish-used-for-feed-in-aquaculture" TargetMode="External"/><Relationship Id="rId11" Type="http://schemas.openxmlformats.org/officeDocument/2006/relationships/hyperlink" Target="https://effop.org/wp-content/uploads/2019/06/EUMOFA-Monthly-Highlights-April-2019-Fishmeal-and-Fish-Oil.pdf" TargetMode="External"/><Relationship Id="rId5" Type="http://schemas.openxmlformats.org/officeDocument/2006/relationships/hyperlink" Target="http://fishcount.org.uk/farmed-fish-welfare/numbers-of-fish-used-for-feed-in-aquaculture" TargetMode="External"/><Relationship Id="rId15" Type="http://schemas.openxmlformats.org/officeDocument/2006/relationships/hyperlink" Target="https://www.fao.org/faostat/en/" TargetMode="External"/><Relationship Id="rId10" Type="http://schemas.openxmlformats.org/officeDocument/2006/relationships/hyperlink" Target="https://www.goucher.edu/learn/documents/Econ-Report-All.pdf" TargetMode="External"/><Relationship Id="rId19" Type="http://schemas.openxmlformats.org/officeDocument/2006/relationships/comments" Target="../comments4.xml"/><Relationship Id="rId4" Type="http://schemas.openxmlformats.org/officeDocument/2006/relationships/hyperlink" Target="http://fishcount.org.uk/farmed-fish-welfare/numbers-of-fish-used-for-feed-in-aquaculture" TargetMode="External"/><Relationship Id="rId9" Type="http://schemas.openxmlformats.org/officeDocument/2006/relationships/hyperlink" Target="https://www.goucher.edu/learn/documents/Econ-Report-All.pdf" TargetMode="External"/><Relationship Id="rId14" Type="http://schemas.openxmlformats.org/officeDocument/2006/relationships/hyperlink" Target="https://www.fao.org/faostat/en/"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core.ac.uk/download/pdf/6541576.pdf"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aphis.usda.gov/animal_health/nahms/swine/downloads/swine2012/Swine2012_dr_PartI.pdf" TargetMode="External"/><Relationship Id="rId13" Type="http://schemas.openxmlformats.org/officeDocument/2006/relationships/comments" Target="../comments6.xml"/><Relationship Id="rId3" Type="http://schemas.openxmlformats.org/officeDocument/2006/relationships/hyperlink" Target="http://www.fao.org/3/Y4628E/y4628e03.htm" TargetMode="External"/><Relationship Id="rId7" Type="http://schemas.openxmlformats.org/officeDocument/2006/relationships/hyperlink" Target="https://www.aphis.usda.gov/animal_health/emergency_management/downloads/documents_manuals/poultry_ind_manual.pdf" TargetMode="External"/><Relationship Id="rId12" Type="http://schemas.openxmlformats.org/officeDocument/2006/relationships/vmlDrawing" Target="../drawings/vmlDrawing6.vml"/><Relationship Id="rId2" Type="http://schemas.openxmlformats.org/officeDocument/2006/relationships/hyperlink" Target="https://thepoultrysite.com/articles/mortality-patterns-associated-with-commercial-broiler-production" TargetMode="External"/><Relationship Id="rId1" Type="http://schemas.openxmlformats.org/officeDocument/2006/relationships/hyperlink" Target="https://www.aphis.usda.gov/animal_health/emergency_management/downloads/documents_manuals/poultry_ind_manual.pd" TargetMode="External"/><Relationship Id="rId6" Type="http://schemas.openxmlformats.org/officeDocument/2006/relationships/hyperlink" Target="https://www.aphis.usda.gov/animal_health/emergency_management/downloads/documents_manuals/poultry_ind_manual.pdf" TargetMode="External"/><Relationship Id="rId11" Type="http://schemas.openxmlformats.org/officeDocument/2006/relationships/hyperlink" Target="https://www.aphis.usda.gov/animal_health/nahms/dairy/downloads/dairy14/Dairy14_dr_PartIII.pdf" TargetMode="External"/><Relationship Id="rId5" Type="http://schemas.openxmlformats.org/officeDocument/2006/relationships/hyperlink" Target="https://www.nrcs.usda.gov/Internet/FSE_DOCUMENTS/nrcseprd380437.pdf" TargetMode="External"/><Relationship Id="rId10" Type="http://schemas.openxmlformats.org/officeDocument/2006/relationships/hyperlink" Target="https://www.aphis.usda.gov/animal_health/nahms/general/downloads/cattle_calves_deathloss_2015.pdf" TargetMode="External"/><Relationship Id="rId4" Type="http://schemas.openxmlformats.org/officeDocument/2006/relationships/hyperlink" Target="https://www.aphis.usda.gov/animal_health/nahms/poultry/downloads/layers2013/Layers2013_dr_PartI.pdf" TargetMode="External"/><Relationship Id="rId9" Type="http://schemas.openxmlformats.org/officeDocument/2006/relationships/hyperlink" Target="https://www.nrcs.usda.gov/Internet/FSE_DOCUMENTS/nrcseprd380437.pdf"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caseagrant.ucsd.edu/seafood-profiles/dungeness-crab" TargetMode="External"/><Relationship Id="rId2" Type="http://schemas.openxmlformats.org/officeDocument/2006/relationships/hyperlink" Target="http://animaldiversity.org/accounts/Chionoecetes_opilio/" TargetMode="External"/><Relationship Id="rId1" Type="http://schemas.openxmlformats.org/officeDocument/2006/relationships/hyperlink" Target="https://edis.ifas.ufl.edu/sg078" TargetMode="External"/><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hyperlink" Target="https://www.alaskankingcrab.com/blogs/resources/blog-learn-the-anatomy-of-alaskan-king-crab"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ers.usda.gov/data-products/food-availability-per-capita-data-system/food-availability-per-capita-data-system/"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www.google.com/url?q=http://www.fao.org/3/T0219E/T0219E01.htm%23ref5&amp;sa=D&amp;ust=1586730028270000&amp;usg=AFQjCNEFq2IPhzzkei86Ao5QX50_MXT-wQ" TargetMode="External"/><Relationship Id="rId21" Type="http://schemas.openxmlformats.org/officeDocument/2006/relationships/hyperlink" Target="https://www.google.com/url?q=http://www.fao.org/3/T0219E/T0219E01.htm%23ref6&amp;sa=D&amp;ust=1586730028264000&amp;usg=AFQjCNHq9lRv_xPDGE6ucuyMHLbrVbcsNg" TargetMode="External"/><Relationship Id="rId42" Type="http://schemas.openxmlformats.org/officeDocument/2006/relationships/hyperlink" Target="https://www.google.com/url?q=http://www.fao.org/3/T0219E/T0219E01.htm%23ref6&amp;sa=D&amp;ust=1586730028292000&amp;usg=AFQjCNGIBVrLdMh0rIIZVp5fCXsbtEytIw" TargetMode="External"/><Relationship Id="rId47" Type="http://schemas.openxmlformats.org/officeDocument/2006/relationships/hyperlink" Target="https://www.google.com/url?q=http://www.fao.org/3/T0219E/T0219E01.htm%23ref24&amp;sa=D&amp;ust=1586730028299000&amp;usg=AFQjCNEqmLpvigL6Aff1PSH0hyd1UI26iQ" TargetMode="External"/><Relationship Id="rId63" Type="http://schemas.openxmlformats.org/officeDocument/2006/relationships/hyperlink" Target="https://www.google.com/url?q=http://www.fao.org/3/T0219E/T0219E01.htm%23ref26&amp;sa=D&amp;ust=1586730028326000&amp;usg=AFQjCNEawYrqrDDSxk6z3MfSksNqblybTA" TargetMode="External"/><Relationship Id="rId68" Type="http://schemas.openxmlformats.org/officeDocument/2006/relationships/hyperlink" Target="https://www.google.com/url?q=http://www.fao.org/3/T0219E/T0219E01.htm%23ref27&amp;sa=D&amp;ust=1586730028333000&amp;usg=AFQjCNE_B3igrGKIRB3eGKWlslfrhT8yYA" TargetMode="External"/><Relationship Id="rId84" Type="http://schemas.openxmlformats.org/officeDocument/2006/relationships/hyperlink" Target="https://edis.ifas.ufl.edu/publication/SG078" TargetMode="External"/><Relationship Id="rId16" Type="http://schemas.openxmlformats.org/officeDocument/2006/relationships/hyperlink" Target="https://www.google.com/url?q=http://www.fao.org/3/T0219E/T0219E01.htm%23ref7&amp;sa=D&amp;ust=1586730028257000&amp;usg=AFQjCNFD335I08BiH5T3olsP2B2MX5a3zw" TargetMode="External"/><Relationship Id="rId11" Type="http://schemas.openxmlformats.org/officeDocument/2006/relationships/hyperlink" Target="https://www.google.com/url?q=http://www.fao.org/3/T0219E/T0219E01.htm%23ref10&amp;sa=D&amp;ust=1586730028247000&amp;usg=AFQjCNFdDGKhPQZ8GPM2klMChagoTcnexQ" TargetMode="External"/><Relationship Id="rId32" Type="http://schemas.openxmlformats.org/officeDocument/2006/relationships/hyperlink" Target="https://www.google.com/url?q=http://www.fao.org/3/T0219E/T0219E01.htm%23ref19&amp;sa=D&amp;ust=1586730028279000&amp;usg=AFQjCNGDM3doweOuxzrdekI_wJfxIQDVrw" TargetMode="External"/><Relationship Id="rId37" Type="http://schemas.openxmlformats.org/officeDocument/2006/relationships/hyperlink" Target="https://www.google.com/url?q=http://www.fao.org/3/T0219E/T0219E01.htm%23ref8&amp;sa=D&amp;ust=1586730028285000&amp;usg=AFQjCNEyZhk7LIIzV0guPlVPgV26C8LuQQ" TargetMode="External"/><Relationship Id="rId53" Type="http://schemas.openxmlformats.org/officeDocument/2006/relationships/hyperlink" Target="https://www.google.com/url?q=http://www.fao.org/3/T0219E/T0219E01.htm%23ref15&amp;sa=D&amp;ust=1586730028310000&amp;usg=AFQjCNFzd1JQCceF2MxqTzf_OMucByvOtA" TargetMode="External"/><Relationship Id="rId58" Type="http://schemas.openxmlformats.org/officeDocument/2006/relationships/hyperlink" Target="https://www.google.com/url?q=http://www.fao.org/3/T0219E/T0219E01.htm%23ref30&amp;sa=D&amp;ust=1586730028320000&amp;usg=AFQjCNEjh0VurSETMcVcJgQxZvMO86tu0Q" TargetMode="External"/><Relationship Id="rId74" Type="http://schemas.openxmlformats.org/officeDocument/2006/relationships/hyperlink" Target="https://www.google.com/url?q=http://www.fao.org/3/T0219E/T0219E01.htm%23ref3&amp;sa=D&amp;ust=1586730028342000&amp;usg=AFQjCNGqVg23hMobFksgxIGN6SHiwtT4pg" TargetMode="External"/><Relationship Id="rId79" Type="http://schemas.openxmlformats.org/officeDocument/2006/relationships/hyperlink" Target="http://www.adfg.alaska.gov/FedAidpdfs/afrbIL.046.pdf" TargetMode="External"/><Relationship Id="rId5" Type="http://schemas.openxmlformats.org/officeDocument/2006/relationships/hyperlink" Target="https://www.google.com/url?q=http://www.fao.org/3/T0219E/T0219E01.htm%23ref6&amp;sa=D&amp;ust=1586730028238000&amp;usg=AFQjCNHcMpGAbVHcb0p9LNAXmwGyCAJCfw" TargetMode="External"/><Relationship Id="rId19" Type="http://schemas.openxmlformats.org/officeDocument/2006/relationships/hyperlink" Target="https://www.google.com/url?q=http://www.fao.org/3/T0219E/T0219E01.htm%23ref15&amp;sa=D&amp;ust=1586730028261000&amp;usg=AFQjCNEKe-yfYPchufS0FS_YVtn6U9pzsg" TargetMode="External"/><Relationship Id="rId14" Type="http://schemas.openxmlformats.org/officeDocument/2006/relationships/hyperlink" Target="https://www.google.com/url?q=http://www.fao.org/3/T0219E/T0219E01.htm%23ref7&amp;sa=D&amp;ust=1586730028253000&amp;usg=AFQjCNFPLL3IBVljU-FUdC0CvtUXIBu4cw" TargetMode="External"/><Relationship Id="rId22" Type="http://schemas.openxmlformats.org/officeDocument/2006/relationships/hyperlink" Target="https://www.google.com/url?q=http://www.fao.org/3/T0219E/T0219E01.htm%23ref7&amp;sa=D&amp;ust=1586730028265000&amp;usg=AFQjCNEHhx45GX8FlLGJCprvRfxMJui3Tg" TargetMode="External"/><Relationship Id="rId27" Type="http://schemas.openxmlformats.org/officeDocument/2006/relationships/hyperlink" Target="https://www.google.com/url?q=http://www.fao.org/3/T0219E/T0219E01.htm%23ref17&amp;sa=D&amp;ust=1586730028274000&amp;usg=AFQjCNFl0br32wUcrNqUsSRbgKwYCfSurQ" TargetMode="External"/><Relationship Id="rId30" Type="http://schemas.openxmlformats.org/officeDocument/2006/relationships/hyperlink" Target="https://www.google.com/url?q=http://www.fao.org/3/T0219E/T0219E01.htm%23ref1&amp;sa=D&amp;ust=1586730028278000&amp;usg=AFQjCNFu_wdWqhwhy0esH0cL5Pu3c4GrDA" TargetMode="External"/><Relationship Id="rId35" Type="http://schemas.openxmlformats.org/officeDocument/2006/relationships/hyperlink" Target="https://www.google.com/url?q=http://www.fao.org/3/T0219E/T0219E01.htm%23ref20&amp;sa=D&amp;ust=1586730028283000&amp;usg=AFQjCNHdbyJFO2ZKhKalB4GgLdE6wC5XNA" TargetMode="External"/><Relationship Id="rId43" Type="http://schemas.openxmlformats.org/officeDocument/2006/relationships/hyperlink" Target="https://www.google.com/url?q=http://www.fao.org/3/T0219E/T0219E01.htm%23ref7&amp;sa=D&amp;ust=1586730028293000&amp;usg=AFQjCNFKO0vkPD5SflZu0JUvmHAcGhhOYg" TargetMode="External"/><Relationship Id="rId48" Type="http://schemas.openxmlformats.org/officeDocument/2006/relationships/hyperlink" Target="https://www.google.com/url?q=http://www.fao.org/3/T0219E/T0219E01.htm%23ref7&amp;sa=D&amp;ust=1586730028300000&amp;usg=AFQjCNFRWqZlASmcRymJ3e0wcUmZOGBBeA" TargetMode="External"/><Relationship Id="rId56" Type="http://schemas.openxmlformats.org/officeDocument/2006/relationships/hyperlink" Target="https://www.google.com/url?q=http://www.fao.org/3/T0219E/T0219E01.htm%23ref8&amp;sa=D&amp;ust=1586730028316000&amp;usg=AFQjCNEQp_DuNBRTIUAK1aRHPsCfdmPNPQ" TargetMode="External"/><Relationship Id="rId64" Type="http://schemas.openxmlformats.org/officeDocument/2006/relationships/hyperlink" Target="https://www.google.com/url?q=http://www.fao.org/3/T0219E/T0219E01.htm%23ref24&amp;sa=D&amp;ust=1586730028328000&amp;usg=AFQjCNH4QjFH7yLRCvylRfHQGEF0BUBf1A" TargetMode="External"/><Relationship Id="rId69" Type="http://schemas.openxmlformats.org/officeDocument/2006/relationships/hyperlink" Target="https://www.google.com/url?q=http://www.fao.org/3/T0219E/T0219E01.htm%23ref1&amp;sa=D&amp;ust=1586730028333000&amp;usg=AFQjCNHUpsbnlfgg-SyxSkepRqDaGaeCYQ" TargetMode="External"/><Relationship Id="rId77" Type="http://schemas.openxmlformats.org/officeDocument/2006/relationships/hyperlink" Target="https://www.alaskankingcrab.com/blogs/resources/everything-you-need-to-know-about-popular-varieties-of-edible-crab" TargetMode="External"/><Relationship Id="rId8" Type="http://schemas.openxmlformats.org/officeDocument/2006/relationships/hyperlink" Target="https://www.google.com/url?q=http://www.fao.org/3/T0219E/T0219E01.htm%23ref8&amp;sa=D&amp;ust=1586730028245000&amp;usg=AFQjCNEvUNzRRn2P1ogcyT4koyiX7qQN3w" TargetMode="External"/><Relationship Id="rId51" Type="http://schemas.openxmlformats.org/officeDocument/2006/relationships/hyperlink" Target="https://www.google.com/url?q=http://www.fao.org/3/T0219E/T0219E01.htm%23ref1&amp;sa=D&amp;ust=1586730028306000&amp;usg=AFQjCNFXgSO3rFRwtvAQK1mWaP7oEJadLQ" TargetMode="External"/><Relationship Id="rId72" Type="http://schemas.openxmlformats.org/officeDocument/2006/relationships/hyperlink" Target="https://www.google.com/url?q=http://www.fao.org/3/T0219E/T0219E01.htm%23ref15&amp;sa=D&amp;ust=1586730028337000&amp;usg=AFQjCNHg88uhx22pC7fFl255wUFFZL5--Q" TargetMode="External"/><Relationship Id="rId80" Type="http://schemas.openxmlformats.org/officeDocument/2006/relationships/hyperlink" Target="https://fishchoice.com/buying-guide/snow-crab" TargetMode="External"/><Relationship Id="rId85" Type="http://schemas.openxmlformats.org/officeDocument/2006/relationships/hyperlink" Target="https://fishchoice.com/buying-guide/snow-crab" TargetMode="External"/><Relationship Id="rId3" Type="http://schemas.openxmlformats.org/officeDocument/2006/relationships/hyperlink" Target="https://www.google.com/url?q=http://www.fao.org/3/T0219E/T0219E01.htm%23ref3&amp;sa=D&amp;ust=1586730028235000&amp;usg=AFQjCNERm4VuMtVSpZSLL9pmUkZH3nyD5Q" TargetMode="External"/><Relationship Id="rId12" Type="http://schemas.openxmlformats.org/officeDocument/2006/relationships/hyperlink" Target="https://www.google.com/url?q=http://www.fao.org/3/T0219E/T0219E01.htm%23ref12&amp;sa=D&amp;ust=1586730028251000&amp;usg=AFQjCNHqgh9ec9gQPYAzJuLP0Ji3o3QrrA" TargetMode="External"/><Relationship Id="rId17" Type="http://schemas.openxmlformats.org/officeDocument/2006/relationships/hyperlink" Target="https://www.google.com/url?q=http://www.fao.org/3/T0219E/T0219E01.htm%23ref13&amp;sa=D&amp;ust=1586730028259000&amp;usg=AFQjCNFkUTfA7w9p1kJ9hQN0yW4kL-gE_w" TargetMode="External"/><Relationship Id="rId25" Type="http://schemas.openxmlformats.org/officeDocument/2006/relationships/hyperlink" Target="https://www.google.com/url?q=http://www.fao.org/3/T0219E/T0219E01.htm%23ref16&amp;sa=D&amp;ust=1586730028268000&amp;usg=AFQjCNHYdusdlpXnPxE5IBf2wq3oOOC1Qg" TargetMode="External"/><Relationship Id="rId33" Type="http://schemas.openxmlformats.org/officeDocument/2006/relationships/hyperlink" Target="https://www.google.com/url?q=http://www.fao.org/3/T0219E/T0219E01.htm%23ref3&amp;sa=D&amp;ust=1586730028280000&amp;usg=AFQjCNGTUJbF-30bD0R5w3iXsbHLo8O1_g" TargetMode="External"/><Relationship Id="rId38" Type="http://schemas.openxmlformats.org/officeDocument/2006/relationships/hyperlink" Target="https://www.google.com/url?q=http://www.fao.org/3/T0219E/T0219E01.htm%23ref21&amp;sa=D&amp;ust=1586730028287000&amp;usg=AFQjCNETIqXkcqQVX1HlksvyeZoymho7-g" TargetMode="External"/><Relationship Id="rId46" Type="http://schemas.openxmlformats.org/officeDocument/2006/relationships/hyperlink" Target="https://www.google.com/url?q=http://www.fao.org/3/T0219E/T0219E01.htm%23ref1&amp;sa=D&amp;ust=1586730028298000&amp;usg=AFQjCNHm_Ypp9fWbnh-eb6AfLLrPAqKFzQ" TargetMode="External"/><Relationship Id="rId59" Type="http://schemas.openxmlformats.org/officeDocument/2006/relationships/hyperlink" Target="https://www.google.com/url?q=http://www.fao.org/3/T0219E/T0219E01.htm%23ref25&amp;sa=D&amp;ust=1586730028321000&amp;usg=AFQjCNGTOEF8HmAM6dYjJYwcTBcdZ8D34w" TargetMode="External"/><Relationship Id="rId67" Type="http://schemas.openxmlformats.org/officeDocument/2006/relationships/hyperlink" Target="https://www.google.com/url?q=http://www.fao.org/3/T0219E/T0219E01.htm%23ref12&amp;sa=D&amp;ust=1586730028332000&amp;usg=AFQjCNHQ-71Ts-5h_NqZGgoadx7MuUA6yQ" TargetMode="External"/><Relationship Id="rId20" Type="http://schemas.openxmlformats.org/officeDocument/2006/relationships/hyperlink" Target="https://www.google.com/url?q=http://www.fao.org/3/T0219E/T0219E01.htm%23ref13&amp;sa=D&amp;ust=1586730028262000&amp;usg=AFQjCNG9S0CCkrT0vLko778NoxiKci3MeQ" TargetMode="External"/><Relationship Id="rId41" Type="http://schemas.openxmlformats.org/officeDocument/2006/relationships/hyperlink" Target="https://www.google.com/url?q=http://www.fao.org/3/T0219E/T0219E01.htm%23ref15&amp;sa=D&amp;ust=1586730028292000&amp;usg=AFQjCNERWXS7Iy8dvDa2FJIRpz4WiVOWog" TargetMode="External"/><Relationship Id="rId54" Type="http://schemas.openxmlformats.org/officeDocument/2006/relationships/hyperlink" Target="https://www.google.com/url?q=http://www.fao.org/3/T0219E/T0219E01.htm%23ref6&amp;sa=D&amp;ust=1586730028310000&amp;usg=AFQjCNF-calz7CPxDV2vPTNJBDzNxHX5kQ" TargetMode="External"/><Relationship Id="rId62" Type="http://schemas.openxmlformats.org/officeDocument/2006/relationships/hyperlink" Target="https://www.google.com/url?q=http://www.fao.org/3/T0219E/T0219E01.htm%23ref5&amp;sa=D&amp;ust=1586730028325000&amp;usg=AFQjCNFD7-sOjl6eesZhc9jUcWhk8om1JA" TargetMode="External"/><Relationship Id="rId70" Type="http://schemas.openxmlformats.org/officeDocument/2006/relationships/hyperlink" Target="https://www.google.com/url?q=http://www.fao.org/3/T0219E/T0219E01.htm%23ref6&amp;sa=D&amp;ust=1586730028334000&amp;usg=AFQjCNFbt16MVhxt8nTY3OTAUdVD3udrPQ" TargetMode="External"/><Relationship Id="rId75" Type="http://schemas.openxmlformats.org/officeDocument/2006/relationships/hyperlink" Target="https://www.google.com/url?q=http://www.fao.org/3/T0219E/T0219E01.htm%23ref1&amp;sa=D&amp;ust=1586730028343000&amp;usg=AFQjCNHaIjcS0Roiym7myU_AkUJimfQN7w" TargetMode="External"/><Relationship Id="rId83" Type="http://schemas.openxmlformats.org/officeDocument/2006/relationships/hyperlink" Target="https://www.ingentaconnect.com/contentone/umrsmas/bullmar/2016/00000092/00000001/art00001" TargetMode="External"/><Relationship Id="rId1" Type="http://schemas.openxmlformats.org/officeDocument/2006/relationships/hyperlink" Target="https://www.google.com/url?q=http://www.fao.org/3/T0219E/T0219E01.htm%23ref1&amp;sa=D&amp;ust=1586730028233000&amp;usg=AFQjCNGTi2QTxIqDoeUPZU-6ehIjyhpcmA" TargetMode="External"/><Relationship Id="rId6" Type="http://schemas.openxmlformats.org/officeDocument/2006/relationships/hyperlink" Target="https://www.google.com/url?q=http://www.fao.org/3/T0219E/T0219E01.htm%23ref29&amp;sa=D&amp;ust=1586730028242000&amp;usg=AFQjCNEovjqFR2IytjlCF4cEsiGhkXxgEQ" TargetMode="External"/><Relationship Id="rId15" Type="http://schemas.openxmlformats.org/officeDocument/2006/relationships/hyperlink" Target="https://www.google.com/url?q=http://www.fao.org/3/T0219E/T0219E01.htm%23ref5&amp;sa=D&amp;ust=1586730028256000&amp;usg=AFQjCNFY97vzvHELOaxeK6BpDwjdaOe-rw" TargetMode="External"/><Relationship Id="rId23" Type="http://schemas.openxmlformats.org/officeDocument/2006/relationships/hyperlink" Target="https://www.google.com/url?q=http://www.fao.org/3/T0219E/T0219E01.htm%23ref2&amp;sa=D&amp;ust=1586730028266000&amp;usg=AFQjCNEGW1wim6NKLK99e3e9Rf5ciaxQpA" TargetMode="External"/><Relationship Id="rId28" Type="http://schemas.openxmlformats.org/officeDocument/2006/relationships/hyperlink" Target="https://www.google.com/url?q=http://www.fao.org/3/T0219E/T0219E01.htm%23ref18&amp;sa=D&amp;ust=1586730028276000&amp;usg=AFQjCNFgWto6yM2R57szlj6bU1-7b-AaUQ" TargetMode="External"/><Relationship Id="rId36" Type="http://schemas.openxmlformats.org/officeDocument/2006/relationships/hyperlink" Target="https://www.google.com/url?q=http://www.fao.org/3/T0219E/T0219E01.htm%23ref20&amp;sa=D&amp;ust=1586730028284000&amp;usg=AFQjCNFOZQn6KCOsus6RJzMvzxFn0S-PiQ" TargetMode="External"/><Relationship Id="rId49" Type="http://schemas.openxmlformats.org/officeDocument/2006/relationships/hyperlink" Target="https://www.google.com/url?q=http://www.fao.org/3/T0219E/T0219E01.htm%23ref23&amp;sa=D&amp;ust=1586730028303000&amp;usg=AFQjCNH-eZDxcUh3ZLyGr_kdENnY60oLJA" TargetMode="External"/><Relationship Id="rId57" Type="http://schemas.openxmlformats.org/officeDocument/2006/relationships/hyperlink" Target="https://www.google.com/url?q=http://www.fao.org/3/T0219E/T0219E01.htm%23ref8&amp;sa=D&amp;ust=1586730028318000&amp;usg=AFQjCNFLF8gaXm9Bg4I8NPAan7bJrVZqNQ" TargetMode="External"/><Relationship Id="rId10" Type="http://schemas.openxmlformats.org/officeDocument/2006/relationships/hyperlink" Target="https://www.google.com/url?q=http://www.fao.org/3/T0219E/T0219E01.htm%23ref1&amp;sa=D&amp;ust=1586730028247000&amp;usg=AFQjCNFOknJF77n2eUX-En5NtbmIai5Z-w" TargetMode="External"/><Relationship Id="rId31" Type="http://schemas.openxmlformats.org/officeDocument/2006/relationships/hyperlink" Target="https://www.google.com/url?q=http://www.fao.org/3/T0219E/T0219E01.htm%23ref8&amp;sa=D&amp;ust=1586730028279000&amp;usg=AFQjCNFMYKGTZ_ElvKQEVUyY50LQ2R6ijg" TargetMode="External"/><Relationship Id="rId44" Type="http://schemas.openxmlformats.org/officeDocument/2006/relationships/hyperlink" Target="https://www.google.com/url?q=http://www.fao.org/3/T0219E/T0219E01.htm%23ref21&amp;sa=D&amp;ust=1586730028295000&amp;usg=AFQjCNHJ-vOZ9YZOrDdwGfpeSXtzDEJV4Q" TargetMode="External"/><Relationship Id="rId52" Type="http://schemas.openxmlformats.org/officeDocument/2006/relationships/hyperlink" Target="https://www.google.com/url?q=http://www.fao.org/3/T0219E/T0219E01.htm%23ref9&amp;sa=D&amp;ust=1586730028307000&amp;usg=AFQjCNHykE5Lg7OkzIl9_KZAsm5vYgC9mQ" TargetMode="External"/><Relationship Id="rId60" Type="http://schemas.openxmlformats.org/officeDocument/2006/relationships/hyperlink" Target="https://www.google.com/url?q=http://www.fao.org/3/T0219E/T0219E01.htm%23ref19&amp;sa=D&amp;ust=1586730028322000&amp;usg=AFQjCNEDvFh7_tZbE0dcg8kDD1N4i1gK0g" TargetMode="External"/><Relationship Id="rId65" Type="http://schemas.openxmlformats.org/officeDocument/2006/relationships/hyperlink" Target="https://www.google.com/url?q=http://www.fao.org/3/T0219E/T0219E01.htm%23ref13&amp;sa=D&amp;ust=1586730028328000&amp;usg=AFQjCNE-MMjeFKBQW4Ryz8Ch6BQCKp14fw" TargetMode="External"/><Relationship Id="rId73" Type="http://schemas.openxmlformats.org/officeDocument/2006/relationships/hyperlink" Target="https://www.google.com/url?q=http://www.fao.org/3/T0219E/T0219E01.htm%23ref17&amp;sa=D&amp;ust=1586730028338000&amp;usg=AFQjCNE4lXJ6MLC-0oP1ke9W8cBgfJP-iQ" TargetMode="External"/><Relationship Id="rId78" Type="http://schemas.openxmlformats.org/officeDocument/2006/relationships/hyperlink" Target="https://wdfw.wa.gov/fishing/basics/crab" TargetMode="External"/><Relationship Id="rId81" Type="http://schemas.openxmlformats.org/officeDocument/2006/relationships/hyperlink" Target="https://fishchoice.com/buying-guide/snow-crab" TargetMode="External"/><Relationship Id="rId86" Type="http://schemas.openxmlformats.org/officeDocument/2006/relationships/hyperlink" Target="https://fathomseafood.com/blogs/news/what-part-of-the-dungeness-crab-are-edible" TargetMode="External"/><Relationship Id="rId4" Type="http://schemas.openxmlformats.org/officeDocument/2006/relationships/hyperlink" Target="https://www.google.com/url?q=http://www.fao.org/3/T0219E/T0219E01.htm%23ref5&amp;sa=D&amp;ust=1586730028237000&amp;usg=AFQjCNFfQHPS5J9PiSe9IEgkuzp41-7uEQ" TargetMode="External"/><Relationship Id="rId9" Type="http://schemas.openxmlformats.org/officeDocument/2006/relationships/hyperlink" Target="https://www.google.com/url?q=http://www.fao.org/3/T0219E/T0219E01.htm%23ref9&amp;sa=D&amp;ust=1586730028246000&amp;usg=AFQjCNFwfoq426StW40k-wBIzNRj0W8_Kg" TargetMode="External"/><Relationship Id="rId13" Type="http://schemas.openxmlformats.org/officeDocument/2006/relationships/hyperlink" Target="https://www.google.com/url?q=http://www.fao.org/3/T0219E/T0219E01.htm%23ref5&amp;sa=D&amp;ust=1586730028253000&amp;usg=AFQjCNHleeh5v6y8vcjYfZ3aC4Sjmw8Q8A" TargetMode="External"/><Relationship Id="rId18" Type="http://schemas.openxmlformats.org/officeDocument/2006/relationships/hyperlink" Target="https://www.google.com/url?q=http://www.fao.org/3/T0219E/T0219E01.htm%23ref14&amp;sa=D&amp;ust=1586730028260000&amp;usg=AFQjCNElHTpEoyO0cSOIjparoUKwBN-JiA" TargetMode="External"/><Relationship Id="rId39" Type="http://schemas.openxmlformats.org/officeDocument/2006/relationships/hyperlink" Target="https://www.google.com/url?q=http://www.fao.org/3/T0219E/T0219E01.htm%23ref7&amp;sa=D&amp;ust=1586730028288000&amp;usg=AFQjCNGjCiLf2fLhB2GZKHaL2cTI5IkWIA" TargetMode="External"/><Relationship Id="rId34" Type="http://schemas.openxmlformats.org/officeDocument/2006/relationships/hyperlink" Target="https://www.google.com/url?q=http://www.fao.org/3/T0219E/T0219E01.htm%23ref15&amp;sa=D&amp;ust=1586730028283000&amp;usg=AFQjCNGrxiAEHRss6E41O5bEMlh-Td-GCA" TargetMode="External"/><Relationship Id="rId50" Type="http://schemas.openxmlformats.org/officeDocument/2006/relationships/hyperlink" Target="https://www.google.com/url?q=http://www.fao.org/3/T0219E/T0219E01.htm%23ref5&amp;sa=D&amp;ust=1586730028305000&amp;usg=AFQjCNFzJTPV2DM_RwziEoaNqUV1lsg_JA" TargetMode="External"/><Relationship Id="rId55" Type="http://schemas.openxmlformats.org/officeDocument/2006/relationships/hyperlink" Target="https://www.google.com/url?q=http://www.fao.org/3/T0219E/T0219E01.htm%23ref13&amp;sa=D&amp;ust=1586730028315000&amp;usg=AFQjCNG6fdA8tYDdVyg3oHJkhb-v6Xzphg" TargetMode="External"/><Relationship Id="rId76" Type="http://schemas.openxmlformats.org/officeDocument/2006/relationships/hyperlink" Target="https://www.cameronsseafood.com/blog/crab-how-tos/overview-types-crabs-around-united-states/" TargetMode="External"/><Relationship Id="rId7" Type="http://schemas.openxmlformats.org/officeDocument/2006/relationships/hyperlink" Target="https://www.google.com/url?q=http://www.fao.org/3/T0219E/T0219E01.htm%23ref7&amp;sa=D&amp;ust=1586730028242000&amp;usg=AFQjCNFdBnHNrcYF95zCKJAFYG_8i8a-WA" TargetMode="External"/><Relationship Id="rId71" Type="http://schemas.openxmlformats.org/officeDocument/2006/relationships/hyperlink" Target="https://www.google.com/url?q=http://www.fao.org/3/T0219E/T0219E01.htm%23ref15&amp;sa=D&amp;ust=1586730028336000&amp;usg=AFQjCNEbOJ7ypm1oQqRZ54XBkicyN5t0Fg" TargetMode="External"/><Relationship Id="rId2" Type="http://schemas.openxmlformats.org/officeDocument/2006/relationships/hyperlink" Target="https://www.google.com/url?q=http://www.fao.org/3/T0219E/T0219E01.htm%23ref2&amp;sa=D&amp;ust=1586730028234000&amp;usg=AFQjCNFPs2_KUkap3p24R-_O53qm_K0Spg" TargetMode="External"/><Relationship Id="rId29" Type="http://schemas.openxmlformats.org/officeDocument/2006/relationships/hyperlink" Target="https://www.google.com/url?q=http://www.fao.org/3/T0219E/T0219E01.htm%23ref16&amp;sa=D&amp;ust=1586730028277000&amp;usg=AFQjCNHDaPE-JOcMsM9mVYglHCEE_n8lqA" TargetMode="External"/><Relationship Id="rId24" Type="http://schemas.openxmlformats.org/officeDocument/2006/relationships/hyperlink" Target="https://www.google.com/url?q=http://www.fao.org/3/T0219E/T0219E01.htm%23ref6&amp;sa=D&amp;ust=1586730028267000&amp;usg=AFQjCNF6w2tF_i2jAKvHXeASj111IqnwIw" TargetMode="External"/><Relationship Id="rId40" Type="http://schemas.openxmlformats.org/officeDocument/2006/relationships/hyperlink" Target="https://www.google.com/url?q=http://www.fao.org/3/T0219E/T0219E01.htm%23ref15&amp;sa=D&amp;ust=1586730028291000&amp;usg=AFQjCNGCMyxCQk-NCwGe_YMciAQSf1s6CQ" TargetMode="External"/><Relationship Id="rId45" Type="http://schemas.openxmlformats.org/officeDocument/2006/relationships/hyperlink" Target="https://www.google.com/url?q=http://www.fao.org/3/T0219E/T0219E01.htm%23ref23&amp;sa=D&amp;ust=1586730028296000&amp;usg=AFQjCNG9lkvgAG0QI4TlGzBOChiJvgUiyg" TargetMode="External"/><Relationship Id="rId66" Type="http://schemas.openxmlformats.org/officeDocument/2006/relationships/hyperlink" Target="https://www.google.com/url?q=http://www.fao.org/3/T0219E/T0219E01.htm%23ref12&amp;sa=D&amp;ust=1586730028329000&amp;usg=AFQjCNHi3lgsQFAR8WOFSEW_VKZvU3DY8A" TargetMode="External"/><Relationship Id="rId87" Type="http://schemas.openxmlformats.org/officeDocument/2006/relationships/printerSettings" Target="../printerSettings/printerSettings8.bin"/><Relationship Id="rId61" Type="http://schemas.openxmlformats.org/officeDocument/2006/relationships/hyperlink" Target="https://www.google.com/url?q=http://www.fao.org/3/T0219E/T0219E01.htm%23ref15&amp;sa=D&amp;ust=1586730028324000&amp;usg=AFQjCNGzUiCAtGNiXNFewhO3Gr4_rGxI0A" TargetMode="External"/><Relationship Id="rId82" Type="http://schemas.openxmlformats.org/officeDocument/2006/relationships/hyperlink" Target="http://ufdcimages.uflib.ufl.edu/FI/44/44/00/02/00001/FI44440002.pdf" TargetMode="Externa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38"/>
  <sheetViews>
    <sheetView showGridLines="0" topLeftCell="A7" workbookViewId="0">
      <selection activeCell="A7" sqref="A7"/>
    </sheetView>
  </sheetViews>
  <sheetFormatPr defaultColWidth="14.42578125" defaultRowHeight="15" customHeight="1"/>
  <cols>
    <col min="1" max="1" width="136.140625" style="138" customWidth="1"/>
    <col min="2" max="16384" width="14.42578125" style="138"/>
  </cols>
  <sheetData>
    <row r="1" spans="1:1" ht="12.75">
      <c r="A1" s="129"/>
    </row>
    <row r="2" spans="1:1" ht="15" customHeight="1">
      <c r="A2" s="1" t="s">
        <v>0</v>
      </c>
    </row>
    <row r="3" spans="1:1" ht="12.75">
      <c r="A3" s="129"/>
    </row>
    <row r="4" spans="1:1" ht="38.25">
      <c r="A4" s="129" t="s">
        <v>1</v>
      </c>
    </row>
    <row r="5" spans="1:1" ht="12.75">
      <c r="A5" s="129"/>
    </row>
    <row r="6" spans="1:1" ht="12.75">
      <c r="A6" s="129" t="s">
        <v>2709</v>
      </c>
    </row>
    <row r="7" spans="1:1" ht="12.75">
      <c r="A7" s="129"/>
    </row>
    <row r="8" spans="1:1">
      <c r="A8" s="2" t="s">
        <v>2</v>
      </c>
    </row>
    <row r="9" spans="1:1" ht="12.75">
      <c r="A9" s="129"/>
    </row>
    <row r="10" spans="1:1" ht="63.75">
      <c r="A10" s="129" t="s">
        <v>2706</v>
      </c>
    </row>
    <row r="11" spans="1:1" ht="12.75">
      <c r="A11" s="129"/>
    </row>
    <row r="12" spans="1:1" ht="25.5">
      <c r="A12" s="129" t="s">
        <v>3</v>
      </c>
    </row>
    <row r="13" spans="1:1" ht="12.75">
      <c r="A13" s="129"/>
    </row>
    <row r="14" spans="1:1" ht="12.75">
      <c r="A14" s="3" t="s">
        <v>2653</v>
      </c>
    </row>
    <row r="15" spans="1:1" ht="12.75">
      <c r="A15" s="129"/>
    </row>
    <row r="16" spans="1:1" ht="25.5">
      <c r="A16" s="129" t="s">
        <v>4</v>
      </c>
    </row>
    <row r="17" spans="1:1" ht="12.75">
      <c r="A17" s="129"/>
    </row>
    <row r="18" spans="1:1" ht="12.75">
      <c r="A18" s="3" t="s">
        <v>2654</v>
      </c>
    </row>
    <row r="19" spans="1:1" ht="12.75">
      <c r="A19" s="129"/>
    </row>
    <row r="20" spans="1:1" ht="12.75">
      <c r="A20" s="129" t="s">
        <v>5</v>
      </c>
    </row>
    <row r="21" spans="1:1" ht="12.75">
      <c r="A21" s="129"/>
    </row>
    <row r="22" spans="1:1" ht="12.75">
      <c r="A22" s="129" t="s">
        <v>6</v>
      </c>
    </row>
    <row r="23" spans="1:1" ht="12.75">
      <c r="A23" s="3"/>
    </row>
    <row r="24" spans="1:1" ht="12.75">
      <c r="A24" s="3" t="s">
        <v>2655</v>
      </c>
    </row>
    <row r="25" spans="1:1" ht="12.75">
      <c r="A25" s="129"/>
    </row>
    <row r="26" spans="1:1" ht="12.75">
      <c r="A26" s="3" t="s">
        <v>2656</v>
      </c>
    </row>
    <row r="27" spans="1:1" ht="12.75">
      <c r="A27" s="129"/>
    </row>
    <row r="28" spans="1:1" ht="12.75">
      <c r="A28" s="3" t="s">
        <v>2657</v>
      </c>
    </row>
    <row r="29" spans="1:1" ht="12.75">
      <c r="A29" s="129"/>
    </row>
    <row r="30" spans="1:1" ht="12.75">
      <c r="A30" s="3" t="s">
        <v>2658</v>
      </c>
    </row>
    <row r="31" spans="1:1" ht="12.75">
      <c r="A31" s="129"/>
    </row>
    <row r="32" spans="1:1" ht="15" customHeight="1">
      <c r="A32" s="250" t="s">
        <v>2660</v>
      </c>
    </row>
    <row r="33" spans="1:1" ht="12.75">
      <c r="A33" s="129"/>
    </row>
    <row r="34" spans="1:1" ht="12.75">
      <c r="A34" s="3" t="s">
        <v>2659</v>
      </c>
    </row>
    <row r="35" spans="1:1" ht="12.75">
      <c r="A35" s="129"/>
    </row>
    <row r="36" spans="1:1" ht="25.5">
      <c r="A36" s="129" t="s">
        <v>2707</v>
      </c>
    </row>
    <row r="37" spans="1:1" ht="12.75">
      <c r="A37" s="129"/>
    </row>
    <row r="38" spans="1:1" ht="25.5">
      <c r="A38" s="129" t="s">
        <v>2708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008"/>
  <sheetViews>
    <sheetView topLeftCell="A2" zoomScale="80" zoomScaleNormal="80" workbookViewId="0">
      <selection activeCell="C27" sqref="C27"/>
    </sheetView>
  </sheetViews>
  <sheetFormatPr defaultColWidth="14.42578125" defaultRowHeight="15" customHeight="1"/>
  <cols>
    <col min="1" max="1" width="25.7109375" customWidth="1"/>
    <col min="2" max="2" width="18.28515625" customWidth="1"/>
    <col min="3" max="3" width="24.7109375" customWidth="1"/>
    <col min="4" max="4" width="17.7109375" customWidth="1"/>
    <col min="5" max="5" width="20.28515625" customWidth="1"/>
    <col min="6" max="6" width="43.7109375" customWidth="1"/>
  </cols>
  <sheetData>
    <row r="1" spans="1:15" ht="15.75" customHeight="1" thickTop="1" thickBot="1">
      <c r="A1" s="251" t="s">
        <v>2697</v>
      </c>
      <c r="B1" s="252"/>
      <c r="C1" s="252"/>
      <c r="D1" s="252"/>
      <c r="E1" s="252"/>
      <c r="F1" s="252"/>
      <c r="G1" s="253"/>
      <c r="H1" s="252"/>
      <c r="I1" s="252"/>
      <c r="J1" s="252"/>
      <c r="K1" s="252"/>
      <c r="L1" s="5"/>
      <c r="M1" s="5"/>
      <c r="N1" s="5"/>
      <c r="O1" s="5"/>
    </row>
    <row r="2" spans="1:15" s="138" customFormat="1" ht="102.75" thickTop="1">
      <c r="A2" s="254" t="s">
        <v>7</v>
      </c>
      <c r="B2" s="6" t="s">
        <v>8</v>
      </c>
      <c r="C2" s="255" t="s">
        <v>9</v>
      </c>
      <c r="D2" s="256" t="s">
        <v>10</v>
      </c>
      <c r="E2" s="257" t="s">
        <v>11</v>
      </c>
      <c r="F2" s="258" t="s">
        <v>9</v>
      </c>
      <c r="G2" s="257" t="s">
        <v>12</v>
      </c>
      <c r="H2" s="259" t="s">
        <v>13</v>
      </c>
      <c r="I2" s="254" t="s">
        <v>14</v>
      </c>
      <c r="J2" s="257" t="s">
        <v>15</v>
      </c>
      <c r="K2" s="258" t="s">
        <v>9</v>
      </c>
      <c r="L2" s="257" t="s">
        <v>16</v>
      </c>
      <c r="M2" s="259" t="s">
        <v>17</v>
      </c>
      <c r="N2" s="260" t="str">
        <f>'USDA estimates'!L5</f>
        <v>NHANES multiplier to align with USDA (lives)</v>
      </c>
      <c r="O2" s="71" t="str">
        <f>'USDA estimates'!Q5</f>
        <v>NHANES multiplier to align with USDA (days)</v>
      </c>
    </row>
    <row r="3" spans="1:15" ht="30.75" customHeight="1">
      <c r="A3" s="261" t="s">
        <v>18</v>
      </c>
      <c r="B3" s="262">
        <f t="array" ref="B3:B12">TRANSPOSE('Overall estimates'!B15:K15)</f>
        <v>1</v>
      </c>
      <c r="C3" s="263" t="s">
        <v>19</v>
      </c>
      <c r="D3" s="264">
        <f t="array" ref="D3:D12">TRANSPOSE('Overall estimates'!B11:K11)</f>
        <v>189.6448</v>
      </c>
      <c r="E3" s="265">
        <f t="array" ref="E3:E12">TRANSPOSE('Overall estimates'!B12:K12)</f>
        <v>173.97331230719999</v>
      </c>
      <c r="F3" s="266" t="s">
        <v>2634</v>
      </c>
      <c r="G3" s="262">
        <f t="array" ref="G3:G12">TRANSPOSE('Overall estimates'!B16:K16)</f>
        <v>5.2730156587473005E-3</v>
      </c>
      <c r="H3" s="267">
        <f t="array" ref="H3:H12">TRANSPOSE('Overall estimates'!B17:K17)</f>
        <v>5.7480080521442965E-3</v>
      </c>
      <c r="I3" s="268">
        <f t="array" ref="I3:I12">TRANSPOSE('Overall estimates'!B13:K13)</f>
        <v>0.17271839708561021</v>
      </c>
      <c r="J3" s="262">
        <f t="array" ref="J3:J12" ca="1">TRANSPOSE('Overall estimates'!B14:K14)</f>
        <v>0.16821552723571845</v>
      </c>
      <c r="K3" s="266" t="s">
        <v>20</v>
      </c>
      <c r="L3" s="265">
        <f t="array" ref="L3:L12">TRANSPOSE('Overall estimates'!B18:K18)</f>
        <v>5.7897711933045359</v>
      </c>
      <c r="M3" s="269">
        <f t="array" ref="M3:M12" ca="1">TRANSPOSE('Overall estimates'!B19:K19)</f>
        <v>5.944754425664355</v>
      </c>
      <c r="N3" s="270">
        <f>'USDA estimates'!L6</f>
        <v>2.5530032537248499</v>
      </c>
      <c r="O3" s="269">
        <f>'USDA estimates'!Q6</f>
        <v>2.5530032541933299</v>
      </c>
    </row>
    <row r="4" spans="1:15" ht="15.75" customHeight="1">
      <c r="A4" s="261" t="s">
        <v>21</v>
      </c>
      <c r="B4" s="262">
        <v>1</v>
      </c>
      <c r="C4" s="263" t="s">
        <v>19</v>
      </c>
      <c r="D4" s="264">
        <v>1.0764193000000002</v>
      </c>
      <c r="E4" s="265">
        <v>0.93255506571862923</v>
      </c>
      <c r="F4" s="266" t="s">
        <v>2634</v>
      </c>
      <c r="G4" s="265">
        <v>0.9290060109475925</v>
      </c>
      <c r="H4" s="271">
        <v>1.0723227364910592</v>
      </c>
      <c r="I4" s="272">
        <v>2.1967740816326534E-2</v>
      </c>
      <c r="J4" s="265">
        <v>2.1579714207778263E-2</v>
      </c>
      <c r="K4" s="266" t="s">
        <v>22</v>
      </c>
      <c r="L4" s="265">
        <v>45.52129453643203</v>
      </c>
      <c r="M4" s="269">
        <v>46.339816661684836</v>
      </c>
      <c r="N4" s="270">
        <f>'USDA estimates'!L7</f>
        <v>2.0782962382503536</v>
      </c>
      <c r="O4" s="269">
        <f>'USDA estimates'!Q7</f>
        <v>2.0782962382503518</v>
      </c>
    </row>
    <row r="5" spans="1:15" ht="15.75" customHeight="1">
      <c r="A5" s="261" t="s">
        <v>23</v>
      </c>
      <c r="B5" s="262">
        <v>1</v>
      </c>
      <c r="C5" s="263" t="s">
        <v>19</v>
      </c>
      <c r="D5" s="264">
        <v>21946.140000000003</v>
      </c>
      <c r="E5" s="265">
        <v>8909.9158606831515</v>
      </c>
      <c r="F5" s="266" t="s">
        <v>2635</v>
      </c>
      <c r="G5" s="262">
        <v>4.5566099550991647E-5</v>
      </c>
      <c r="H5" s="267">
        <v>1.1223450542476019E-4</v>
      </c>
      <c r="I5" s="268">
        <v>10.932074719800749</v>
      </c>
      <c r="J5" s="262">
        <f ca="1"/>
        <v>10.160303589533173</v>
      </c>
      <c r="K5" s="266" t="s">
        <v>24</v>
      </c>
      <c r="L5" s="265">
        <v>9.1473944848615735E-2</v>
      </c>
      <c r="M5" s="269">
        <f ca="1"/>
        <v>9.8422255908786879E-2</v>
      </c>
      <c r="N5" s="270">
        <f>'USDA estimates'!L8</f>
        <v>1.6804075650129364</v>
      </c>
      <c r="O5" s="269">
        <f>'USDA estimates'!Q8</f>
        <v>1.6804075650129167</v>
      </c>
    </row>
    <row r="6" spans="1:15" ht="15.75" customHeight="1">
      <c r="A6" s="273" t="s">
        <v>2553</v>
      </c>
      <c r="B6" s="262">
        <v>1</v>
      </c>
      <c r="C6" s="263" t="s">
        <v>19</v>
      </c>
      <c r="D6" s="264">
        <v>8229.8025000000016</v>
      </c>
      <c r="E6" s="265">
        <v>3341.2184477561823</v>
      </c>
      <c r="F6" s="274" t="s">
        <v>2636</v>
      </c>
      <c r="G6" s="262">
        <v>1.215095988026444E-4</v>
      </c>
      <c r="H6" s="267">
        <v>2.9929201446602711E-4</v>
      </c>
      <c r="I6" s="268">
        <v>4.0995280199252813</v>
      </c>
      <c r="J6" s="262">
        <f ca="1"/>
        <v>3.8101138460749406</v>
      </c>
      <c r="K6" s="266" t="s">
        <v>24</v>
      </c>
      <c r="L6" s="265">
        <v>0.24393051959630863</v>
      </c>
      <c r="M6" s="269">
        <f ca="1"/>
        <v>0.26245934909009838</v>
      </c>
      <c r="N6" s="270">
        <f>'USDA estimates'!L8</f>
        <v>1.6804075650129364</v>
      </c>
      <c r="O6" s="269">
        <f>'USDA estimates'!Q8</f>
        <v>1.6804075650129167</v>
      </c>
    </row>
    <row r="7" spans="1:15" ht="15.75" customHeight="1">
      <c r="A7" s="273" t="s">
        <v>2554</v>
      </c>
      <c r="B7" s="262">
        <v>1</v>
      </c>
      <c r="C7" s="263" t="s">
        <v>19</v>
      </c>
      <c r="D7" s="264">
        <v>2212.0484000000006</v>
      </c>
      <c r="E7" s="265">
        <v>898.0697800961259</v>
      </c>
      <c r="F7" s="266" t="s">
        <v>2637</v>
      </c>
      <c r="G7" s="262">
        <v>4.5206967442484522E-4</v>
      </c>
      <c r="H7" s="267">
        <v>1.113499220397956E-3</v>
      </c>
      <c r="I7" s="268">
        <v>1.1018921046077212</v>
      </c>
      <c r="J7" s="262">
        <f ca="1"/>
        <v>1.0241018830072677</v>
      </c>
      <c r="K7" s="266" t="s">
        <v>24</v>
      </c>
      <c r="L7" s="265">
        <v>0.90752987140787678</v>
      </c>
      <c r="M7" s="269">
        <f ca="1"/>
        <v>0.9764653464589943</v>
      </c>
      <c r="N7" s="270">
        <f>'USDA estimates'!L8</f>
        <v>1.6804075650129364</v>
      </c>
      <c r="O7" s="269">
        <f>'USDA estimates'!Q8</f>
        <v>1.6804075650129167</v>
      </c>
    </row>
    <row r="8" spans="1:15" ht="15.75" customHeight="1">
      <c r="A8" s="261" t="s">
        <v>2556</v>
      </c>
      <c r="B8" s="262">
        <v>1</v>
      </c>
      <c r="C8" s="263" t="s">
        <v>19</v>
      </c>
      <c r="D8" s="264">
        <v>5393.7674999999999</v>
      </c>
      <c r="E8" s="265">
        <v>2189.8162773538902</v>
      </c>
      <c r="F8" s="266" t="s">
        <v>2638</v>
      </c>
      <c r="G8" s="262">
        <v>1.8539916672344515E-4</v>
      </c>
      <c r="H8" s="267">
        <v>4.5665931445553539E-4</v>
      </c>
      <c r="I8" s="268">
        <v>2.686808219178082</v>
      </c>
      <c r="J8" s="262">
        <f ca="1"/>
        <v>2.4971277541908221</v>
      </c>
      <c r="K8" s="266" t="s">
        <v>24</v>
      </c>
      <c r="L8" s="265">
        <v>0.37218882719731616</v>
      </c>
      <c r="M8" s="269">
        <f ca="1"/>
        <v>0.40046008792371274</v>
      </c>
      <c r="N8" s="270">
        <f>'USDA estimates'!L8</f>
        <v>1.6804075650129364</v>
      </c>
      <c r="O8" s="269">
        <f>'USDA estimates'!Q8</f>
        <v>1.6804075650129167</v>
      </c>
    </row>
    <row r="9" spans="1:15" ht="15.75" customHeight="1">
      <c r="A9" s="261" t="s">
        <v>2651</v>
      </c>
      <c r="B9" s="262">
        <v>1</v>
      </c>
      <c r="C9" s="263" t="s">
        <v>19</v>
      </c>
      <c r="D9" s="264">
        <v>1045.1041232524976</v>
      </c>
      <c r="E9" s="265">
        <v>424.30194119935385</v>
      </c>
      <c r="F9" s="266" t="s">
        <v>2652</v>
      </c>
      <c r="G9" s="262">
        <v>9.5684245976168593E-4</v>
      </c>
      <c r="H9" s="267">
        <v>2.3568122200274366E-3</v>
      </c>
      <c r="I9" s="268">
        <v>0.52059981233001129</v>
      </c>
      <c r="J9" s="262">
        <f ca="1"/>
        <v>0.48384705351001456</v>
      </c>
      <c r="K9" s="266" t="s">
        <v>24</v>
      </c>
      <c r="L9" s="265">
        <v>1.9208612379715846</v>
      </c>
      <c r="M9" s="269">
        <f ca="1"/>
        <v>2.0667688120566434</v>
      </c>
      <c r="N9" s="270">
        <f>'USDA estimates'!L8</f>
        <v>1.6804075650129364</v>
      </c>
      <c r="O9" s="269">
        <f>'USDA estimates'!Q8</f>
        <v>1.6804075650129167</v>
      </c>
    </row>
    <row r="10" spans="1:15" ht="15.75" customHeight="1">
      <c r="A10" s="261" t="s">
        <v>25</v>
      </c>
      <c r="B10" s="262">
        <v>1</v>
      </c>
      <c r="C10" s="263" t="s">
        <v>19</v>
      </c>
      <c r="D10" s="264">
        <v>48.311999999999998</v>
      </c>
      <c r="E10" s="265">
        <v>1.1994831268794051</v>
      </c>
      <c r="F10" s="266" t="s">
        <v>2634</v>
      </c>
      <c r="G10" s="262">
        <v>2.0698791190594472E-2</v>
      </c>
      <c r="H10" s="267">
        <v>0.83369242767225615</v>
      </c>
      <c r="I10" s="268">
        <v>0.28757142857142853</v>
      </c>
      <c r="J10" s="262">
        <f ca="1"/>
        <v>0.22450879864137874</v>
      </c>
      <c r="K10" s="266" t="s">
        <v>26</v>
      </c>
      <c r="L10" s="265">
        <v>3.4773969200198711</v>
      </c>
      <c r="M10" s="269">
        <f ca="1"/>
        <v>4.4541684158996349</v>
      </c>
      <c r="N10" s="270">
        <f>'USDA estimates'!L9</f>
        <v>3.2558675614565313</v>
      </c>
      <c r="O10" s="269">
        <f>'USDA estimates'!Q9</f>
        <v>3.2558675614565322</v>
      </c>
    </row>
    <row r="11" spans="1:15" ht="15.75" customHeight="1">
      <c r="A11" s="261" t="s">
        <v>27</v>
      </c>
      <c r="B11" s="262">
        <v>1</v>
      </c>
      <c r="C11" s="263" t="s">
        <v>19</v>
      </c>
      <c r="D11" s="264">
        <v>10.275053199999999</v>
      </c>
      <c r="E11" s="265">
        <v>3.437924418391443</v>
      </c>
      <c r="F11" s="266" t="s">
        <v>2639</v>
      </c>
      <c r="G11" s="262">
        <v>9.7323097071653125E-2</v>
      </c>
      <c r="H11" s="267">
        <v>0.29087317762148074</v>
      </c>
      <c r="I11" s="268">
        <v>2.0387010317460316E-2</v>
      </c>
      <c r="J11" s="262">
        <f ca="1"/>
        <v>2.0048126256676246E-2</v>
      </c>
      <c r="K11" s="266" t="s">
        <v>28</v>
      </c>
      <c r="L11" s="265">
        <v>49.050840924113174</v>
      </c>
      <c r="M11" s="269">
        <f ca="1"/>
        <v>49.879973180385825</v>
      </c>
      <c r="N11" s="270">
        <f>'USDA estimates'!L10</f>
        <v>1.3964836103898419</v>
      </c>
      <c r="O11" s="269">
        <f>'USDA estimates'!Q10</f>
        <v>1.3964836103898448</v>
      </c>
    </row>
    <row r="12" spans="1:15" ht="15.75" customHeight="1">
      <c r="A12" s="261" t="s">
        <v>29</v>
      </c>
      <c r="B12" s="262">
        <v>1</v>
      </c>
      <c r="C12" s="263" t="s">
        <v>30</v>
      </c>
      <c r="D12" s="275">
        <v>5.7993807999999998</v>
      </c>
      <c r="E12" s="275">
        <v>5.3209318839999993</v>
      </c>
      <c r="F12" s="266" t="s">
        <v>2634</v>
      </c>
      <c r="G12" s="275">
        <v>0.17243220172746718</v>
      </c>
      <c r="H12" s="267">
        <v>0.18793700460759369</v>
      </c>
      <c r="I12" s="275">
        <v>4.225414061930783E-2</v>
      </c>
      <c r="J12" s="275">
        <f ca="1"/>
        <v>4.0846828600791821E-2</v>
      </c>
      <c r="K12" s="266" t="s">
        <v>31</v>
      </c>
      <c r="L12" s="275">
        <v>23.66631968709487</v>
      </c>
      <c r="M12" s="269">
        <f ca="1"/>
        <v>24.481704804387551</v>
      </c>
      <c r="N12" s="270">
        <f>'USDA estimates'!L11</f>
        <v>1.758566157782067</v>
      </c>
      <c r="O12" s="269">
        <f>'USDA estimates'!Q11</f>
        <v>1.7585661577820653</v>
      </c>
    </row>
    <row r="13" spans="1:15" ht="15.75" customHeight="1">
      <c r="A13" s="261" t="s">
        <v>32</v>
      </c>
      <c r="B13" s="262">
        <f t="array" ref="B13:B16">TRANSPOSE('Overall estimates'!B31:E31)</f>
        <v>1</v>
      </c>
      <c r="C13" s="263" t="s">
        <v>33</v>
      </c>
      <c r="D13" s="264">
        <f t="array" ref="D13:D16">TRANSPOSE('Overall estimates'!B27:E27)</f>
        <v>1.6620158851599398</v>
      </c>
      <c r="E13" s="265">
        <f t="array" ref="E13:E16">TRANSPOSE('Overall estimates'!B28:E28)</f>
        <v>1.3785065356434334</v>
      </c>
      <c r="F13" s="266" t="s">
        <v>2640</v>
      </c>
      <c r="G13" s="265">
        <f t="array" ref="G13:G16">TRANSPOSE('Overall estimates'!B32:E32)</f>
        <v>0.60167896644608032</v>
      </c>
      <c r="H13" s="271">
        <f t="array" ref="H13:H16">TRANSPOSE('Overall estimates'!B33:E33)</f>
        <v>0.72542274856407463</v>
      </c>
      <c r="I13" s="272">
        <f t="array" ref="I13:I16">TRANSPOSE('Overall estimates'!B29:E29)</f>
        <v>5.0963081641097023E-3</v>
      </c>
      <c r="J13" s="265">
        <f t="array" aca="1" ref="J13:J16" ca="1">TRANSPOSE('Overall estimates'!B30:E30)</f>
        <v>4.7536810697522665E-3</v>
      </c>
      <c r="K13" s="266" t="s">
        <v>2642</v>
      </c>
      <c r="L13" s="265">
        <f t="array" ref="L13:L16">TRANSPOSE('Overall estimates'!B34:E34)</f>
        <v>196.2204732913153</v>
      </c>
      <c r="M13" s="269">
        <f t="array" aca="1" ref="M13:M16" ca="1">TRANSPOSE('Overall estimates'!B35:E35)</f>
        <v>210.36329222063563</v>
      </c>
      <c r="N13" s="270">
        <f>'USDA estimates'!L12</f>
        <v>0.99683787009440428</v>
      </c>
      <c r="O13" s="269">
        <f>'USDA estimates'!Q12</f>
        <v>1.3071274064414617</v>
      </c>
    </row>
    <row r="14" spans="1:15" ht="15.75" customHeight="1">
      <c r="A14" s="261" t="s">
        <v>87</v>
      </c>
      <c r="B14" s="262">
        <v>1</v>
      </c>
      <c r="C14" s="263" t="s">
        <v>34</v>
      </c>
      <c r="D14" s="264">
        <v>6.2016000000000007E-3</v>
      </c>
      <c r="E14" s="265">
        <v>4.0083461234353447E-3</v>
      </c>
      <c r="F14" s="266" t="s">
        <v>2641</v>
      </c>
      <c r="G14" s="265">
        <v>161.24871001031991</v>
      </c>
      <c r="H14" s="271">
        <v>249.47945342178986</v>
      </c>
      <c r="I14" s="272">
        <v>4.1388837907733382E-5</v>
      </c>
      <c r="J14" s="265">
        <f ca="1"/>
        <v>3.8120415975564061E-5</v>
      </c>
      <c r="K14" s="266" t="s">
        <v>2692</v>
      </c>
      <c r="L14" s="265">
        <v>24161.10358617131</v>
      </c>
      <c r="M14" s="269">
        <f ca="1"/>
        <v>26232.662325642508</v>
      </c>
      <c r="N14" s="270"/>
      <c r="O14" s="269"/>
    </row>
    <row r="15" spans="1:15" ht="15.75" customHeight="1">
      <c r="A15" s="261" t="s">
        <v>90</v>
      </c>
      <c r="B15" s="262">
        <v>1</v>
      </c>
      <c r="C15" s="263" t="s">
        <v>34</v>
      </c>
      <c r="D15" s="264">
        <v>0.15429929821521923</v>
      </c>
      <c r="E15" s="265">
        <v>0.15429929821521923</v>
      </c>
      <c r="F15" s="266" t="s">
        <v>2641</v>
      </c>
      <c r="G15" s="265">
        <v>6.4809108762450967</v>
      </c>
      <c r="H15" s="271">
        <v>6.4809108762450967</v>
      </c>
      <c r="I15" s="272">
        <v>0.15429929821521923</v>
      </c>
      <c r="J15" s="265">
        <f ca="1"/>
        <v>0.15429929821521923</v>
      </c>
      <c r="K15" s="266" t="s">
        <v>2693</v>
      </c>
      <c r="L15" s="265">
        <v>6.4809108762450967</v>
      </c>
      <c r="M15" s="269">
        <f ca="1"/>
        <v>6.4809108762450967</v>
      </c>
      <c r="N15" s="270"/>
      <c r="O15" s="269"/>
    </row>
    <row r="16" spans="1:15" ht="15.75" customHeight="1" thickBot="1">
      <c r="A16" s="276" t="s">
        <v>2691</v>
      </c>
      <c r="B16" s="277">
        <v>1</v>
      </c>
      <c r="C16" s="278" t="s">
        <v>34</v>
      </c>
      <c r="D16" s="279">
        <v>2.9361579486117277E-2</v>
      </c>
      <c r="E16" s="280">
        <v>1.9670585389249744E-2</v>
      </c>
      <c r="F16" s="281" t="s">
        <v>2641</v>
      </c>
      <c r="G16" s="277">
        <v>34.058113272578517</v>
      </c>
      <c r="H16" s="282">
        <v>50.837327929575203</v>
      </c>
      <c r="I16" s="283">
        <v>2.1747582219743664E-4</v>
      </c>
      <c r="J16" s="277">
        <f ca="1"/>
        <v>2.0031371498689787E-4</v>
      </c>
      <c r="K16" s="281" t="s">
        <v>35</v>
      </c>
      <c r="L16" s="280">
        <v>4598.2122973290543</v>
      </c>
      <c r="M16" s="284">
        <f ca="1"/>
        <v>4992.1694081975766</v>
      </c>
      <c r="N16" s="285">
        <f>'USDA estimates'!L13</f>
        <v>13.830565482064046</v>
      </c>
      <c r="O16" s="284">
        <f>'USDA estimates'!Q13</f>
        <v>15.382415593176152</v>
      </c>
    </row>
    <row r="17" spans="1:14" ht="15.75" customHeight="1" thickTop="1">
      <c r="A17" s="252"/>
      <c r="B17" s="286"/>
      <c r="C17" s="287"/>
      <c r="D17" s="288"/>
      <c r="E17" s="287"/>
      <c r="F17" s="287"/>
      <c r="G17" s="286"/>
      <c r="H17" s="286"/>
      <c r="I17" s="286"/>
      <c r="J17" s="289"/>
      <c r="K17" s="289"/>
      <c r="L17" s="135"/>
      <c r="M17" s="290"/>
      <c r="N17" s="290"/>
    </row>
    <row r="18" spans="1:14" ht="15.75" customHeight="1" thickBot="1">
      <c r="A18" s="349" t="s">
        <v>2695</v>
      </c>
    </row>
    <row r="19" spans="1:14" ht="53.45" customHeight="1" thickTop="1">
      <c r="A19" s="254" t="s">
        <v>7</v>
      </c>
      <c r="B19" s="6" t="s">
        <v>2698</v>
      </c>
      <c r="C19" s="259" t="s">
        <v>2699</v>
      </c>
      <c r="D19" s="6" t="s">
        <v>2702</v>
      </c>
      <c r="E19" s="259" t="s">
        <v>2705</v>
      </c>
      <c r="F19" s="259" t="s">
        <v>2712</v>
      </c>
      <c r="G19" s="6" t="s">
        <v>2713</v>
      </c>
    </row>
    <row r="20" spans="1:14" ht="15.75" customHeight="1">
      <c r="A20" s="261" t="s">
        <v>18</v>
      </c>
      <c r="B20" s="350">
        <f t="array" ref="B20:B29">TRANSPOSE('Overall estimates'!B53:K53)</f>
        <v>4.0355515953342568E-3</v>
      </c>
      <c r="C20" s="429">
        <f t="array" ref="C20:C29">TRANSPOSE('Overall estimates'!B54:K54)</f>
        <v>4.3990734270521374E-3</v>
      </c>
      <c r="D20" s="350">
        <f t="array" ref="D20:D29">TRANSPOSE('Overall estimates'!B55:K55)</f>
        <v>4.4310356516770142</v>
      </c>
      <c r="E20" s="351">
        <f t="array" ref="E20:E29" ca="1">TRANSPOSE('Overall estimates'!B56:K56)</f>
        <v>4.5496476321975337</v>
      </c>
      <c r="F20">
        <v>2.9913699303954536E-3</v>
      </c>
      <c r="G20" s="350">
        <v>2.7441750848272947E-3</v>
      </c>
    </row>
    <row r="21" spans="1:14" ht="15.75" customHeight="1">
      <c r="A21" s="261" t="s">
        <v>21</v>
      </c>
      <c r="B21" s="350">
        <v>0.75771088268316911</v>
      </c>
      <c r="C21" s="429">
        <v>0.87460209903174402</v>
      </c>
      <c r="D21" s="350">
        <v>37.127833251475288</v>
      </c>
      <c r="E21" s="351">
        <v>37.795431861938951</v>
      </c>
      <c r="F21">
        <v>0.66469759526412542</v>
      </c>
      <c r="G21" s="350">
        <v>0.57586027083920854</v>
      </c>
    </row>
    <row r="22" spans="1:14" ht="15.75" customHeight="1">
      <c r="A22" s="261" t="s">
        <v>23</v>
      </c>
      <c r="B22" s="350">
        <v>3.1259814166159336E-5</v>
      </c>
      <c r="C22" s="429">
        <v>7.6996491189302413E-5</v>
      </c>
      <c r="D22" s="350">
        <v>6.2754076938564871E-2</v>
      </c>
      <c r="E22" s="351">
        <f ca="1"/>
        <v>6.7520842464908734E-2</v>
      </c>
      <c r="F22">
        <v>4.3118035066009357E-5</v>
      </c>
      <c r="G22" s="350">
        <v>1.7505495933049231E-5</v>
      </c>
    </row>
    <row r="23" spans="1:14" ht="15.75" customHeight="1">
      <c r="A23" s="273" t="s">
        <v>2553</v>
      </c>
      <c r="B23" s="350">
        <v>8.3359504443091572E-5</v>
      </c>
      <c r="C23" s="429">
        <v>2.0532397650480642E-4</v>
      </c>
      <c r="D23" s="350">
        <v>0.16734420516950632</v>
      </c>
      <c r="E23" s="351">
        <f ca="1"/>
        <v>0.18005557990642332</v>
      </c>
      <c r="F23">
        <v>1.1498142684269161E-4</v>
      </c>
      <c r="G23" s="350">
        <v>4.6681322488131288E-5</v>
      </c>
    </row>
    <row r="24" spans="1:14" ht="15.75" customHeight="1">
      <c r="A24" s="273" t="s">
        <v>2554</v>
      </c>
      <c r="B24" s="350">
        <v>3.101343795481672E-4</v>
      </c>
      <c r="C24" s="429">
        <v>7.6389638452268812E-4</v>
      </c>
      <c r="D24" s="350">
        <v>0.62259476694294569</v>
      </c>
      <c r="E24" s="351">
        <f ca="1"/>
        <v>0.66988672655301396</v>
      </c>
      <c r="F24">
        <v>4.277819753327054E-4</v>
      </c>
      <c r="G24" s="350">
        <v>1.7367525254697366E-4</v>
      </c>
    </row>
    <row r="25" spans="1:14" ht="15.75" customHeight="1">
      <c r="A25" s="261" t="s">
        <v>2556</v>
      </c>
      <c r="B25" s="350">
        <v>1.271898089905648E-4</v>
      </c>
      <c r="C25" s="429">
        <v>3.1328302066212487E-4</v>
      </c>
      <c r="D25" s="350">
        <v>0.25533354154855881</v>
      </c>
      <c r="E25" s="351">
        <f ca="1"/>
        <v>0.27472853838301936</v>
      </c>
      <c r="F25">
        <v>1.7543849157078994E-4</v>
      </c>
      <c r="G25" s="350">
        <v>7.1226293034716296E-5</v>
      </c>
    </row>
    <row r="26" spans="1:14" ht="15.75" customHeight="1">
      <c r="A26" s="261" t="s">
        <v>2651</v>
      </c>
      <c r="B26" s="350">
        <v>6.5642479328231534E-4</v>
      </c>
      <c r="C26" s="429">
        <v>1.6168492091394673E-3</v>
      </c>
      <c r="D26" s="350">
        <v>1.3177727725142481</v>
      </c>
      <c r="E26" s="351">
        <f ca="1"/>
        <v>1.4178700750325368</v>
      </c>
      <c r="F26">
        <v>9.0543555711810177E-4</v>
      </c>
      <c r="G26" s="350">
        <v>3.6759788423809664E-4</v>
      </c>
    </row>
    <row r="27" spans="1:14" ht="15.75" customHeight="1">
      <c r="A27" s="261" t="s">
        <v>25</v>
      </c>
      <c r="B27" s="350">
        <v>1.4054734759045629E-2</v>
      </c>
      <c r="C27" s="429">
        <v>0.56608745088856904</v>
      </c>
      <c r="D27" s="350">
        <v>2.3611954395196659</v>
      </c>
      <c r="E27" s="351">
        <f ca="1"/>
        <v>3.0244353441293819</v>
      </c>
      <c r="F27">
        <v>0.41890471365754106</v>
      </c>
      <c r="G27" s="350">
        <v>1.0400503721693766E-2</v>
      </c>
    </row>
    <row r="28" spans="1:14" ht="15.75" customHeight="1">
      <c r="A28" s="261" t="s">
        <v>27</v>
      </c>
      <c r="B28" s="350">
        <v>5.9974741038064425E-2</v>
      </c>
      <c r="C28" s="429">
        <v>0.17924875006724753</v>
      </c>
      <c r="D28" s="350">
        <v>30.227269483184472</v>
      </c>
      <c r="E28" s="351">
        <f ca="1"/>
        <v>30.738216975121016</v>
      </c>
      <c r="F28">
        <v>0.16311636256119524</v>
      </c>
      <c r="G28" s="350">
        <v>5.457701434463863E-2</v>
      </c>
    </row>
    <row r="29" spans="1:14" ht="15.75" customHeight="1">
      <c r="A29" s="261" t="s">
        <v>29</v>
      </c>
      <c r="B29" s="350">
        <v>0.1082612304516756</v>
      </c>
      <c r="C29" s="429">
        <v>0.11799589150046388</v>
      </c>
      <c r="D29" s="350">
        <v>14.858853879492477</v>
      </c>
      <c r="E29" s="351">
        <f ca="1"/>
        <v>15.370791877185095</v>
      </c>
      <c r="F29">
        <v>8.8066493637693685E-2</v>
      </c>
      <c r="G29" s="350">
        <v>8.0801007912583947E-2</v>
      </c>
    </row>
    <row r="30" spans="1:14" ht="15.75" customHeight="1">
      <c r="A30" s="261" t="s">
        <v>32</v>
      </c>
      <c r="B30" s="350">
        <f t="array" ref="B30:B33">TRANSPOSE('Overall estimates'!B69:E69)</f>
        <v>0.32972007361245209</v>
      </c>
      <c r="C30" s="429">
        <f t="array" ref="C30:C33">TRANSPOSE('Overall estimates'!B70:E70)</f>
        <v>0.39753166621311298</v>
      </c>
      <c r="D30" s="350">
        <f t="array" ref="D30:D33">TRANSPOSE('Overall estimates'!B71:E71)</f>
        <v>107.52881936364081</v>
      </c>
      <c r="E30" s="351">
        <f t="array" aca="1" ref="E30:E33" ca="1">TRANSPOSE('Overall estimates'!B72:E72)</f>
        <v>115.27908413690835</v>
      </c>
      <c r="F30">
        <v>2.2675624112630177</v>
      </c>
      <c r="G30" s="350">
        <v>0.22914561333003139</v>
      </c>
    </row>
    <row r="31" spans="1:14" ht="15.75" customHeight="1">
      <c r="A31" s="261" t="s">
        <v>87</v>
      </c>
      <c r="B31" s="350">
        <v>87.719298245614041</v>
      </c>
      <c r="C31" s="429">
        <v>135.7168226614537</v>
      </c>
      <c r="D31" s="350">
        <v>13143.640350877195</v>
      </c>
      <c r="E31" s="351">
        <f ca="1"/>
        <v>14270.568305149525</v>
      </c>
      <c r="F31">
        <v>94.319142378074005</v>
      </c>
      <c r="G31" s="350">
        <v>60.962295007239945</v>
      </c>
    </row>
    <row r="32" spans="1:14" ht="15.75" customHeight="1">
      <c r="A32" s="261" t="s">
        <v>90</v>
      </c>
      <c r="B32" s="350">
        <v>3.5256155166773335</v>
      </c>
      <c r="C32" s="429">
        <v>3.5256155166773335</v>
      </c>
      <c r="D32" s="350">
        <v>3.5256155166773335</v>
      </c>
      <c r="E32" s="351">
        <f ca="1"/>
        <v>3.5256155166773335</v>
      </c>
      <c r="F32">
        <v>2.4501975905915634</v>
      </c>
      <c r="G32" s="350">
        <v>2.4501975905915634</v>
      </c>
    </row>
    <row r="33" spans="1:7" ht="15.75" customHeight="1" thickBot="1">
      <c r="A33" s="276" t="s">
        <v>2691</v>
      </c>
      <c r="B33" s="352">
        <v>18.527613620282715</v>
      </c>
      <c r="C33" s="430">
        <v>27.655506393688917</v>
      </c>
      <c r="D33" s="352">
        <v>2501.4274897470054</v>
      </c>
      <c r="E33" s="353">
        <f ca="1"/>
        <v>2715.7401580594819</v>
      </c>
      <c r="F33">
        <v>19.219751788552085</v>
      </c>
      <c r="G33" s="352">
        <v>12.876138659218082</v>
      </c>
    </row>
    <row r="34" spans="1:7" ht="15.75" customHeight="1" thickTop="1"/>
    <row r="35" spans="1:7" ht="15.75" customHeight="1" thickBot="1">
      <c r="A35" s="349" t="s">
        <v>2696</v>
      </c>
    </row>
    <row r="36" spans="1:7" ht="76.900000000000006" customHeight="1" thickTop="1">
      <c r="A36" s="254" t="s">
        <v>7</v>
      </c>
      <c r="B36" s="6" t="s">
        <v>2700</v>
      </c>
      <c r="C36" s="259" t="s">
        <v>2701</v>
      </c>
      <c r="D36" s="6" t="s">
        <v>2703</v>
      </c>
      <c r="E36" s="259" t="s">
        <v>2704</v>
      </c>
    </row>
    <row r="37" spans="1:7" ht="15.75" customHeight="1">
      <c r="A37" s="261" t="s">
        <v>18</v>
      </c>
      <c r="B37" s="354">
        <f>B20/2.205</f>
        <v>1.8301821294032909E-3</v>
      </c>
      <c r="C37" s="355">
        <f>C20/2.205</f>
        <v>1.9950446381188833E-3</v>
      </c>
      <c r="D37" s="350">
        <f>D20/2.205</f>
        <v>2.0095399780848138</v>
      </c>
      <c r="E37" s="360">
        <f ca="1">E20/2.205</f>
        <v>2.0633322595000152</v>
      </c>
    </row>
    <row r="38" spans="1:7" ht="15.75" customHeight="1">
      <c r="A38" s="261" t="s">
        <v>21</v>
      </c>
      <c r="B38" s="354">
        <f t="shared" ref="B38:C50" si="0">B21/2.205</f>
        <v>0.34363305337105171</v>
      </c>
      <c r="C38" s="356">
        <f t="shared" si="0"/>
        <v>0.39664494287153923</v>
      </c>
      <c r="D38" s="350">
        <f t="shared" ref="D38:E50" si="1">D21/2.205</f>
        <v>16.838019615181537</v>
      </c>
      <c r="E38" s="361">
        <f t="shared" si="1"/>
        <v>17.140785424915624</v>
      </c>
    </row>
    <row r="39" spans="1:7" ht="15.75" customHeight="1">
      <c r="A39" s="261" t="s">
        <v>23</v>
      </c>
      <c r="B39" s="354">
        <f t="shared" si="0"/>
        <v>1.4176786469913531E-5</v>
      </c>
      <c r="C39" s="356">
        <f t="shared" si="0"/>
        <v>3.4919043623266399E-5</v>
      </c>
      <c r="D39" s="350">
        <f t="shared" si="1"/>
        <v>2.8459898838351413E-2</v>
      </c>
      <c r="E39" s="361">
        <f t="shared" ca="1" si="1"/>
        <v>3.0621697262997159E-2</v>
      </c>
    </row>
    <row r="40" spans="1:7" ht="15.75" customHeight="1">
      <c r="A40" s="273" t="s">
        <v>2553</v>
      </c>
      <c r="B40" s="354">
        <f t="shared" si="0"/>
        <v>3.7804763919769421E-5</v>
      </c>
      <c r="C40" s="356">
        <f t="shared" si="0"/>
        <v>9.3117449662043721E-5</v>
      </c>
      <c r="D40" s="350">
        <f t="shared" si="1"/>
        <v>7.5893063568937102E-2</v>
      </c>
      <c r="E40" s="361">
        <f t="shared" ca="1" si="1"/>
        <v>8.1657859367992428E-2</v>
      </c>
    </row>
    <row r="41" spans="1:7" ht="15.75" customHeight="1">
      <c r="A41" s="273" t="s">
        <v>2554</v>
      </c>
      <c r="B41" s="354">
        <f t="shared" si="0"/>
        <v>1.4065051226674248E-4</v>
      </c>
      <c r="C41" s="356">
        <f t="shared" si="0"/>
        <v>3.4643826962480183E-4</v>
      </c>
      <c r="D41" s="350">
        <f t="shared" si="1"/>
        <v>0.28235590337548555</v>
      </c>
      <c r="E41" s="361">
        <f t="shared" ca="1" si="1"/>
        <v>0.30380350410567525</v>
      </c>
    </row>
    <row r="42" spans="1:7" ht="15.75" customHeight="1">
      <c r="A42" s="261" t="s">
        <v>2556</v>
      </c>
      <c r="B42" s="354">
        <f t="shared" si="0"/>
        <v>5.7682453056945483E-5</v>
      </c>
      <c r="C42" s="356">
        <f t="shared" si="0"/>
        <v>1.4207846742046479E-4</v>
      </c>
      <c r="D42" s="350">
        <f t="shared" si="1"/>
        <v>0.11579752451181805</v>
      </c>
      <c r="E42" s="361">
        <f t="shared" ca="1" si="1"/>
        <v>0.12459344144354619</v>
      </c>
    </row>
    <row r="43" spans="1:7" ht="15.75" customHeight="1">
      <c r="A43" s="261" t="s">
        <v>2651</v>
      </c>
      <c r="B43" s="354">
        <f t="shared" si="0"/>
        <v>2.9769831894889583E-4</v>
      </c>
      <c r="C43" s="356">
        <f t="shared" si="0"/>
        <v>7.3326494745554075E-4</v>
      </c>
      <c r="D43" s="350">
        <f t="shared" si="1"/>
        <v>0.59762937528990845</v>
      </c>
      <c r="E43" s="361">
        <f t="shared" ca="1" si="1"/>
        <v>0.64302497733901898</v>
      </c>
    </row>
    <row r="44" spans="1:7" ht="15.75" customHeight="1">
      <c r="A44" s="261" t="s">
        <v>25</v>
      </c>
      <c r="B44" s="354">
        <f t="shared" si="0"/>
        <v>6.3740293691816911E-3</v>
      </c>
      <c r="C44" s="356">
        <f t="shared" si="0"/>
        <v>0.25672900267055282</v>
      </c>
      <c r="D44" s="350">
        <f t="shared" si="1"/>
        <v>1.0708369340225241</v>
      </c>
      <c r="E44" s="361">
        <f t="shared" ca="1" si="1"/>
        <v>1.3716260064078829</v>
      </c>
    </row>
    <row r="45" spans="1:7" ht="15.75" customHeight="1">
      <c r="A45" s="261" t="s">
        <v>27</v>
      </c>
      <c r="B45" s="354">
        <f t="shared" si="0"/>
        <v>2.7199429042206087E-2</v>
      </c>
      <c r="C45" s="356">
        <f t="shared" si="0"/>
        <v>8.1291950143876426E-2</v>
      </c>
      <c r="D45" s="350">
        <f t="shared" si="1"/>
        <v>13.708512237271869</v>
      </c>
      <c r="E45" s="361">
        <f t="shared" ca="1" si="1"/>
        <v>13.940234455837196</v>
      </c>
    </row>
    <row r="46" spans="1:7" ht="15.75" customHeight="1">
      <c r="A46" s="261" t="s">
        <v>29</v>
      </c>
      <c r="B46" s="354">
        <f t="shared" si="0"/>
        <v>4.9098063696905031E-2</v>
      </c>
      <c r="C46" s="356">
        <f t="shared" si="0"/>
        <v>5.3512875963929195E-2</v>
      </c>
      <c r="D46" s="350">
        <f t="shared" si="1"/>
        <v>6.7387092424002164</v>
      </c>
      <c r="E46" s="361">
        <f t="shared" ca="1" si="1"/>
        <v>6.9708806699252133</v>
      </c>
    </row>
    <row r="47" spans="1:7" ht="15.75" customHeight="1">
      <c r="A47" s="261" t="s">
        <v>32</v>
      </c>
      <c r="B47" s="354">
        <f t="shared" si="0"/>
        <v>0.14953291320292611</v>
      </c>
      <c r="C47" s="356">
        <f t="shared" si="0"/>
        <v>0.18028646993791972</v>
      </c>
      <c r="D47" s="350">
        <f t="shared" si="1"/>
        <v>48.765904473306485</v>
      </c>
      <c r="E47" s="361">
        <f t="shared" ca="1" si="1"/>
        <v>52.280763780910817</v>
      </c>
    </row>
    <row r="48" spans="1:7" ht="15.75" customHeight="1">
      <c r="A48" s="261" t="s">
        <v>87</v>
      </c>
      <c r="B48" s="354">
        <f t="shared" si="0"/>
        <v>39.781994669212715</v>
      </c>
      <c r="C48" s="356">
        <f t="shared" si="0"/>
        <v>61.549579438300995</v>
      </c>
      <c r="D48" s="350">
        <f t="shared" si="1"/>
        <v>5960.8346262481609</v>
      </c>
      <c r="E48" s="361">
        <f t="shared" ca="1" si="1"/>
        <v>6471.9130635598749</v>
      </c>
    </row>
    <row r="49" spans="1:5" ht="15.75" customHeight="1">
      <c r="A49" s="261" t="s">
        <v>90</v>
      </c>
      <c r="B49" s="354">
        <f t="shared" si="0"/>
        <v>1.5989186016677248</v>
      </c>
      <c r="C49" s="356">
        <f t="shared" si="0"/>
        <v>1.5989186016677248</v>
      </c>
      <c r="D49" s="350">
        <f t="shared" si="1"/>
        <v>1.5989186016677248</v>
      </c>
      <c r="E49" s="361">
        <f t="shared" ca="1" si="1"/>
        <v>1.5989186016677248</v>
      </c>
    </row>
    <row r="50" spans="1:5" ht="15.75" customHeight="1" thickBot="1">
      <c r="A50" s="359" t="s">
        <v>2691</v>
      </c>
      <c r="B50" s="358">
        <f t="shared" si="0"/>
        <v>8.4025458595386464</v>
      </c>
      <c r="C50" s="357">
        <f t="shared" si="0"/>
        <v>12.542179770380461</v>
      </c>
      <c r="D50" s="362">
        <f t="shared" si="1"/>
        <v>1134.4342357129276</v>
      </c>
      <c r="E50" s="363">
        <f t="shared" ca="1" si="1"/>
        <v>1231.628189596137</v>
      </c>
    </row>
    <row r="51" spans="1:5" ht="15.75" customHeight="1" thickTop="1"/>
    <row r="52" spans="1:5" ht="15.75" customHeight="1"/>
    <row r="53" spans="1:5" ht="15.75" customHeight="1"/>
    <row r="54" spans="1:5" ht="15.75" customHeight="1"/>
    <row r="55" spans="1:5" ht="15.75" customHeight="1"/>
    <row r="56" spans="1:5" ht="15.75" customHeight="1"/>
    <row r="57" spans="1:5" ht="15.75" customHeight="1"/>
    <row r="58" spans="1:5" ht="15.75" customHeight="1"/>
    <row r="59" spans="1:5" ht="15.75" customHeight="1"/>
    <row r="60" spans="1:5" ht="15.75" customHeight="1"/>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D1014"/>
  <sheetViews>
    <sheetView topLeftCell="A25" zoomScale="80" zoomScaleNormal="80" workbookViewId="0">
      <selection activeCell="A46" sqref="A46"/>
    </sheetView>
  </sheetViews>
  <sheetFormatPr defaultColWidth="14.42578125" defaultRowHeight="15" customHeight="1"/>
  <cols>
    <col min="1" max="1" width="91.140625" customWidth="1"/>
  </cols>
  <sheetData>
    <row r="1" spans="1:30" ht="15" customHeight="1">
      <c r="A1" s="139" t="s">
        <v>2685</v>
      </c>
      <c r="B1" s="9"/>
      <c r="C1" s="9"/>
      <c r="D1" s="9"/>
      <c r="E1" s="9"/>
      <c r="F1" s="9"/>
      <c r="G1" s="9"/>
      <c r="H1" s="9"/>
      <c r="I1" s="9"/>
      <c r="J1" s="9"/>
      <c r="K1" s="9"/>
      <c r="L1" s="10"/>
      <c r="M1" s="10"/>
      <c r="N1" s="10"/>
      <c r="O1" s="10"/>
      <c r="P1" s="10"/>
      <c r="Q1" s="10"/>
      <c r="R1" s="10"/>
      <c r="S1" s="10"/>
      <c r="T1" s="10"/>
      <c r="U1" s="10"/>
      <c r="V1" s="10"/>
      <c r="W1" s="10"/>
      <c r="X1" s="10"/>
      <c r="Y1" s="10"/>
      <c r="Z1" s="10"/>
      <c r="AA1" s="10"/>
      <c r="AB1" s="10"/>
      <c r="AC1" s="10"/>
      <c r="AD1" s="10"/>
    </row>
    <row r="2" spans="1:30" ht="12.75">
      <c r="A2" s="9"/>
      <c r="B2" s="9"/>
      <c r="C2" s="9"/>
      <c r="D2" s="9"/>
      <c r="E2" s="9"/>
      <c r="F2" s="9"/>
      <c r="G2" s="9"/>
      <c r="H2" s="9"/>
      <c r="I2" s="9"/>
      <c r="J2" s="9"/>
      <c r="K2" s="9"/>
      <c r="L2" s="10"/>
      <c r="M2" s="10"/>
      <c r="N2" s="10"/>
      <c r="O2" s="10"/>
      <c r="P2" s="10"/>
      <c r="Q2" s="10"/>
      <c r="R2" s="10"/>
      <c r="S2" s="10"/>
      <c r="T2" s="10"/>
      <c r="U2" s="10"/>
      <c r="V2" s="10"/>
      <c r="W2" s="10"/>
      <c r="X2" s="10"/>
      <c r="Y2" s="10"/>
      <c r="Z2" s="10"/>
      <c r="AA2" s="10"/>
      <c r="AB2" s="10"/>
      <c r="AC2" s="10"/>
      <c r="AD2" s="10"/>
    </row>
    <row r="3" spans="1:30" ht="13.5" thickBot="1">
      <c r="A3" s="9" t="s">
        <v>36</v>
      </c>
      <c r="B3" s="9"/>
      <c r="C3" s="9"/>
      <c r="D3" s="9"/>
      <c r="E3" s="9"/>
      <c r="F3" s="9"/>
      <c r="G3" s="9"/>
      <c r="H3" s="9"/>
      <c r="I3" s="9"/>
      <c r="J3" s="9"/>
      <c r="K3" s="9"/>
      <c r="L3" s="10"/>
      <c r="M3" s="10"/>
      <c r="N3" s="10"/>
      <c r="O3" s="10"/>
      <c r="P3" s="10"/>
      <c r="Q3" s="10"/>
      <c r="R3" s="10"/>
      <c r="S3" s="10"/>
      <c r="T3" s="10"/>
      <c r="U3" s="10"/>
      <c r="V3" s="10"/>
      <c r="W3" s="10"/>
      <c r="X3" s="10"/>
      <c r="Y3" s="10"/>
      <c r="Z3" s="10"/>
      <c r="AA3" s="10"/>
      <c r="AB3" s="10"/>
      <c r="AC3" s="10"/>
      <c r="AD3" s="10"/>
    </row>
    <row r="4" spans="1:30" ht="13.5" thickTop="1">
      <c r="A4" s="11"/>
      <c r="B4" s="291" t="s">
        <v>18</v>
      </c>
      <c r="C4" s="291" t="s">
        <v>21</v>
      </c>
      <c r="D4" s="31" t="s">
        <v>23</v>
      </c>
      <c r="E4" s="292" t="s">
        <v>2553</v>
      </c>
      <c r="F4" s="292" t="s">
        <v>2554</v>
      </c>
      <c r="G4" s="292" t="s">
        <v>2555</v>
      </c>
      <c r="H4" s="31" t="s">
        <v>2651</v>
      </c>
      <c r="I4" s="291" t="s">
        <v>25</v>
      </c>
      <c r="J4" s="291" t="s">
        <v>27</v>
      </c>
      <c r="K4" s="293" t="s">
        <v>29</v>
      </c>
      <c r="L4" s="9"/>
      <c r="M4" s="9"/>
      <c r="N4" s="10"/>
      <c r="O4" s="10"/>
      <c r="P4" s="10"/>
      <c r="Q4" s="10"/>
      <c r="R4" s="10"/>
      <c r="S4" s="10"/>
      <c r="T4" s="10"/>
      <c r="U4" s="10"/>
      <c r="V4" s="10"/>
      <c r="W4" s="10"/>
      <c r="X4" s="10"/>
      <c r="Y4" s="10"/>
      <c r="Z4" s="10"/>
      <c r="AA4" s="10"/>
      <c r="AB4" s="10"/>
      <c r="AC4" s="10"/>
      <c r="AD4" s="10"/>
    </row>
    <row r="5" spans="1:30" ht="12.75">
      <c r="A5" s="23" t="s">
        <v>2633</v>
      </c>
      <c r="B5" s="294">
        <f>'FAO livestock data U.S.'!G11/10</f>
        <v>370.4</v>
      </c>
      <c r="C5" s="294">
        <f>'FAO livestock data U.S.'!G14/10/1000</f>
        <v>2.1923000000000004</v>
      </c>
      <c r="D5" s="294">
        <f>'FAO livestock data U.S.'!G23/10</f>
        <v>10837.6</v>
      </c>
      <c r="E5" s="294">
        <f>'FAO livestock data U.S.'!G23/10</f>
        <v>10837.6</v>
      </c>
      <c r="F5" s="294">
        <f>'FAO livestock data U.S.'!G23/10</f>
        <v>10837.6</v>
      </c>
      <c r="G5" s="294">
        <f>'FAO livestock data U.S.'!G23/10</f>
        <v>10837.6</v>
      </c>
      <c r="H5" s="73">
        <f>'FAO livestock data U.S.'!G23/10</f>
        <v>10837.6</v>
      </c>
      <c r="I5" s="294">
        <f>'FAO livestock data U.S.'!G17/10</f>
        <v>97.6</v>
      </c>
      <c r="J5" s="294">
        <f>'FAO livestock data U.S.'!G7/10/1000</f>
        <v>16.927599999999998</v>
      </c>
      <c r="K5" s="295">
        <f>'FAO livestock data U.S.'!G20/10/1000</f>
        <v>11.692299999999999</v>
      </c>
      <c r="L5" s="10"/>
      <c r="M5" s="10"/>
      <c r="N5" s="10"/>
      <c r="O5" s="10"/>
      <c r="P5" s="10"/>
      <c r="Q5" s="10"/>
      <c r="R5" s="10"/>
      <c r="S5" s="10"/>
      <c r="T5" s="10"/>
      <c r="U5" s="10"/>
      <c r="V5" s="10"/>
      <c r="W5" s="10"/>
      <c r="X5" s="10"/>
      <c r="Y5" s="10"/>
      <c r="Z5" s="10"/>
      <c r="AA5" s="10"/>
      <c r="AB5" s="10"/>
      <c r="AC5" s="10"/>
      <c r="AD5" s="10"/>
    </row>
    <row r="6" spans="1:30" ht="12.75">
      <c r="A6" s="12" t="s">
        <v>37</v>
      </c>
      <c r="B6" s="296">
        <v>1</v>
      </c>
      <c r="C6" s="296">
        <v>1</v>
      </c>
      <c r="D6" s="296">
        <v>3</v>
      </c>
      <c r="E6" s="296">
        <v>3</v>
      </c>
      <c r="F6" s="296">
        <v>3</v>
      </c>
      <c r="G6" s="296">
        <v>3</v>
      </c>
      <c r="H6" s="202">
        <v>3</v>
      </c>
      <c r="I6" s="296">
        <v>1</v>
      </c>
      <c r="J6" s="296">
        <v>1</v>
      </c>
      <c r="K6" s="297">
        <v>1</v>
      </c>
      <c r="L6" s="10"/>
      <c r="M6" s="10"/>
      <c r="N6" s="10"/>
      <c r="O6" s="10"/>
      <c r="P6" s="10"/>
      <c r="Q6" s="10"/>
      <c r="R6" s="10"/>
      <c r="S6" s="10"/>
      <c r="T6" s="10"/>
      <c r="U6" s="10"/>
      <c r="V6" s="10"/>
      <c r="W6" s="10"/>
      <c r="X6" s="10"/>
      <c r="Y6" s="10"/>
      <c r="Z6" s="10"/>
      <c r="AA6" s="10"/>
      <c r="AB6" s="10"/>
      <c r="AC6" s="10"/>
      <c r="AD6" s="10"/>
    </row>
    <row r="7" spans="1:30" ht="12.75">
      <c r="A7" s="12" t="s">
        <v>38</v>
      </c>
      <c r="B7" s="298">
        <f>36*30.5</f>
        <v>1098</v>
      </c>
      <c r="C7" s="298">
        <f>7*7</f>
        <v>49</v>
      </c>
      <c r="D7" s="298">
        <f>5.5*365</f>
        <v>2007.5</v>
      </c>
      <c r="E7" s="298">
        <f>5.5*365</f>
        <v>2007.5</v>
      </c>
      <c r="F7" s="298">
        <f>5.5*365</f>
        <v>2007.5</v>
      </c>
      <c r="G7" s="298">
        <f>5.5*365</f>
        <v>2007.5</v>
      </c>
      <c r="H7" s="245">
        <f>5.5*365</f>
        <v>2007.5</v>
      </c>
      <c r="I7" s="298">
        <f>24*7</f>
        <v>168</v>
      </c>
      <c r="J7" s="298">
        <f>72*7</f>
        <v>504</v>
      </c>
      <c r="K7" s="299">
        <f>30.5*4.5</f>
        <v>137.25</v>
      </c>
      <c r="L7" s="10"/>
      <c r="M7" s="10"/>
      <c r="N7" s="10"/>
      <c r="O7" s="10"/>
      <c r="P7" s="10"/>
      <c r="Q7" s="10"/>
      <c r="R7" s="10"/>
      <c r="S7" s="10"/>
      <c r="T7" s="10"/>
      <c r="U7" s="10"/>
      <c r="V7" s="10"/>
      <c r="W7" s="10"/>
      <c r="X7" s="10"/>
      <c r="Y7" s="10"/>
      <c r="Z7" s="10"/>
      <c r="AA7" s="10"/>
      <c r="AB7" s="10"/>
      <c r="AC7" s="10"/>
      <c r="AD7" s="10"/>
    </row>
    <row r="8" spans="1:30" ht="12.75">
      <c r="A8" s="23" t="s">
        <v>2599</v>
      </c>
      <c r="B8" s="298">
        <f ca="1">B7+Mortality!E4</f>
        <v>1127.3917641042315</v>
      </c>
      <c r="C8" s="298">
        <f>C7+'Feed fish'!B45+Mortality!E5</f>
        <v>49.881073013099133</v>
      </c>
      <c r="D8" s="298">
        <f ca="1">D7+Mortality!E6+'Male offspring'!H5+'Male offspring'!H6</f>
        <v>2159.9886072900645</v>
      </c>
      <c r="E8" s="298">
        <f ca="1">E7+Mortality!E6+'Male offspring'!H5+'Male offspring'!H6</f>
        <v>2159.9886072900645</v>
      </c>
      <c r="F8" s="298">
        <f ca="1">F7+Mortality!E6+'Male offspring'!H5+'Male offspring'!H6</f>
        <v>2159.9886072900645</v>
      </c>
      <c r="G8" s="298">
        <f ca="1">G7+Mortality!E6+'Male offspring'!H5+'Male offspring'!H6</f>
        <v>2159.9886072900645</v>
      </c>
      <c r="H8" s="245">
        <f ca="1">G7+Mortality!E6+'Male offspring'!H5+'Male offspring'!H6</f>
        <v>2159.9886072900645</v>
      </c>
      <c r="I8" s="298">
        <f ca="1">I7+'Feed fish'!B30+Mortality!E7</f>
        <v>215.18978450894315</v>
      </c>
      <c r="J8" s="298">
        <f ca="1">J7+'Feed fish'!B46+Mortality!E8+'Male offspring'!D11</f>
        <v>512.51937804303748</v>
      </c>
      <c r="K8" s="299">
        <f ca="1">K7+Mortality!E9</f>
        <v>141.97872879383291</v>
      </c>
      <c r="L8" s="10"/>
      <c r="M8" s="10"/>
      <c r="N8" s="10"/>
      <c r="O8" s="10"/>
      <c r="P8" s="10"/>
      <c r="Q8" s="10"/>
      <c r="R8" s="10"/>
      <c r="S8" s="10"/>
      <c r="T8" s="10"/>
      <c r="U8" s="10"/>
      <c r="V8" s="10"/>
      <c r="W8" s="10"/>
      <c r="X8" s="10"/>
      <c r="Y8" s="10"/>
      <c r="Z8" s="10"/>
      <c r="AA8" s="10"/>
      <c r="AB8" s="10"/>
      <c r="AC8" s="10"/>
      <c r="AD8" s="10"/>
    </row>
    <row r="9" spans="1:30" ht="12.75">
      <c r="A9" s="12" t="s">
        <v>39</v>
      </c>
      <c r="B9" s="13">
        <f>'USDA food loss data'!O8</f>
        <v>0.51200000000000001</v>
      </c>
      <c r="C9" s="13">
        <f>'USDA food loss data'!O9</f>
        <v>0.49099999999999999</v>
      </c>
      <c r="D9" s="13">
        <f>'USDA food loss data'!O10</f>
        <v>0.67500000000000004</v>
      </c>
      <c r="E9" s="13">
        <f>'USDA food loss data'!O10</f>
        <v>0.67500000000000004</v>
      </c>
      <c r="F9" s="13">
        <f>'USDA food loss data'!O10</f>
        <v>0.67500000000000004</v>
      </c>
      <c r="G9" s="13">
        <f>'USDA food loss data'!O10</f>
        <v>0.67500000000000004</v>
      </c>
      <c r="H9" s="201">
        <f>'USDA food loss data'!O10</f>
        <v>0.67500000000000004</v>
      </c>
      <c r="I9" s="13">
        <f>'USDA food loss data'!O11</f>
        <v>0.495</v>
      </c>
      <c r="J9" s="13">
        <f>'USDA food loss data'!O12</f>
        <v>0.60699999999999998</v>
      </c>
      <c r="K9" s="14">
        <f>'USDA food loss data'!O13</f>
        <v>0.496</v>
      </c>
      <c r="L9" s="10"/>
      <c r="M9" s="10"/>
      <c r="N9" s="10"/>
      <c r="O9" s="10"/>
      <c r="P9" s="10"/>
      <c r="Q9" s="10"/>
      <c r="R9" s="10"/>
      <c r="S9" s="10"/>
      <c r="T9" s="10"/>
      <c r="U9" s="10"/>
      <c r="V9" s="10"/>
      <c r="W9" s="10"/>
      <c r="X9" s="10"/>
      <c r="Y9" s="10"/>
      <c r="Z9" s="10"/>
      <c r="AA9" s="10"/>
      <c r="AB9" s="10"/>
      <c r="AC9" s="10"/>
      <c r="AD9" s="10"/>
    </row>
    <row r="10" spans="1:30" ht="12.75">
      <c r="A10" s="23" t="s">
        <v>2694</v>
      </c>
      <c r="B10" s="141"/>
      <c r="C10" s="141"/>
      <c r="D10" s="141"/>
      <c r="E10" s="142">
        <f>1-'Milk loss proportion'!D8</f>
        <v>0.375</v>
      </c>
      <c r="F10" s="142">
        <f>1-'Milk loss proportion'!D17</f>
        <v>0.10079441760601182</v>
      </c>
      <c r="G10" s="142">
        <f>1-'Milk loss proportion'!D23</f>
        <v>0.24577294685990336</v>
      </c>
      <c r="H10" s="300">
        <f>1-'Milk loss proportion'!D30</f>
        <v>4.7621318521275158E-2</v>
      </c>
      <c r="I10" s="141"/>
      <c r="J10" s="301"/>
      <c r="K10" s="302"/>
      <c r="L10" s="10"/>
      <c r="M10" s="10"/>
      <c r="N10" s="10"/>
      <c r="O10" s="10"/>
      <c r="P10" s="10"/>
      <c r="Q10" s="10"/>
      <c r="R10" s="10"/>
      <c r="S10" s="10"/>
      <c r="T10" s="10"/>
      <c r="U10" s="10"/>
      <c r="V10" s="10"/>
      <c r="W10" s="10"/>
      <c r="X10" s="10"/>
      <c r="Y10" s="10"/>
      <c r="Z10" s="10"/>
      <c r="AA10" s="10"/>
      <c r="AB10" s="10"/>
      <c r="AC10" s="10"/>
      <c r="AD10" s="10"/>
    </row>
    <row r="11" spans="1:30" ht="12.75">
      <c r="A11" s="303" t="s">
        <v>40</v>
      </c>
      <c r="B11" s="304">
        <f t="shared" ref="B11:K11" si="0">B5*B6*B9</f>
        <v>189.6448</v>
      </c>
      <c r="C11" s="304">
        <f t="shared" si="0"/>
        <v>1.0764193000000002</v>
      </c>
      <c r="D11" s="304">
        <f t="shared" si="0"/>
        <v>21946.140000000003</v>
      </c>
      <c r="E11" s="304">
        <f>E5*E6*E9*E10</f>
        <v>8229.8025000000016</v>
      </c>
      <c r="F11" s="304">
        <f t="shared" ref="F11:H11" si="1">F5*F6*F9*F10</f>
        <v>2212.0484000000006</v>
      </c>
      <c r="G11" s="304">
        <f t="shared" si="1"/>
        <v>5393.7674999999999</v>
      </c>
      <c r="H11" s="305">
        <f t="shared" si="1"/>
        <v>1045.1041232524976</v>
      </c>
      <c r="I11" s="304">
        <f t="shared" si="0"/>
        <v>48.311999999999998</v>
      </c>
      <c r="J11" s="304">
        <f t="shared" si="0"/>
        <v>10.275053199999999</v>
      </c>
      <c r="K11" s="306">
        <f t="shared" si="0"/>
        <v>5.7993807999999998</v>
      </c>
      <c r="L11" s="10"/>
      <c r="M11" s="10"/>
      <c r="N11" s="10"/>
      <c r="O11" s="10"/>
      <c r="P11" s="10"/>
      <c r="Q11" s="10"/>
      <c r="R11" s="10"/>
      <c r="S11" s="10"/>
      <c r="T11" s="10"/>
      <c r="U11" s="10"/>
      <c r="V11" s="10"/>
      <c r="W11" s="10"/>
      <c r="X11" s="10"/>
      <c r="Y11" s="10"/>
      <c r="Z11" s="10"/>
      <c r="AA11" s="10"/>
      <c r="AB11" s="10"/>
      <c r="AC11" s="10"/>
      <c r="AD11" s="10"/>
    </row>
    <row r="12" spans="1:30" ht="12.75">
      <c r="A12" s="303" t="s">
        <v>41</v>
      </c>
      <c r="B12" s="304">
        <f>(B5*B6*B9)/(1+Mortality!C4)</f>
        <v>173.97331230719999</v>
      </c>
      <c r="C12" s="304">
        <f>(C5*C6*C9)/(1+'Feed fish'!B45+Mortality!C5)</f>
        <v>0.93255506571862923</v>
      </c>
      <c r="D12" s="304">
        <f>(D5*D6*D9)/(1+Mortality!C6+'Male offspring'!B5)</f>
        <v>8909.9158606831515</v>
      </c>
      <c r="E12" s="304">
        <f>(E5*E6*E9*E10)/(1+Mortality!C6+'Male offspring'!B5)</f>
        <v>3341.2184477561823</v>
      </c>
      <c r="F12" s="304">
        <f>(F5*F6*F9*F10)/(1+Mortality!C6+'Male offspring'!B5)</f>
        <v>898.0697800961259</v>
      </c>
      <c r="G12" s="304">
        <f>(G5*G6*G9*G10)/(1+Mortality!C6+'Male offspring'!B5)</f>
        <v>2189.8162773538902</v>
      </c>
      <c r="H12" s="305">
        <f>(H5*H6*H9*H10)/(1+Mortality!C6+'Male offspring'!B5)</f>
        <v>424.30194119935385</v>
      </c>
      <c r="I12" s="304">
        <f>(I5*I6*I9)/(1+'Feed fish'!B30+Mortality!C7)</f>
        <v>1.1994831268794051</v>
      </c>
      <c r="J12" s="304">
        <f>(J5*J6*J9)/(1+'Feed fish'!B46+Mortality!C8+'Male offspring'!C11)</f>
        <v>3.437924418391443</v>
      </c>
      <c r="K12" s="306">
        <f>(K5*K6*K9)/(1+Mortality!C9)</f>
        <v>5.3209318839999993</v>
      </c>
      <c r="L12" s="10"/>
      <c r="M12" s="10"/>
      <c r="N12" s="10"/>
      <c r="O12" s="10"/>
      <c r="P12" s="10"/>
      <c r="Q12" s="10"/>
      <c r="R12" s="10"/>
      <c r="S12" s="10"/>
      <c r="T12" s="10"/>
      <c r="U12" s="10"/>
      <c r="V12" s="10"/>
      <c r="W12" s="10"/>
      <c r="X12" s="10"/>
      <c r="Y12" s="10"/>
      <c r="Z12" s="10"/>
      <c r="AA12" s="10"/>
      <c r="AB12" s="10"/>
      <c r="AC12" s="10"/>
      <c r="AD12" s="10"/>
    </row>
    <row r="13" spans="1:30" ht="12.75">
      <c r="A13" s="303" t="s">
        <v>42</v>
      </c>
      <c r="B13" s="304">
        <f t="shared" ref="B13:K13" si="2">(B5*B6*B9)/B7</f>
        <v>0.17271839708561021</v>
      </c>
      <c r="C13" s="304">
        <f t="shared" si="2"/>
        <v>2.1967740816326534E-2</v>
      </c>
      <c r="D13" s="304">
        <f t="shared" si="2"/>
        <v>10.932074719800749</v>
      </c>
      <c r="E13" s="304">
        <f>(E5*E6*E9*E10)/E7</f>
        <v>4.0995280199252813</v>
      </c>
      <c r="F13" s="304">
        <f t="shared" ref="F13:H13" si="3">(F5*F6*F9*F10)/F7</f>
        <v>1.1018921046077212</v>
      </c>
      <c r="G13" s="304">
        <f t="shared" si="3"/>
        <v>2.686808219178082</v>
      </c>
      <c r="H13" s="305">
        <f t="shared" si="3"/>
        <v>0.52059981233001129</v>
      </c>
      <c r="I13" s="304">
        <f t="shared" si="2"/>
        <v>0.28757142857142853</v>
      </c>
      <c r="J13" s="304">
        <f t="shared" si="2"/>
        <v>2.0387010317460316E-2</v>
      </c>
      <c r="K13" s="306">
        <f t="shared" si="2"/>
        <v>4.225414061930783E-2</v>
      </c>
      <c r="L13" s="10"/>
      <c r="M13" s="10"/>
      <c r="N13" s="10"/>
      <c r="O13" s="10"/>
      <c r="P13" s="10"/>
      <c r="Q13" s="10"/>
      <c r="R13" s="10"/>
      <c r="S13" s="10"/>
      <c r="T13" s="10"/>
      <c r="U13" s="10"/>
      <c r="V13" s="10"/>
      <c r="W13" s="10"/>
      <c r="X13" s="10"/>
      <c r="Y13" s="10"/>
      <c r="Z13" s="10"/>
      <c r="AA13" s="10"/>
      <c r="AB13" s="10"/>
      <c r="AC13" s="10"/>
      <c r="AD13" s="10"/>
    </row>
    <row r="14" spans="1:30" ht="12.75">
      <c r="A14" s="303" t="s">
        <v>43</v>
      </c>
      <c r="B14" s="304">
        <f t="shared" ref="B14:K14" ca="1" si="4">(B5*B6*B9)/B8</f>
        <v>0.16821552723571845</v>
      </c>
      <c r="C14" s="304">
        <f t="shared" si="4"/>
        <v>2.1579714207778263E-2</v>
      </c>
      <c r="D14" s="304">
        <f t="shared" ca="1" si="4"/>
        <v>10.160303589533173</v>
      </c>
      <c r="E14" s="304">
        <f ca="1">(E5*E6*E9*E10)/E8</f>
        <v>3.8101138460749406</v>
      </c>
      <c r="F14" s="304">
        <f t="shared" ref="F14:H14" ca="1" si="5">(F5*F6*F9*F10)/F8</f>
        <v>1.0241018830072677</v>
      </c>
      <c r="G14" s="304">
        <f t="shared" ca="1" si="5"/>
        <v>2.4971277541908221</v>
      </c>
      <c r="H14" s="305">
        <f t="shared" ca="1" si="5"/>
        <v>0.48384705351001456</v>
      </c>
      <c r="I14" s="304">
        <f t="shared" ca="1" si="4"/>
        <v>0.22450879864137874</v>
      </c>
      <c r="J14" s="304">
        <f t="shared" ca="1" si="4"/>
        <v>2.0048126256676246E-2</v>
      </c>
      <c r="K14" s="306">
        <f t="shared" ca="1" si="4"/>
        <v>4.0846828600791821E-2</v>
      </c>
      <c r="L14" s="10"/>
      <c r="M14" s="10"/>
      <c r="N14" s="10"/>
      <c r="O14" s="10"/>
      <c r="P14" s="10"/>
      <c r="Q14" s="10"/>
      <c r="R14" s="10"/>
      <c r="S14" s="10"/>
      <c r="T14" s="10"/>
      <c r="U14" s="10"/>
      <c r="V14" s="10"/>
      <c r="W14" s="10"/>
      <c r="X14" s="10"/>
      <c r="Y14" s="10"/>
      <c r="Z14" s="10"/>
      <c r="AA14" s="10"/>
      <c r="AB14" s="10"/>
      <c r="AC14" s="10"/>
      <c r="AD14" s="10"/>
    </row>
    <row r="15" spans="1:30" ht="12.75">
      <c r="A15" s="12" t="s">
        <v>44</v>
      </c>
      <c r="B15" s="294">
        <f>Elasticities!D4</f>
        <v>1</v>
      </c>
      <c r="C15" s="294">
        <f>Elasticities!D5</f>
        <v>1</v>
      </c>
      <c r="D15" s="294">
        <f>Elasticities!D6</f>
        <v>1</v>
      </c>
      <c r="E15" s="294">
        <f>Elasticities!D6</f>
        <v>1</v>
      </c>
      <c r="F15" s="294">
        <f>Elasticities!D6</f>
        <v>1</v>
      </c>
      <c r="G15" s="294">
        <f>Elasticities!D6</f>
        <v>1</v>
      </c>
      <c r="H15" s="73">
        <f>Elasticities!D6</f>
        <v>1</v>
      </c>
      <c r="I15" s="294">
        <f>Elasticities!D7</f>
        <v>1</v>
      </c>
      <c r="J15" s="294">
        <f>Elasticities!D8</f>
        <v>1</v>
      </c>
      <c r="K15" s="295">
        <f>Elasticities!D10</f>
        <v>1</v>
      </c>
      <c r="L15" s="10"/>
      <c r="M15" s="10"/>
      <c r="N15" s="10"/>
      <c r="O15" s="10"/>
      <c r="P15" s="10"/>
      <c r="Q15" s="10"/>
      <c r="R15" s="10"/>
      <c r="S15" s="10"/>
      <c r="T15" s="10"/>
      <c r="U15" s="10"/>
      <c r="V15" s="10"/>
      <c r="W15" s="10"/>
      <c r="X15" s="10"/>
      <c r="Y15" s="10"/>
      <c r="Z15" s="10"/>
      <c r="AA15" s="10"/>
      <c r="AB15" s="10"/>
      <c r="AC15" s="10"/>
      <c r="AD15" s="10"/>
    </row>
    <row r="16" spans="1:30" ht="12.75">
      <c r="A16" s="303" t="s">
        <v>45</v>
      </c>
      <c r="B16" s="307">
        <f t="shared" ref="B16:K16" si="6">(1/B11)*B15</f>
        <v>5.2730156587473005E-3</v>
      </c>
      <c r="C16" s="307">
        <f t="shared" si="6"/>
        <v>0.9290060109475925</v>
      </c>
      <c r="D16" s="307">
        <f t="shared" si="6"/>
        <v>4.5566099550991647E-5</v>
      </c>
      <c r="E16" s="307">
        <f t="shared" si="6"/>
        <v>1.215095988026444E-4</v>
      </c>
      <c r="F16" s="307">
        <f>(1/F11)*F15</f>
        <v>4.5206967442484522E-4</v>
      </c>
      <c r="G16" s="307">
        <f t="shared" si="6"/>
        <v>1.8539916672344515E-4</v>
      </c>
      <c r="H16" s="308">
        <f t="shared" si="6"/>
        <v>9.5684245976168593E-4</v>
      </c>
      <c r="I16" s="307">
        <f t="shared" si="6"/>
        <v>2.0698791190594472E-2</v>
      </c>
      <c r="J16" s="307">
        <f t="shared" si="6"/>
        <v>9.7323097071653125E-2</v>
      </c>
      <c r="K16" s="309">
        <f t="shared" si="6"/>
        <v>0.17243220172746718</v>
      </c>
      <c r="L16" s="10"/>
      <c r="M16" s="10"/>
      <c r="N16" s="10"/>
      <c r="O16" s="10"/>
      <c r="P16" s="10"/>
      <c r="Q16" s="10"/>
      <c r="R16" s="10"/>
      <c r="S16" s="10"/>
      <c r="T16" s="10"/>
      <c r="U16" s="10"/>
      <c r="V16" s="10"/>
      <c r="W16" s="10"/>
      <c r="X16" s="10"/>
      <c r="Y16" s="10"/>
      <c r="Z16" s="10"/>
      <c r="AA16" s="10"/>
      <c r="AB16" s="10"/>
      <c r="AC16" s="10"/>
      <c r="AD16" s="10"/>
    </row>
    <row r="17" spans="1:30" ht="12.75">
      <c r="A17" s="303" t="s">
        <v>46</v>
      </c>
      <c r="B17" s="307">
        <f t="shared" ref="B17:K17" si="7">(1/B12)*B15</f>
        <v>5.7480080521442965E-3</v>
      </c>
      <c r="C17" s="307">
        <f t="shared" si="7"/>
        <v>1.0723227364910592</v>
      </c>
      <c r="D17" s="307">
        <f t="shared" si="7"/>
        <v>1.1223450542476019E-4</v>
      </c>
      <c r="E17" s="307">
        <f t="shared" si="7"/>
        <v>2.9929201446602711E-4</v>
      </c>
      <c r="F17" s="307">
        <f t="shared" si="7"/>
        <v>1.113499220397956E-3</v>
      </c>
      <c r="G17" s="307">
        <f t="shared" si="7"/>
        <v>4.5665931445553539E-4</v>
      </c>
      <c r="H17" s="308">
        <f t="shared" si="7"/>
        <v>2.3568122200274366E-3</v>
      </c>
      <c r="I17" s="307">
        <f t="shared" si="7"/>
        <v>0.83369242767225615</v>
      </c>
      <c r="J17" s="307">
        <f t="shared" si="7"/>
        <v>0.29087317762148074</v>
      </c>
      <c r="K17" s="309">
        <f t="shared" si="7"/>
        <v>0.18793700460759369</v>
      </c>
      <c r="L17" s="10"/>
      <c r="M17" s="10"/>
      <c r="N17" s="10"/>
      <c r="O17" s="10"/>
      <c r="P17" s="10"/>
      <c r="Q17" s="10"/>
      <c r="R17" s="10"/>
      <c r="S17" s="10"/>
      <c r="T17" s="10"/>
      <c r="U17" s="10"/>
      <c r="V17" s="10"/>
      <c r="W17" s="10"/>
      <c r="X17" s="10"/>
      <c r="Y17" s="10"/>
      <c r="Z17" s="10"/>
      <c r="AA17" s="10"/>
      <c r="AB17" s="10"/>
      <c r="AC17" s="10"/>
      <c r="AD17" s="10"/>
    </row>
    <row r="18" spans="1:30" ht="12.75">
      <c r="A18" s="303" t="s">
        <v>47</v>
      </c>
      <c r="B18" s="307">
        <f t="shared" ref="B18:K18" si="8">((1/B11)*B7)*B15</f>
        <v>5.7897711933045359</v>
      </c>
      <c r="C18" s="307">
        <f t="shared" si="8"/>
        <v>45.52129453643203</v>
      </c>
      <c r="D18" s="307">
        <f t="shared" si="8"/>
        <v>9.1473944848615735E-2</v>
      </c>
      <c r="E18" s="307">
        <f t="shared" si="8"/>
        <v>0.24393051959630863</v>
      </c>
      <c r="F18" s="307">
        <f t="shared" si="8"/>
        <v>0.90752987140787678</v>
      </c>
      <c r="G18" s="307">
        <f t="shared" si="8"/>
        <v>0.37218882719731616</v>
      </c>
      <c r="H18" s="308">
        <f t="shared" si="8"/>
        <v>1.9208612379715846</v>
      </c>
      <c r="I18" s="307">
        <f t="shared" si="8"/>
        <v>3.4773969200198711</v>
      </c>
      <c r="J18" s="307">
        <f t="shared" si="8"/>
        <v>49.050840924113174</v>
      </c>
      <c r="K18" s="309">
        <f t="shared" si="8"/>
        <v>23.66631968709487</v>
      </c>
      <c r="L18" s="10"/>
      <c r="M18" s="10"/>
      <c r="N18" s="10"/>
      <c r="O18" s="10"/>
      <c r="P18" s="10"/>
      <c r="Q18" s="10"/>
      <c r="R18" s="10"/>
      <c r="S18" s="10"/>
      <c r="T18" s="10"/>
      <c r="U18" s="10"/>
      <c r="V18" s="10"/>
      <c r="W18" s="10"/>
      <c r="X18" s="10"/>
      <c r="Y18" s="10"/>
      <c r="Z18" s="10"/>
      <c r="AA18" s="10"/>
      <c r="AB18" s="10"/>
      <c r="AC18" s="10"/>
      <c r="AD18" s="10"/>
    </row>
    <row r="19" spans="1:30" ht="13.5" thickBot="1">
      <c r="A19" s="310" t="s">
        <v>48</v>
      </c>
      <c r="B19" s="311">
        <f t="shared" ref="B19:K19" ca="1" si="9">((1/B11)*B8)*B15</f>
        <v>5.944754425664355</v>
      </c>
      <c r="C19" s="311">
        <f t="shared" si="9"/>
        <v>46.339816661684836</v>
      </c>
      <c r="D19" s="311">
        <f t="shared" ca="1" si="9"/>
        <v>9.8422255908786879E-2</v>
      </c>
      <c r="E19" s="311">
        <f t="shared" ca="1" si="9"/>
        <v>0.26245934909009838</v>
      </c>
      <c r="F19" s="311">
        <f t="shared" ca="1" si="9"/>
        <v>0.9764653464589943</v>
      </c>
      <c r="G19" s="311">
        <f t="shared" ca="1" si="9"/>
        <v>0.40046008792371274</v>
      </c>
      <c r="H19" s="312">
        <f t="shared" ca="1" si="9"/>
        <v>2.0667688120566434</v>
      </c>
      <c r="I19" s="311">
        <f t="shared" ca="1" si="9"/>
        <v>4.4541684158996349</v>
      </c>
      <c r="J19" s="311">
        <f t="shared" ca="1" si="9"/>
        <v>49.879973180385825</v>
      </c>
      <c r="K19" s="313">
        <f t="shared" ca="1" si="9"/>
        <v>24.481704804387551</v>
      </c>
      <c r="L19" s="10"/>
      <c r="M19" s="10"/>
      <c r="N19" s="10"/>
      <c r="O19" s="10"/>
      <c r="P19" s="10"/>
      <c r="Q19" s="10"/>
      <c r="R19" s="10"/>
      <c r="S19" s="10"/>
      <c r="T19" s="10"/>
      <c r="U19" s="10"/>
      <c r="V19" s="10"/>
      <c r="W19" s="10"/>
      <c r="X19" s="10"/>
      <c r="Y19" s="10"/>
      <c r="Z19" s="10"/>
      <c r="AA19" s="10"/>
      <c r="AB19" s="10"/>
      <c r="AC19" s="10"/>
      <c r="AD19" s="10"/>
    </row>
    <row r="20" spans="1:30" ht="13.5" thickTop="1">
      <c r="A20" s="10"/>
      <c r="B20" s="314"/>
      <c r="C20" s="314"/>
      <c r="D20" s="314"/>
      <c r="E20" s="314"/>
      <c r="F20" s="314"/>
      <c r="G20" s="314"/>
      <c r="H20" s="314"/>
      <c r="I20" s="314"/>
      <c r="J20" s="314"/>
      <c r="K20" s="314"/>
      <c r="L20" s="10"/>
      <c r="M20" s="10"/>
      <c r="N20" s="10"/>
      <c r="O20" s="10"/>
      <c r="P20" s="10"/>
      <c r="Q20" s="10"/>
      <c r="R20" s="10"/>
      <c r="S20" s="10"/>
      <c r="T20" s="10"/>
      <c r="U20" s="10"/>
      <c r="V20" s="10"/>
      <c r="W20" s="10"/>
      <c r="X20" s="10"/>
      <c r="Y20" s="10"/>
      <c r="Z20" s="10"/>
      <c r="AA20" s="10"/>
      <c r="AB20" s="10"/>
      <c r="AC20" s="10"/>
      <c r="AD20" s="10"/>
    </row>
    <row r="21" spans="1:30" ht="13.5" thickBot="1">
      <c r="A21" s="9" t="s">
        <v>49</v>
      </c>
      <c r="B21" s="314"/>
      <c r="C21" s="314"/>
      <c r="D21" s="314"/>
      <c r="E21" s="314"/>
      <c r="F21" s="314"/>
      <c r="G21" s="314"/>
      <c r="H21" s="314"/>
      <c r="I21" s="314"/>
      <c r="J21" s="314"/>
      <c r="K21" s="314"/>
      <c r="L21" s="10"/>
      <c r="M21" s="10"/>
      <c r="N21" s="10"/>
      <c r="O21" s="10"/>
      <c r="P21" s="10"/>
      <c r="Q21" s="10"/>
      <c r="R21" s="10"/>
      <c r="S21" s="10"/>
      <c r="T21" s="10"/>
      <c r="U21" s="10"/>
      <c r="V21" s="10"/>
      <c r="W21" s="10"/>
      <c r="X21" s="10"/>
      <c r="Y21" s="10"/>
      <c r="Z21" s="10"/>
      <c r="AA21" s="10"/>
      <c r="AB21" s="10"/>
      <c r="AC21" s="10"/>
      <c r="AD21" s="10"/>
    </row>
    <row r="22" spans="1:30" ht="13.5" thickTop="1">
      <c r="A22" s="11"/>
      <c r="B22" s="291" t="s">
        <v>32</v>
      </c>
      <c r="C22" s="31" t="s">
        <v>87</v>
      </c>
      <c r="D22" s="327" t="s">
        <v>90</v>
      </c>
      <c r="E22" s="332" t="s">
        <v>50</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row>
    <row r="23" spans="1:30" ht="12.75">
      <c r="A23" s="12" t="s">
        <v>51</v>
      </c>
      <c r="B23" s="294">
        <f>'Fish and shellfish calculations'!E15/1000</f>
        <v>5.4372858933454848</v>
      </c>
      <c r="C23" s="73">
        <f>'Fish and shellfish calculations'!E19/1000</f>
        <v>0.02</v>
      </c>
      <c r="D23" s="73">
        <f>'Fish and shellfish calculations'!E20/1000</f>
        <v>1.203387424</v>
      </c>
      <c r="E23" s="223">
        <f>'Fish and shellfish calculations'!E22/1000</f>
        <v>0.13788533725670499</v>
      </c>
      <c r="F23" s="4"/>
      <c r="G23" s="10"/>
      <c r="H23" s="10"/>
      <c r="I23" s="10"/>
      <c r="J23" s="10"/>
      <c r="K23" s="10"/>
      <c r="L23" s="10"/>
      <c r="M23" s="10"/>
      <c r="N23" s="10"/>
      <c r="O23" s="10"/>
      <c r="P23" s="10"/>
      <c r="Q23" s="10"/>
      <c r="R23" s="10"/>
      <c r="S23" s="10"/>
      <c r="T23" s="10"/>
      <c r="U23" s="10"/>
      <c r="V23" s="10"/>
      <c r="W23" s="10"/>
      <c r="X23" s="10"/>
      <c r="Y23" s="10"/>
      <c r="Z23" s="10"/>
      <c r="AA23" s="10"/>
      <c r="AB23" s="10"/>
      <c r="AC23" s="10"/>
      <c r="AD23" s="10"/>
    </row>
    <row r="24" spans="1:30" ht="12.75">
      <c r="A24" s="12" t="s">
        <v>38</v>
      </c>
      <c r="B24" s="294">
        <f>'Fish and shellfish calculations'!H15</f>
        <v>326.12154360376775</v>
      </c>
      <c r="C24" s="73">
        <f>'Fish and shellfish calculations'!H19</f>
        <v>149.83750000000001</v>
      </c>
      <c r="D24" s="73">
        <f>'Fish and shellfish calculations'!H20</f>
        <v>1</v>
      </c>
      <c r="E24" s="223">
        <f>'Fish and shellfish calculations'!H22</f>
        <v>135.01077586206895</v>
      </c>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row>
    <row r="25" spans="1:30" ht="12.75">
      <c r="A25" s="12" t="s">
        <v>52</v>
      </c>
      <c r="B25" s="294">
        <f ca="1">'Fish and shellfish calculations'!L15</f>
        <v>349.62713332523884</v>
      </c>
      <c r="C25" s="73">
        <f ca="1">'Fish and shellfish calculations'!L19</f>
        <v>162.68447867870458</v>
      </c>
      <c r="D25" s="73">
        <f ca="1">'Fish and shellfish calculations'!L20</f>
        <v>1</v>
      </c>
      <c r="E25" s="223">
        <f ca="1">'Fish and shellfish calculations'!L22</f>
        <v>146.5779788869562</v>
      </c>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row>
    <row r="26" spans="1:30" ht="12.75">
      <c r="A26" s="12" t="s">
        <v>39</v>
      </c>
      <c r="B26" s="13">
        <f>'Fish and shellfish edible p'!B5*'USDA food loss data'!O14</f>
        <v>0.30567012987012993</v>
      </c>
      <c r="C26" s="13">
        <f>'Fish and shellfish edible p'!B7*'USDA food loss data'!O15</f>
        <v>0.31008000000000002</v>
      </c>
      <c r="D26" s="13">
        <f>'Fish and shellfish edible p'!B8*'USDA food loss data'!O15</f>
        <v>0.12822080000000002</v>
      </c>
      <c r="E26" s="335">
        <f>'Fish and shellfish edible p'!B6*'USDA food loss data'!O15</f>
        <v>0.21294200000000002</v>
      </c>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row>
    <row r="27" spans="1:30" ht="12.75">
      <c r="A27" s="315" t="s">
        <v>40</v>
      </c>
      <c r="B27" s="304">
        <f t="shared" ref="B27" si="10">B23*B26</f>
        <v>1.6620158851599398</v>
      </c>
      <c r="C27" s="328">
        <f>C23*C26</f>
        <v>6.2016000000000007E-3</v>
      </c>
      <c r="D27" s="329">
        <f>D23*D26</f>
        <v>0.15429929821521923</v>
      </c>
      <c r="E27" s="333">
        <f>E23*E26</f>
        <v>2.9361579486117277E-2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2.75">
      <c r="A28" s="315" t="s">
        <v>53</v>
      </c>
      <c r="B28" s="304">
        <f>(B23*B26)/(1+'Fish and shellfish calculations'!I15+'Fish and shellfish calculations'!J15)</f>
        <v>1.3785065356434334</v>
      </c>
      <c r="C28" s="330">
        <f>(C23*C26)/(1+'Fish and shellfish calculations'!I19+'Fish and shellfish calculations'!J19)</f>
        <v>4.0083461234353447E-3</v>
      </c>
      <c r="D28" s="305">
        <f>(D23*D26)/(1+'Fish and shellfish calculations'!I20+'Fish and shellfish calculations'!J20)</f>
        <v>0.15429929821521923</v>
      </c>
      <c r="E28" s="333">
        <f>(E23*E26)/(1+'Fish and shellfish calculations'!I22+'Fish and shellfish calculations'!J22)</f>
        <v>1.9670585389249744E-2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row>
    <row r="29" spans="1:30" ht="12.75">
      <c r="A29" s="315" t="s">
        <v>42</v>
      </c>
      <c r="B29" s="304">
        <f t="shared" ref="B29:D29" si="11">(B23*B26)/B24</f>
        <v>5.0963081641097023E-3</v>
      </c>
      <c r="C29" s="330">
        <f t="shared" si="11"/>
        <v>4.1388837907733382E-5</v>
      </c>
      <c r="D29" s="305">
        <f t="shared" si="11"/>
        <v>0.15429929821521923</v>
      </c>
      <c r="E29" s="333">
        <f>(E23*E26)/E24</f>
        <v>2.1747582219743664E-4</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row>
    <row r="30" spans="1:30" ht="12.75">
      <c r="A30" s="315" t="s">
        <v>54</v>
      </c>
      <c r="B30" s="304">
        <f t="shared" ref="B30:D30" ca="1" si="12">(B23*B26)/B25</f>
        <v>4.7536810697522665E-3</v>
      </c>
      <c r="C30" s="330">
        <f t="shared" ca="1" si="12"/>
        <v>3.8120415975564061E-5</v>
      </c>
      <c r="D30" s="305">
        <f t="shared" ca="1" si="12"/>
        <v>0.15429929821521923</v>
      </c>
      <c r="E30" s="333">
        <f ca="1">(E23*E26)/E25</f>
        <v>2.0031371498689787E-4</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row>
    <row r="31" spans="1:30" ht="12.75">
      <c r="A31" s="12" t="s">
        <v>44</v>
      </c>
      <c r="B31" s="294">
        <f>Elasticities!D9</f>
        <v>1</v>
      </c>
      <c r="C31" s="73">
        <f>Elasticities!D9</f>
        <v>1</v>
      </c>
      <c r="D31" s="73">
        <f>Elasticities!D9</f>
        <v>1</v>
      </c>
      <c r="E31" s="223">
        <f>Elasticities!D9</f>
        <v>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row>
    <row r="32" spans="1:30" ht="12.75">
      <c r="A32" s="315" t="s">
        <v>45</v>
      </c>
      <c r="B32" s="304">
        <f t="shared" ref="B32:D32" si="13">(1/B27)*B31</f>
        <v>0.60167896644608032</v>
      </c>
      <c r="C32" s="305">
        <f t="shared" si="13"/>
        <v>161.24871001031991</v>
      </c>
      <c r="D32" s="305">
        <f t="shared" si="13"/>
        <v>6.4809108762450967</v>
      </c>
      <c r="E32" s="333">
        <f>(1/E27)*E31</f>
        <v>34.058113272578517</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row>
    <row r="33" spans="1:30" ht="12.75">
      <c r="A33" s="315" t="s">
        <v>55</v>
      </c>
      <c r="B33" s="304">
        <f t="shared" ref="B33:D33" si="14">(1/B28)*B31</f>
        <v>0.72542274856407463</v>
      </c>
      <c r="C33" s="305">
        <f t="shared" si="14"/>
        <v>249.47945342178986</v>
      </c>
      <c r="D33" s="305">
        <f t="shared" si="14"/>
        <v>6.4809108762450967</v>
      </c>
      <c r="E33" s="333">
        <f>(1/E28)*E31</f>
        <v>50.837327929575203</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row>
    <row r="34" spans="1:30" ht="12.75">
      <c r="A34" s="344" t="s">
        <v>47</v>
      </c>
      <c r="B34" s="304">
        <f t="shared" ref="B34:D34" si="15">((1/B27)*B24)*B31</f>
        <v>196.2204732913153</v>
      </c>
      <c r="C34" s="305">
        <f t="shared" si="15"/>
        <v>24161.10358617131</v>
      </c>
      <c r="D34" s="305">
        <f t="shared" si="15"/>
        <v>6.4809108762450967</v>
      </c>
      <c r="E34" s="333">
        <f>((1/E27)*E24)*E31</f>
        <v>4598.2122973290543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row>
    <row r="35" spans="1:30" ht="13.5" thickBot="1">
      <c r="A35" s="316" t="s">
        <v>56</v>
      </c>
      <c r="B35" s="317">
        <f t="shared" ref="B35:D35" ca="1" si="16">((1/B27)*B25)*B31</f>
        <v>210.36329222063563</v>
      </c>
      <c r="C35" s="331">
        <f t="shared" ca="1" si="16"/>
        <v>26232.662325642508</v>
      </c>
      <c r="D35" s="331">
        <f t="shared" ca="1" si="16"/>
        <v>6.4809108762450967</v>
      </c>
      <c r="E35" s="334">
        <f ca="1">((1/E27)*E25)*E31</f>
        <v>4992.1694081975766</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spans="1:30" ht="13.5" thickTop="1">
      <c r="A36" s="9"/>
      <c r="B36" s="318"/>
      <c r="C36" s="318"/>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row>
    <row r="37" spans="1:30" ht="12.7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row>
    <row r="38" spans="1:30" ht="15.75">
      <c r="A38" s="139" t="s">
        <v>2684</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row>
    <row r="39" spans="1:30" ht="12.75">
      <c r="A39" s="10"/>
      <c r="B39" s="31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row>
    <row r="40" spans="1:30" ht="13.5" thickBot="1">
      <c r="A40" s="9" t="s">
        <v>36</v>
      </c>
      <c r="B40" s="9"/>
      <c r="C40" s="9"/>
      <c r="D40" s="9"/>
      <c r="E40" s="9"/>
      <c r="F40" s="9"/>
      <c r="G40" s="9"/>
      <c r="H40" s="9"/>
      <c r="I40" s="9"/>
      <c r="J40" s="9"/>
      <c r="K40" s="9"/>
      <c r="L40" s="10"/>
      <c r="M40" s="10"/>
      <c r="N40" s="10"/>
      <c r="O40" s="10"/>
      <c r="P40" s="10"/>
      <c r="Q40" s="10"/>
      <c r="R40" s="10"/>
      <c r="S40" s="10"/>
      <c r="T40" s="10"/>
      <c r="U40" s="10"/>
      <c r="V40" s="10"/>
      <c r="W40" s="10"/>
      <c r="X40" s="10"/>
      <c r="Y40" s="10"/>
      <c r="Z40" s="10"/>
      <c r="AA40" s="10"/>
      <c r="AB40" s="10"/>
      <c r="AC40" s="10"/>
      <c r="AD40" s="10"/>
    </row>
    <row r="41" spans="1:30" ht="13.5" thickTop="1">
      <c r="A41" s="11"/>
      <c r="B41" s="291" t="s">
        <v>18</v>
      </c>
      <c r="C41" s="291" t="s">
        <v>21</v>
      </c>
      <c r="D41" s="31" t="s">
        <v>23</v>
      </c>
      <c r="E41" s="292" t="s">
        <v>2553</v>
      </c>
      <c r="F41" s="292" t="s">
        <v>2554</v>
      </c>
      <c r="G41" s="292" t="s">
        <v>2555</v>
      </c>
      <c r="H41" s="31" t="s">
        <v>2651</v>
      </c>
      <c r="I41" s="291" t="s">
        <v>25</v>
      </c>
      <c r="J41" s="291" t="s">
        <v>27</v>
      </c>
      <c r="K41" s="293" t="s">
        <v>29</v>
      </c>
      <c r="L41" s="10"/>
      <c r="M41" s="10"/>
      <c r="N41" s="10"/>
      <c r="O41" s="10"/>
      <c r="P41" s="10"/>
      <c r="Q41" s="10"/>
      <c r="R41" s="10"/>
      <c r="S41" s="10"/>
      <c r="T41" s="10"/>
      <c r="U41" s="10"/>
      <c r="V41" s="10"/>
      <c r="W41" s="10"/>
      <c r="X41" s="10"/>
      <c r="Y41" s="10"/>
      <c r="Z41" s="10"/>
      <c r="AA41" s="10"/>
      <c r="AB41" s="10"/>
      <c r="AC41" s="10"/>
      <c r="AD41" s="10"/>
    </row>
    <row r="42" spans="1:30" ht="12.75">
      <c r="A42" s="23" t="s">
        <v>2633</v>
      </c>
      <c r="B42" s="294">
        <f>B5</f>
        <v>370.4</v>
      </c>
      <c r="C42" s="294">
        <f t="shared" ref="C42:K42" si="17">C5</f>
        <v>2.1923000000000004</v>
      </c>
      <c r="D42" s="294">
        <f t="shared" si="17"/>
        <v>10837.6</v>
      </c>
      <c r="E42" s="294">
        <f t="shared" si="17"/>
        <v>10837.6</v>
      </c>
      <c r="F42" s="294">
        <f t="shared" si="17"/>
        <v>10837.6</v>
      </c>
      <c r="G42" s="294">
        <f t="shared" si="17"/>
        <v>10837.6</v>
      </c>
      <c r="H42" s="294">
        <f t="shared" si="17"/>
        <v>10837.6</v>
      </c>
      <c r="I42" s="294">
        <f t="shared" si="17"/>
        <v>97.6</v>
      </c>
      <c r="J42" s="294">
        <f t="shared" si="17"/>
        <v>16.927599999999998</v>
      </c>
      <c r="K42" s="345">
        <f t="shared" si="17"/>
        <v>11.692299999999999</v>
      </c>
      <c r="L42" s="4"/>
      <c r="M42" s="10"/>
      <c r="N42" s="10"/>
      <c r="O42" s="10"/>
      <c r="P42" s="10"/>
      <c r="Q42" s="10"/>
      <c r="R42" s="10"/>
      <c r="S42" s="10"/>
      <c r="T42" s="10"/>
      <c r="U42" s="10"/>
      <c r="V42" s="10"/>
      <c r="W42" s="10"/>
      <c r="X42" s="10"/>
      <c r="Y42" s="10"/>
      <c r="Z42" s="10"/>
      <c r="AA42" s="10"/>
      <c r="AB42" s="10"/>
      <c r="AC42" s="10"/>
      <c r="AD42" s="10"/>
    </row>
    <row r="43" spans="1:30" ht="12.75">
      <c r="A43" s="12" t="s">
        <v>37</v>
      </c>
      <c r="B43" s="294">
        <f t="shared" ref="B43:K43" si="18">B6</f>
        <v>1</v>
      </c>
      <c r="C43" s="294">
        <f t="shared" si="18"/>
        <v>1</v>
      </c>
      <c r="D43" s="294">
        <f t="shared" si="18"/>
        <v>3</v>
      </c>
      <c r="E43" s="294">
        <f t="shared" si="18"/>
        <v>3</v>
      </c>
      <c r="F43" s="294">
        <f t="shared" si="18"/>
        <v>3</v>
      </c>
      <c r="G43" s="294">
        <f t="shared" si="18"/>
        <v>3</v>
      </c>
      <c r="H43" s="294">
        <f t="shared" si="18"/>
        <v>3</v>
      </c>
      <c r="I43" s="294">
        <f t="shared" si="18"/>
        <v>1</v>
      </c>
      <c r="J43" s="294">
        <f t="shared" si="18"/>
        <v>1</v>
      </c>
      <c r="K43" s="346">
        <f t="shared" si="18"/>
        <v>1</v>
      </c>
      <c r="L43" s="4"/>
      <c r="M43" s="10"/>
      <c r="N43" s="10"/>
      <c r="O43" s="10"/>
      <c r="P43" s="10"/>
      <c r="Q43" s="10"/>
      <c r="R43" s="10"/>
      <c r="S43" s="10"/>
      <c r="T43" s="10"/>
      <c r="U43" s="10"/>
      <c r="V43" s="10"/>
      <c r="W43" s="10"/>
      <c r="X43" s="10"/>
      <c r="Y43" s="10"/>
      <c r="Z43" s="10"/>
      <c r="AA43" s="10"/>
      <c r="AB43" s="10"/>
      <c r="AC43" s="10"/>
      <c r="AD43" s="10"/>
    </row>
    <row r="44" spans="1:30" ht="12.75">
      <c r="A44" s="12" t="s">
        <v>38</v>
      </c>
      <c r="B44" s="294">
        <f t="shared" ref="B44:K44" si="19">B7</f>
        <v>1098</v>
      </c>
      <c r="C44" s="294">
        <f t="shared" si="19"/>
        <v>49</v>
      </c>
      <c r="D44" s="294">
        <f t="shared" si="19"/>
        <v>2007.5</v>
      </c>
      <c r="E44" s="294">
        <f t="shared" si="19"/>
        <v>2007.5</v>
      </c>
      <c r="F44" s="294">
        <f t="shared" si="19"/>
        <v>2007.5</v>
      </c>
      <c r="G44" s="294">
        <f t="shared" si="19"/>
        <v>2007.5</v>
      </c>
      <c r="H44" s="294">
        <f t="shared" si="19"/>
        <v>2007.5</v>
      </c>
      <c r="I44" s="294">
        <f t="shared" si="19"/>
        <v>168</v>
      </c>
      <c r="J44" s="294">
        <f t="shared" si="19"/>
        <v>504</v>
      </c>
      <c r="K44" s="346">
        <f t="shared" si="19"/>
        <v>137.25</v>
      </c>
      <c r="L44" s="4"/>
      <c r="M44" s="10"/>
      <c r="N44" s="10"/>
      <c r="O44" s="10"/>
      <c r="P44" s="10"/>
      <c r="Q44" s="10"/>
      <c r="R44" s="10"/>
      <c r="S44" s="10"/>
      <c r="T44" s="10"/>
      <c r="U44" s="10"/>
      <c r="V44" s="10"/>
      <c r="W44" s="10"/>
      <c r="X44" s="10"/>
      <c r="Y44" s="10"/>
      <c r="Z44" s="10"/>
      <c r="AA44" s="10"/>
      <c r="AB44" s="10"/>
      <c r="AC44" s="10"/>
      <c r="AD44" s="10"/>
    </row>
    <row r="45" spans="1:30" ht="12.75">
      <c r="A45" s="23" t="s">
        <v>2599</v>
      </c>
      <c r="B45" s="294">
        <f t="shared" ref="B45:K45" ca="1" si="20">B8</f>
        <v>1127.3917641042315</v>
      </c>
      <c r="C45" s="294">
        <f t="shared" si="20"/>
        <v>49.881073013099133</v>
      </c>
      <c r="D45" s="294">
        <f t="shared" ca="1" si="20"/>
        <v>2159.9886072900645</v>
      </c>
      <c r="E45" s="294">
        <f t="shared" ca="1" si="20"/>
        <v>2159.9886072900645</v>
      </c>
      <c r="F45" s="294">
        <f t="shared" ca="1" si="20"/>
        <v>2159.9886072900645</v>
      </c>
      <c r="G45" s="294">
        <f t="shared" ca="1" si="20"/>
        <v>2159.9886072900645</v>
      </c>
      <c r="H45" s="294">
        <f t="shared" ca="1" si="20"/>
        <v>2159.9886072900645</v>
      </c>
      <c r="I45" s="294">
        <f t="shared" ca="1" si="20"/>
        <v>215.18978450894315</v>
      </c>
      <c r="J45" s="294">
        <f t="shared" ca="1" si="20"/>
        <v>512.51937804303748</v>
      </c>
      <c r="K45" s="346">
        <f t="shared" ca="1" si="20"/>
        <v>141.97872879383291</v>
      </c>
      <c r="L45" s="4"/>
      <c r="M45" s="10"/>
      <c r="N45" s="10"/>
      <c r="O45" s="10"/>
      <c r="P45" s="10"/>
      <c r="Q45" s="10"/>
      <c r="R45" s="10"/>
      <c r="S45" s="10"/>
      <c r="T45" s="10"/>
      <c r="U45" s="10"/>
      <c r="V45" s="10"/>
      <c r="W45" s="10"/>
      <c r="X45" s="10"/>
      <c r="Y45" s="10"/>
      <c r="Z45" s="10"/>
      <c r="AA45" s="10"/>
      <c r="AB45" s="10"/>
      <c r="AC45" s="10"/>
      <c r="AD45" s="10"/>
    </row>
    <row r="46" spans="1:30" ht="12.75">
      <c r="A46" s="23" t="s">
        <v>2690</v>
      </c>
      <c r="B46" s="13">
        <f>1-0.01*'USDA food loss data'!D8</f>
        <v>0.66900000000000004</v>
      </c>
      <c r="C46" s="13">
        <f>1-0.01*'USDA food loss data'!D9</f>
        <v>0.60200000000000009</v>
      </c>
      <c r="D46" s="13">
        <f>1-0.01*'USDA food loss data'!D10</f>
        <v>0.98391874735505713</v>
      </c>
      <c r="E46" s="13">
        <f>1-0.01*'USDA food loss data'!D10</f>
        <v>0.98391874735505713</v>
      </c>
      <c r="F46" s="13">
        <f>1-0.01*'USDA food loss data'!D10</f>
        <v>0.98391874735505713</v>
      </c>
      <c r="G46" s="13">
        <f>1-0.01*'USDA food loss data'!D10</f>
        <v>0.98391874735505713</v>
      </c>
      <c r="H46" s="13">
        <f>1-0.01*'USDA food loss data'!D10</f>
        <v>0.98391874735505713</v>
      </c>
      <c r="I46" s="13">
        <f>1-0.01*'USDA food loss data'!D11</f>
        <v>0.72899999999999998</v>
      </c>
      <c r="J46" s="13">
        <f>1-0.01*'USDA food loss data'!D12</f>
        <v>0.98499999999999999</v>
      </c>
      <c r="K46" s="347">
        <f>1-0.01*'USDA food loss data'!D13</f>
        <v>0.79</v>
      </c>
      <c r="L46" s="10"/>
      <c r="M46" s="10"/>
      <c r="N46" s="10"/>
      <c r="O46" s="10"/>
      <c r="P46" s="10"/>
      <c r="Q46" s="10"/>
      <c r="R46" s="10"/>
      <c r="S46" s="10"/>
      <c r="T46" s="10"/>
      <c r="U46" s="10"/>
      <c r="V46" s="10"/>
      <c r="W46" s="10"/>
      <c r="X46" s="10"/>
      <c r="Y46" s="10"/>
      <c r="Z46" s="10"/>
      <c r="AA46" s="10"/>
      <c r="AB46" s="10"/>
      <c r="AC46" s="10"/>
      <c r="AD46" s="10"/>
    </row>
    <row r="47" spans="1:30" ht="12.75">
      <c r="A47" s="23" t="s">
        <v>2694</v>
      </c>
      <c r="B47" s="141"/>
      <c r="C47" s="141"/>
      <c r="D47" s="141"/>
      <c r="E47" s="142">
        <f>E10</f>
        <v>0.375</v>
      </c>
      <c r="F47" s="142">
        <f t="shared" ref="F47:H47" si="21">F10</f>
        <v>0.10079441760601182</v>
      </c>
      <c r="G47" s="142">
        <f t="shared" si="21"/>
        <v>0.24577294685990336</v>
      </c>
      <c r="H47" s="142">
        <f t="shared" si="21"/>
        <v>4.7621318521275158E-2</v>
      </c>
      <c r="I47" s="141"/>
      <c r="J47" s="301"/>
      <c r="K47" s="348"/>
      <c r="L47" s="10"/>
      <c r="M47" s="10"/>
      <c r="N47" s="10"/>
      <c r="O47" s="10"/>
      <c r="P47" s="10"/>
      <c r="Q47" s="10"/>
      <c r="R47" s="10"/>
      <c r="S47" s="10"/>
      <c r="T47" s="10"/>
      <c r="U47" s="10"/>
      <c r="V47" s="10"/>
      <c r="W47" s="10"/>
      <c r="X47" s="10"/>
      <c r="Y47" s="10"/>
      <c r="Z47" s="10"/>
      <c r="AA47" s="10"/>
      <c r="AB47" s="10"/>
      <c r="AC47" s="10"/>
      <c r="AD47" s="10"/>
    </row>
    <row r="48" spans="1:30" ht="12.75">
      <c r="A48" s="235" t="s">
        <v>2686</v>
      </c>
      <c r="B48" s="304">
        <f>B42*B43*B46</f>
        <v>247.79759999999999</v>
      </c>
      <c r="C48" s="304">
        <f t="shared" ref="C48" si="22">C42*C43*C46</f>
        <v>1.3197646000000005</v>
      </c>
      <c r="D48" s="304">
        <f>D42*D43*D46</f>
        <v>31989.953449005505</v>
      </c>
      <c r="E48" s="304">
        <f>E42*E43*E46*E47</f>
        <v>11996.232543377064</v>
      </c>
      <c r="F48" s="304">
        <f t="shared" ref="F48:H48" si="23">F42*F43*F46*F47</f>
        <v>3224.408727135939</v>
      </c>
      <c r="G48" s="304">
        <f t="shared" si="23"/>
        <v>7862.2651290732119</v>
      </c>
      <c r="H48" s="305">
        <f t="shared" si="23"/>
        <v>1523.4037626758559</v>
      </c>
      <c r="I48" s="304">
        <f t="shared" ref="I48:K48" si="24">I42*I43*I46</f>
        <v>71.150399999999991</v>
      </c>
      <c r="J48" s="304">
        <f t="shared" si="24"/>
        <v>16.673685999999996</v>
      </c>
      <c r="K48" s="306">
        <f t="shared" si="24"/>
        <v>9.236917</v>
      </c>
      <c r="L48" s="10"/>
      <c r="M48" s="10"/>
      <c r="N48" s="10"/>
      <c r="O48" s="10"/>
      <c r="P48" s="10"/>
      <c r="Q48" s="10"/>
      <c r="R48" s="10"/>
      <c r="S48" s="10"/>
      <c r="T48" s="10"/>
      <c r="U48" s="10"/>
      <c r="V48" s="10"/>
      <c r="W48" s="10"/>
      <c r="X48" s="10"/>
      <c r="Y48" s="10"/>
      <c r="Z48" s="10"/>
      <c r="AA48" s="10"/>
      <c r="AB48" s="10"/>
      <c r="AC48" s="10"/>
      <c r="AD48" s="10"/>
    </row>
    <row r="49" spans="1:30" ht="12.75">
      <c r="A49" s="235" t="s">
        <v>2687</v>
      </c>
      <c r="B49" s="304">
        <f>(B42*B43*B46)/(1+Mortality!C4)</f>
        <v>227.32059752639998</v>
      </c>
      <c r="C49" s="304">
        <f>(C42*C43*C46)/(1+'Feed fish'!B45+Mortality!C5)</f>
        <v>1.1433770866855701</v>
      </c>
      <c r="D49" s="304">
        <f>(D42*D43*D46)/(1+Mortality!C6+'Male offspring'!B5)</f>
        <v>12987.604818788626</v>
      </c>
      <c r="E49" s="304">
        <f>(E42*E43*E46*E47)/(1+Mortality!C6+'Male offspring'!B5)</f>
        <v>4870.3518070457349</v>
      </c>
      <c r="F49" s="304">
        <f>(F42*F43*F46*F47)/(1+Mortality!C6+'Male offspring'!B5)</f>
        <v>1309.0780638068322</v>
      </c>
      <c r="G49" s="304">
        <f>(G42*G43*G46*G47)/(1+Mortality!C6+'Male offspring'!B5)</f>
        <v>3192.0019089655616</v>
      </c>
      <c r="H49" s="305">
        <f>(H42*H43*H46*H47)/(1+Mortality!C6+'Male offspring'!B5)</f>
        <v>618.48686590398131</v>
      </c>
      <c r="I49" s="304">
        <f>(I42*I43*I46)/(1+'Feed fish'!B30+Mortality!C7)</f>
        <v>1.7665115141314873</v>
      </c>
      <c r="J49" s="304">
        <f>(J42*J43*J46)/(1+'Feed fish'!B46+Mortality!C8+'Male offspring'!C11)</f>
        <v>5.5788394598279591</v>
      </c>
      <c r="K49" s="306">
        <f>(K42*K43*K46)/(1+Mortality!C9)</f>
        <v>8.4748713474999988</v>
      </c>
      <c r="L49" s="10"/>
      <c r="M49" s="10"/>
      <c r="N49" s="10"/>
      <c r="O49" s="10"/>
      <c r="P49" s="10"/>
      <c r="Q49" s="10"/>
      <c r="R49" s="10"/>
      <c r="S49" s="10"/>
      <c r="T49" s="10"/>
      <c r="U49" s="10"/>
      <c r="V49" s="10"/>
      <c r="W49" s="10"/>
      <c r="X49" s="10"/>
      <c r="Y49" s="10"/>
      <c r="Z49" s="10"/>
      <c r="AA49" s="10"/>
      <c r="AB49" s="10"/>
      <c r="AC49" s="10"/>
      <c r="AD49" s="10"/>
    </row>
    <row r="50" spans="1:30" ht="12.75">
      <c r="A50" s="235" t="s">
        <v>2688</v>
      </c>
      <c r="B50" s="304">
        <f>(B42*B43*B46)/B44</f>
        <v>0.22568087431693987</v>
      </c>
      <c r="C50" s="304">
        <f t="shared" ref="C50:D50" si="25">(C42*C43*C46)/C44</f>
        <v>2.693397142857144E-2</v>
      </c>
      <c r="D50" s="304">
        <f t="shared" si="25"/>
        <v>15.935219650812206</v>
      </c>
      <c r="E50" s="304">
        <f>(E42*E43*E46*E47)/E44</f>
        <v>5.975707369054577</v>
      </c>
      <c r="F50" s="304">
        <f t="shared" ref="F50:H50" si="26">(F42*F43*F46*F47)/F44</f>
        <v>1.6061811841274913</v>
      </c>
      <c r="G50" s="304">
        <f t="shared" si="26"/>
        <v>3.9164458924399561</v>
      </c>
      <c r="H50" s="305">
        <f t="shared" si="26"/>
        <v>0.75885617069781119</v>
      </c>
      <c r="I50" s="304">
        <f t="shared" ref="I50:K50" si="27">(I42*I43*I46)/I44</f>
        <v>0.42351428571428568</v>
      </c>
      <c r="J50" s="304">
        <f t="shared" si="27"/>
        <v>3.3082710317460309E-2</v>
      </c>
      <c r="K50" s="306">
        <f t="shared" si="27"/>
        <v>6.7299941712204006E-2</v>
      </c>
      <c r="L50" s="10"/>
      <c r="M50" s="10"/>
      <c r="N50" s="10"/>
      <c r="O50" s="10"/>
      <c r="P50" s="10"/>
      <c r="Q50" s="10"/>
      <c r="R50" s="10"/>
      <c r="S50" s="10"/>
      <c r="T50" s="10"/>
      <c r="U50" s="10"/>
      <c r="V50" s="10"/>
      <c r="W50" s="10"/>
      <c r="X50" s="10"/>
      <c r="Y50" s="10"/>
      <c r="Z50" s="10"/>
      <c r="AA50" s="10"/>
      <c r="AB50" s="10"/>
      <c r="AC50" s="10"/>
      <c r="AD50" s="10"/>
    </row>
    <row r="51" spans="1:30" ht="12.75">
      <c r="A51" s="235" t="s">
        <v>2689</v>
      </c>
      <c r="B51" s="304">
        <f ca="1">(B42*B43*B46)/B45</f>
        <v>0.21979724164198364</v>
      </c>
      <c r="C51" s="304">
        <f t="shared" ref="C51:D51" si="28">(C42*C43*C46)/C45</f>
        <v>2.6458223937031601E-2</v>
      </c>
      <c r="D51" s="304">
        <f t="shared" ca="1" si="28"/>
        <v>14.810241748978623</v>
      </c>
      <c r="E51" s="304">
        <f ca="1">(E42*E43*E46*E47)/E45</f>
        <v>5.5538406558669831</v>
      </c>
      <c r="F51" s="304">
        <f t="shared" ref="F51:H51" ca="1" si="29">(F42*F43*F46*F47)/F45</f>
        <v>1.4927896916925423</v>
      </c>
      <c r="G51" s="304">
        <f t="shared" ca="1" si="29"/>
        <v>3.6399567583540451</v>
      </c>
      <c r="H51" s="305">
        <f t="shared" ca="1" si="29"/>
        <v>0.70528323970519824</v>
      </c>
      <c r="I51" s="304">
        <f t="shared" ref="I51:K51" ca="1" si="30">(I42*I43*I46)/I45</f>
        <v>0.33064023072639409</v>
      </c>
      <c r="J51" s="304">
        <f t="shared" ca="1" si="30"/>
        <v>3.2532791372036407E-2</v>
      </c>
      <c r="K51" s="306">
        <f t="shared" ca="1" si="30"/>
        <v>6.5058456844003104E-2</v>
      </c>
      <c r="L51" s="10"/>
      <c r="M51" s="10"/>
      <c r="N51" s="10"/>
      <c r="O51" s="10"/>
      <c r="P51" s="10"/>
      <c r="Q51" s="10"/>
      <c r="R51" s="10"/>
      <c r="S51" s="10"/>
      <c r="T51" s="10"/>
      <c r="U51" s="10"/>
      <c r="V51" s="10"/>
      <c r="W51" s="10"/>
      <c r="X51" s="10"/>
      <c r="Y51" s="10"/>
      <c r="Z51" s="10"/>
      <c r="AA51" s="10"/>
      <c r="AB51" s="10"/>
      <c r="AC51" s="10"/>
      <c r="AD51" s="10"/>
    </row>
    <row r="52" spans="1:30" ht="12.75">
      <c r="A52" s="12" t="s">
        <v>44</v>
      </c>
      <c r="B52" s="294">
        <f>Elasticities!D4</f>
        <v>1</v>
      </c>
      <c r="C52" s="294">
        <f>Elasticities!D5</f>
        <v>1</v>
      </c>
      <c r="D52" s="294">
        <f>Elasticities!D6</f>
        <v>1</v>
      </c>
      <c r="E52" s="294">
        <f>Elasticities!D6</f>
        <v>1</v>
      </c>
      <c r="F52" s="294">
        <f>Elasticities!D6</f>
        <v>1</v>
      </c>
      <c r="G52" s="294">
        <f>Elasticities!D6</f>
        <v>1</v>
      </c>
      <c r="H52" s="73">
        <f>Elasticities!D6</f>
        <v>1</v>
      </c>
      <c r="I52" s="294">
        <f>Elasticities!D7</f>
        <v>1</v>
      </c>
      <c r="J52" s="294">
        <f>Elasticities!D8</f>
        <v>1</v>
      </c>
      <c r="K52" s="295">
        <f>Elasticities!D10</f>
        <v>1</v>
      </c>
      <c r="L52" s="10"/>
      <c r="M52" s="10"/>
      <c r="N52" s="10"/>
      <c r="O52" s="10"/>
      <c r="P52" s="10"/>
      <c r="Q52" s="10"/>
      <c r="R52" s="10"/>
      <c r="S52" s="10"/>
      <c r="T52" s="10"/>
      <c r="U52" s="10"/>
      <c r="V52" s="10"/>
      <c r="W52" s="10"/>
      <c r="X52" s="10"/>
      <c r="Y52" s="10"/>
      <c r="Z52" s="10"/>
      <c r="AA52" s="10"/>
      <c r="AB52" s="10"/>
      <c r="AC52" s="10"/>
      <c r="AD52" s="10"/>
    </row>
    <row r="53" spans="1:30" ht="12.75">
      <c r="A53" s="303" t="s">
        <v>45</v>
      </c>
      <c r="B53" s="307">
        <f>(1/B48)*B52</f>
        <v>4.0355515953342568E-3</v>
      </c>
      <c r="C53" s="307">
        <f t="shared" ref="C53:E53" si="31">(1/C48)*C52</f>
        <v>0.75771088268316911</v>
      </c>
      <c r="D53" s="307">
        <f t="shared" si="31"/>
        <v>3.1259814166159336E-5</v>
      </c>
      <c r="E53" s="307">
        <f t="shared" si="31"/>
        <v>8.3359504443091572E-5</v>
      </c>
      <c r="F53" s="307">
        <f>(1/F48)*F52</f>
        <v>3.101343795481672E-4</v>
      </c>
      <c r="G53" s="307">
        <f t="shared" ref="G53:K53" si="32">(1/G48)*G52</f>
        <v>1.271898089905648E-4</v>
      </c>
      <c r="H53" s="308">
        <f t="shared" si="32"/>
        <v>6.5642479328231534E-4</v>
      </c>
      <c r="I53" s="307">
        <f t="shared" si="32"/>
        <v>1.4054734759045629E-2</v>
      </c>
      <c r="J53" s="307">
        <f t="shared" si="32"/>
        <v>5.9974741038064425E-2</v>
      </c>
      <c r="K53" s="309">
        <f t="shared" si="32"/>
        <v>0.1082612304516756</v>
      </c>
      <c r="L53" s="10"/>
      <c r="M53" s="10"/>
      <c r="N53" s="10"/>
      <c r="O53" s="10"/>
      <c r="P53" s="10"/>
      <c r="Q53" s="10"/>
      <c r="R53" s="10"/>
      <c r="S53" s="10"/>
      <c r="T53" s="10"/>
      <c r="U53" s="10"/>
      <c r="V53" s="10"/>
      <c r="W53" s="10"/>
      <c r="X53" s="10"/>
      <c r="Y53" s="10"/>
      <c r="Z53" s="10"/>
      <c r="AA53" s="10"/>
      <c r="AB53" s="10"/>
      <c r="AC53" s="10"/>
      <c r="AD53" s="10"/>
    </row>
    <row r="54" spans="1:30" ht="12.75">
      <c r="A54" s="303" t="s">
        <v>46</v>
      </c>
      <c r="B54" s="307">
        <f>(1/B49)*B52</f>
        <v>4.3990734270521374E-3</v>
      </c>
      <c r="C54" s="307">
        <f>(1/C49)*C52</f>
        <v>0.87460209903174402</v>
      </c>
      <c r="D54" s="307">
        <f t="shared" ref="D54:K54" si="33">(1/D49)*D52</f>
        <v>7.6996491189302413E-5</v>
      </c>
      <c r="E54" s="307">
        <f t="shared" si="33"/>
        <v>2.0532397650480642E-4</v>
      </c>
      <c r="F54" s="307">
        <f t="shared" si="33"/>
        <v>7.6389638452268812E-4</v>
      </c>
      <c r="G54" s="307">
        <f t="shared" si="33"/>
        <v>3.1328302066212487E-4</v>
      </c>
      <c r="H54" s="308">
        <f t="shared" si="33"/>
        <v>1.6168492091394673E-3</v>
      </c>
      <c r="I54" s="307">
        <f t="shared" si="33"/>
        <v>0.56608745088856904</v>
      </c>
      <c r="J54" s="307">
        <f t="shared" si="33"/>
        <v>0.17924875006724753</v>
      </c>
      <c r="K54" s="309">
        <f t="shared" si="33"/>
        <v>0.11799589150046388</v>
      </c>
      <c r="L54" s="10"/>
      <c r="M54" s="10"/>
      <c r="N54" s="10"/>
      <c r="O54" s="10"/>
      <c r="P54" s="10"/>
      <c r="Q54" s="10"/>
      <c r="R54" s="10"/>
      <c r="S54" s="10"/>
      <c r="T54" s="10"/>
      <c r="U54" s="10"/>
      <c r="V54" s="10"/>
      <c r="W54" s="10"/>
      <c r="X54" s="10"/>
      <c r="Y54" s="10"/>
      <c r="Z54" s="10"/>
      <c r="AA54" s="10"/>
      <c r="AB54" s="10"/>
      <c r="AC54" s="10"/>
      <c r="AD54" s="10"/>
    </row>
    <row r="55" spans="1:30" ht="12.75">
      <c r="A55" s="303" t="s">
        <v>47</v>
      </c>
      <c r="B55" s="307">
        <f>((1/B48)*B44)*B52</f>
        <v>4.4310356516770142</v>
      </c>
      <c r="C55" s="307">
        <f t="shared" ref="C55:K55" si="34">((1/C48)*C44)*C52</f>
        <v>37.127833251475288</v>
      </c>
      <c r="D55" s="307">
        <f t="shared" si="34"/>
        <v>6.2754076938564871E-2</v>
      </c>
      <c r="E55" s="307">
        <f t="shared" si="34"/>
        <v>0.16734420516950632</v>
      </c>
      <c r="F55" s="307">
        <f t="shared" si="34"/>
        <v>0.62259476694294569</v>
      </c>
      <c r="G55" s="307">
        <f t="shared" si="34"/>
        <v>0.25533354154855881</v>
      </c>
      <c r="H55" s="308">
        <f t="shared" si="34"/>
        <v>1.3177727725142481</v>
      </c>
      <c r="I55" s="307">
        <f t="shared" si="34"/>
        <v>2.3611954395196659</v>
      </c>
      <c r="J55" s="307">
        <f t="shared" si="34"/>
        <v>30.227269483184472</v>
      </c>
      <c r="K55" s="309">
        <f t="shared" si="34"/>
        <v>14.858853879492477</v>
      </c>
      <c r="L55" s="10"/>
      <c r="M55" s="10"/>
      <c r="N55" s="10"/>
      <c r="O55" s="10"/>
      <c r="P55" s="10"/>
      <c r="Q55" s="10"/>
      <c r="R55" s="10"/>
      <c r="S55" s="10"/>
      <c r="T55" s="10"/>
      <c r="U55" s="10"/>
      <c r="V55" s="10"/>
      <c r="W55" s="10"/>
      <c r="X55" s="10"/>
      <c r="Y55" s="10"/>
      <c r="Z55" s="10"/>
      <c r="AA55" s="10"/>
      <c r="AB55" s="10"/>
      <c r="AC55" s="10"/>
      <c r="AD55" s="10"/>
    </row>
    <row r="56" spans="1:30" ht="13.5" thickBot="1">
      <c r="A56" s="310" t="s">
        <v>48</v>
      </c>
      <c r="B56" s="311">
        <f ca="1">((1/B48)*B45)*B52</f>
        <v>4.5496476321975337</v>
      </c>
      <c r="C56" s="311">
        <f t="shared" ref="C56:K56" si="35">((1/C48)*C45)*C52</f>
        <v>37.795431861938951</v>
      </c>
      <c r="D56" s="311">
        <f t="shared" ca="1" si="35"/>
        <v>6.7520842464908734E-2</v>
      </c>
      <c r="E56" s="311">
        <f t="shared" ca="1" si="35"/>
        <v>0.18005557990642332</v>
      </c>
      <c r="F56" s="311">
        <f t="shared" ca="1" si="35"/>
        <v>0.66988672655301396</v>
      </c>
      <c r="G56" s="311">
        <f t="shared" ca="1" si="35"/>
        <v>0.27472853838301936</v>
      </c>
      <c r="H56" s="312">
        <f t="shared" ca="1" si="35"/>
        <v>1.4178700750325368</v>
      </c>
      <c r="I56" s="311">
        <f t="shared" ca="1" si="35"/>
        <v>3.0244353441293819</v>
      </c>
      <c r="J56" s="311">
        <f t="shared" ca="1" si="35"/>
        <v>30.738216975121016</v>
      </c>
      <c r="K56" s="313">
        <f t="shared" ca="1" si="35"/>
        <v>15.370791877185095</v>
      </c>
      <c r="L56" s="10"/>
      <c r="M56" s="10"/>
      <c r="N56" s="10"/>
      <c r="O56" s="10"/>
      <c r="P56" s="10"/>
      <c r="Q56" s="10"/>
      <c r="R56" s="10"/>
      <c r="S56" s="10"/>
      <c r="T56" s="10"/>
      <c r="U56" s="10"/>
      <c r="V56" s="10"/>
      <c r="W56" s="10"/>
      <c r="X56" s="10"/>
      <c r="Y56" s="10"/>
      <c r="Z56" s="10"/>
      <c r="AA56" s="10"/>
      <c r="AB56" s="10"/>
      <c r="AC56" s="10"/>
      <c r="AD56" s="10"/>
    </row>
    <row r="57" spans="1:30" ht="13.5" thickTop="1">
      <c r="A57" s="10"/>
      <c r="B57" s="314"/>
      <c r="C57" s="314"/>
      <c r="D57" s="314"/>
      <c r="E57" s="314"/>
      <c r="F57" s="314"/>
      <c r="G57" s="314"/>
      <c r="H57" s="314"/>
      <c r="I57" s="314"/>
      <c r="J57" s="314"/>
      <c r="K57" s="314"/>
      <c r="L57" s="10"/>
      <c r="M57" s="10"/>
      <c r="N57" s="10"/>
      <c r="O57" s="10"/>
      <c r="P57" s="10"/>
      <c r="Q57" s="10"/>
      <c r="R57" s="10"/>
      <c r="S57" s="10"/>
      <c r="T57" s="10"/>
      <c r="U57" s="10"/>
      <c r="V57" s="10"/>
      <c r="W57" s="10"/>
      <c r="X57" s="10"/>
      <c r="Y57" s="10"/>
      <c r="Z57" s="10"/>
      <c r="AA57" s="10"/>
      <c r="AB57" s="10"/>
      <c r="AC57" s="10"/>
      <c r="AD57" s="10"/>
    </row>
    <row r="58" spans="1:30" ht="13.5" thickBot="1">
      <c r="A58" s="9" t="s">
        <v>49</v>
      </c>
      <c r="B58" s="314"/>
      <c r="C58" s="314"/>
      <c r="D58" s="314"/>
      <c r="E58" s="314"/>
      <c r="F58" s="314"/>
      <c r="G58" s="314"/>
      <c r="H58" s="314"/>
      <c r="I58" s="314"/>
      <c r="J58" s="314"/>
      <c r="K58" s="314"/>
      <c r="L58" s="10"/>
      <c r="M58" s="10"/>
      <c r="N58" s="10"/>
      <c r="O58" s="10"/>
      <c r="P58" s="10"/>
      <c r="Q58" s="10"/>
      <c r="R58" s="10"/>
      <c r="S58" s="10"/>
      <c r="T58" s="10"/>
      <c r="U58" s="10"/>
      <c r="V58" s="10"/>
      <c r="W58" s="10"/>
      <c r="X58" s="10"/>
      <c r="Y58" s="10"/>
      <c r="Z58" s="10"/>
      <c r="AA58" s="10"/>
      <c r="AB58" s="10"/>
      <c r="AC58" s="10"/>
      <c r="AD58" s="10"/>
    </row>
    <row r="59" spans="1:30" ht="13.5" thickTop="1">
      <c r="A59" s="11"/>
      <c r="B59" s="291" t="s">
        <v>32</v>
      </c>
      <c r="C59" s="31" t="s">
        <v>87</v>
      </c>
      <c r="D59" s="327" t="s">
        <v>90</v>
      </c>
      <c r="E59" s="332" t="s">
        <v>50</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row>
    <row r="60" spans="1:30" ht="12.75">
      <c r="A60" s="12" t="s">
        <v>51</v>
      </c>
      <c r="B60" s="294">
        <f>B23</f>
        <v>5.4372858933454848</v>
      </c>
      <c r="C60" s="294">
        <f t="shared" ref="C60:E60" si="36">C23</f>
        <v>0.02</v>
      </c>
      <c r="D60" s="294">
        <f t="shared" si="36"/>
        <v>1.203387424</v>
      </c>
      <c r="E60" s="345">
        <f t="shared" si="36"/>
        <v>0.13788533725670499</v>
      </c>
      <c r="F60" s="4"/>
      <c r="G60" s="10"/>
      <c r="H60" s="10"/>
      <c r="I60" s="10"/>
      <c r="J60" s="10"/>
      <c r="K60" s="10"/>
      <c r="L60" s="10"/>
      <c r="M60" s="10"/>
      <c r="N60" s="10"/>
      <c r="O60" s="10"/>
      <c r="P60" s="10"/>
      <c r="Q60" s="10"/>
      <c r="R60" s="10"/>
      <c r="S60" s="10"/>
      <c r="T60" s="10"/>
      <c r="U60" s="10"/>
      <c r="V60" s="10"/>
      <c r="W60" s="10"/>
      <c r="X60" s="10"/>
      <c r="Y60" s="10"/>
      <c r="Z60" s="10"/>
      <c r="AA60" s="10"/>
      <c r="AB60" s="10"/>
      <c r="AC60" s="10"/>
      <c r="AD60" s="10"/>
    </row>
    <row r="61" spans="1:30" ht="12.75">
      <c r="A61" s="12" t="s">
        <v>38</v>
      </c>
      <c r="B61" s="294">
        <f t="shared" ref="B61:E61" si="37">B24</f>
        <v>326.12154360376775</v>
      </c>
      <c r="C61" s="294">
        <f t="shared" si="37"/>
        <v>149.83750000000001</v>
      </c>
      <c r="D61" s="294">
        <f t="shared" si="37"/>
        <v>1</v>
      </c>
      <c r="E61" s="346">
        <f t="shared" si="37"/>
        <v>135.01077586206895</v>
      </c>
      <c r="F61" s="4"/>
      <c r="G61" s="10"/>
      <c r="H61" s="10"/>
      <c r="I61" s="10"/>
      <c r="J61" s="10"/>
      <c r="K61" s="10"/>
      <c r="L61" s="10"/>
      <c r="M61" s="10"/>
      <c r="N61" s="10"/>
      <c r="O61" s="10"/>
      <c r="P61" s="10"/>
      <c r="Q61" s="10"/>
      <c r="R61" s="10"/>
      <c r="S61" s="10"/>
      <c r="T61" s="10"/>
      <c r="U61" s="10"/>
      <c r="V61" s="10"/>
      <c r="W61" s="10"/>
      <c r="X61" s="10"/>
      <c r="Y61" s="10"/>
      <c r="Z61" s="10"/>
      <c r="AA61" s="10"/>
      <c r="AB61" s="10"/>
      <c r="AC61" s="10"/>
      <c r="AD61" s="10"/>
    </row>
    <row r="62" spans="1:30" ht="12.75">
      <c r="A62" s="12" t="s">
        <v>52</v>
      </c>
      <c r="B62" s="294">
        <f t="shared" ref="B62:E62" ca="1" si="38">B25</f>
        <v>349.62713332523884</v>
      </c>
      <c r="C62" s="294">
        <f t="shared" ca="1" si="38"/>
        <v>162.68447867870458</v>
      </c>
      <c r="D62" s="294">
        <f t="shared" ca="1" si="38"/>
        <v>1</v>
      </c>
      <c r="E62" s="346">
        <f t="shared" ca="1" si="38"/>
        <v>146.5779788869562</v>
      </c>
      <c r="F62" s="4"/>
      <c r="G62" s="10"/>
      <c r="H62" s="10"/>
      <c r="I62" s="10"/>
      <c r="J62" s="10"/>
      <c r="K62" s="10"/>
      <c r="L62" s="10"/>
      <c r="M62" s="10"/>
      <c r="N62" s="10"/>
      <c r="O62" s="10"/>
      <c r="P62" s="10"/>
      <c r="Q62" s="10"/>
      <c r="R62" s="10"/>
      <c r="S62" s="10"/>
      <c r="T62" s="10"/>
      <c r="U62" s="10"/>
      <c r="V62" s="10"/>
      <c r="W62" s="10"/>
      <c r="X62" s="10"/>
      <c r="Y62" s="10"/>
      <c r="Z62" s="10"/>
      <c r="AA62" s="10"/>
      <c r="AB62" s="10"/>
      <c r="AC62" s="10"/>
      <c r="AD62" s="10"/>
    </row>
    <row r="63" spans="1:30" ht="12.75">
      <c r="A63" s="23" t="s">
        <v>2690</v>
      </c>
      <c r="B63" s="13">
        <f>'Fish and shellfish edible p'!B5</f>
        <v>0.55779220779220784</v>
      </c>
      <c r="C63" s="13">
        <f>'Fish and shellfish edible p'!B7</f>
        <v>0.56999999999999995</v>
      </c>
      <c r="D63" s="13">
        <f>'Fish and shellfish edible p'!B8</f>
        <v>0.23570000000000002</v>
      </c>
      <c r="E63" s="347">
        <f>'Fish and shellfish edible p'!B6</f>
        <v>0.39143749999999999</v>
      </c>
      <c r="F63" s="4"/>
      <c r="G63" s="10"/>
      <c r="H63" s="10"/>
      <c r="I63" s="10"/>
      <c r="J63" s="10"/>
      <c r="K63" s="10"/>
      <c r="L63" s="10"/>
      <c r="M63" s="10"/>
      <c r="N63" s="10"/>
      <c r="O63" s="10"/>
      <c r="P63" s="10"/>
      <c r="Q63" s="10"/>
      <c r="R63" s="10"/>
      <c r="S63" s="10"/>
      <c r="T63" s="10"/>
      <c r="U63" s="10"/>
      <c r="V63" s="10"/>
      <c r="W63" s="10"/>
      <c r="X63" s="10"/>
      <c r="Y63" s="10"/>
      <c r="Z63" s="10"/>
      <c r="AA63" s="10"/>
      <c r="AB63" s="10"/>
      <c r="AC63" s="10"/>
      <c r="AD63" s="10"/>
    </row>
    <row r="64" spans="1:30" ht="12.75">
      <c r="A64" s="235" t="s">
        <v>2686</v>
      </c>
      <c r="B64" s="304">
        <f>B60*B63</f>
        <v>3.0328757028466051</v>
      </c>
      <c r="C64" s="328">
        <f>C60*C63</f>
        <v>1.1399999999999999E-2</v>
      </c>
      <c r="D64" s="329">
        <f>D60*D63</f>
        <v>0.2836384158368</v>
      </c>
      <c r="E64" s="333">
        <f>E60*E63</f>
        <v>5.397349170242146E-2</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row>
    <row r="65" spans="1:30" ht="12.75">
      <c r="A65" s="235" t="s">
        <v>2687</v>
      </c>
      <c r="B65" s="304">
        <f>(B60*B63)/(1+'Fish and shellfish calculations'!I15+'Fish and shellfish calculations'!J15)</f>
        <v>2.5155228752617393</v>
      </c>
      <c r="C65" s="330">
        <f>(C60*C63)/(1+'Fish and shellfish calculations'!I19+'Fish and shellfish calculations'!J19)</f>
        <v>7.3682833151385001E-3</v>
      </c>
      <c r="D65" s="305">
        <f>(D60*D63)/(1+'Fish and shellfish calculations'!I20+'Fish and shellfish calculations'!J20)</f>
        <v>0.2836384158368</v>
      </c>
      <c r="E65" s="333">
        <f>(E60*E63)/(1+'Fish and shellfish calculations'!I22+'Fish and shellfish calculations'!J22)</f>
        <v>3.615916431847379E-2</v>
      </c>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row>
    <row r="66" spans="1:30" ht="12.75">
      <c r="A66" s="235" t="s">
        <v>2688</v>
      </c>
      <c r="B66" s="304">
        <f>(B60*B63)/B61</f>
        <v>9.2998324162585789E-3</v>
      </c>
      <c r="C66" s="330">
        <f t="shared" ref="C66:D66" si="39">(C60*C63)/C61</f>
        <v>7.6082422624509872E-5</v>
      </c>
      <c r="D66" s="305">
        <f t="shared" si="39"/>
        <v>0.2836384158368</v>
      </c>
      <c r="E66" s="333">
        <f>(E60*E63)/E61</f>
        <v>3.9977173198058199E-4</v>
      </c>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row>
    <row r="67" spans="1:30" ht="12.75">
      <c r="A67" s="235" t="s">
        <v>2689</v>
      </c>
      <c r="B67" s="304">
        <f t="shared" ref="B67:D67" ca="1" si="40">(B60*B63)/B62</f>
        <v>8.6746004922486613E-3</v>
      </c>
      <c r="C67" s="330">
        <f t="shared" ca="1" si="40"/>
        <v>7.0074294072728036E-5</v>
      </c>
      <c r="D67" s="305">
        <f t="shared" ca="1" si="40"/>
        <v>0.2836384158368</v>
      </c>
      <c r="E67" s="333">
        <f ca="1">(E60*E63)/E62</f>
        <v>3.6822374078473866E-4</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row>
    <row r="68" spans="1:30" ht="12.75">
      <c r="A68" s="12" t="s">
        <v>44</v>
      </c>
      <c r="B68" s="294">
        <f>Elasticities!D9</f>
        <v>1</v>
      </c>
      <c r="C68" s="73">
        <f>Elasticities!D9</f>
        <v>1</v>
      </c>
      <c r="D68" s="73">
        <f>Elasticities!D9</f>
        <v>1</v>
      </c>
      <c r="E68" s="223">
        <f>Elasticities!D9</f>
        <v>1</v>
      </c>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row>
    <row r="69" spans="1:30" ht="12.75">
      <c r="A69" s="315" t="s">
        <v>45</v>
      </c>
      <c r="B69" s="304">
        <f t="shared" ref="B69:D69" si="41">(1/B64)*B68</f>
        <v>0.32972007361245209</v>
      </c>
      <c r="C69" s="305">
        <f t="shared" si="41"/>
        <v>87.719298245614041</v>
      </c>
      <c r="D69" s="305">
        <f t="shared" si="41"/>
        <v>3.5256155166773335</v>
      </c>
      <c r="E69" s="333">
        <f>(1/E64)*E68</f>
        <v>18.527613620282715</v>
      </c>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row>
    <row r="70" spans="1:30" ht="12.75">
      <c r="A70" s="315" t="s">
        <v>55</v>
      </c>
      <c r="B70" s="304">
        <f t="shared" ref="B70:D70" si="42">(1/B65)*B68</f>
        <v>0.39753166621311298</v>
      </c>
      <c r="C70" s="305">
        <f t="shared" si="42"/>
        <v>135.7168226614537</v>
      </c>
      <c r="D70" s="305">
        <f t="shared" si="42"/>
        <v>3.5256155166773335</v>
      </c>
      <c r="E70" s="333">
        <f>(1/E65)*E68</f>
        <v>27.655506393688917</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row>
    <row r="71" spans="1:30" ht="12.75">
      <c r="A71" s="344" t="s">
        <v>47</v>
      </c>
      <c r="B71" s="304">
        <f t="shared" ref="B71:D71" si="43">((1/B64)*B61)*B68</f>
        <v>107.52881936364081</v>
      </c>
      <c r="C71" s="305">
        <f t="shared" si="43"/>
        <v>13143.640350877195</v>
      </c>
      <c r="D71" s="305">
        <f t="shared" si="43"/>
        <v>3.5256155166773335</v>
      </c>
      <c r="E71" s="333">
        <f>((1/E64)*E61)*E68</f>
        <v>2501.4274897470054</v>
      </c>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row>
    <row r="72" spans="1:30" ht="13.5" thickBot="1">
      <c r="A72" s="316" t="s">
        <v>56</v>
      </c>
      <c r="B72" s="317">
        <f t="shared" ref="B72:D72" ca="1" si="44">((1/B64)*B62)*B68</f>
        <v>115.27908413690835</v>
      </c>
      <c r="C72" s="331">
        <f t="shared" ca="1" si="44"/>
        <v>14270.568305149525</v>
      </c>
      <c r="D72" s="331">
        <f t="shared" ca="1" si="44"/>
        <v>3.5256155166773335</v>
      </c>
      <c r="E72" s="334">
        <f ca="1">((1/E64)*E62)*E68</f>
        <v>2715.7401580594819</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row>
    <row r="73" spans="1:30" ht="13.5" thickTop="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row>
    <row r="74" spans="1:30" ht="12.7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row>
    <row r="75" spans="1:30" ht="12.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row>
    <row r="76" spans="1:30" ht="12.7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row>
    <row r="77" spans="1:30" ht="12.7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row>
    <row r="78" spans="1:30" ht="12.7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row>
    <row r="79" spans="1:30" ht="12.7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row>
    <row r="80" spans="1:30" ht="12.7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row>
    <row r="81" spans="1:30" ht="12.7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row>
    <row r="82" spans="1:30" ht="12.7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row>
    <row r="83" spans="1:30" ht="12.7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row>
    <row r="84" spans="1:30" ht="12.7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row>
    <row r="85" spans="1:30" ht="12.7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row>
    <row r="86" spans="1:30" ht="12.7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row>
    <row r="87" spans="1:30" ht="12.7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row>
    <row r="88" spans="1:30" ht="12.7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row>
    <row r="89" spans="1:30" ht="12.7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row>
    <row r="90" spans="1:30" ht="12.7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row>
    <row r="91" spans="1:30" ht="12.7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row>
    <row r="92" spans="1:30" ht="12.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row>
    <row r="93" spans="1:30" ht="12.7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row>
    <row r="94" spans="1:30" ht="12.7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row>
    <row r="95" spans="1:30" ht="12.7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spans="1:30" ht="12.7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row>
    <row r="97" spans="1:30" ht="12.7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row>
    <row r="98" spans="1:30" ht="12.7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row>
    <row r="99" spans="1:30" ht="12.7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row>
    <row r="100" spans="1:30" ht="12.7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row>
    <row r="101" spans="1:30" ht="12.7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row>
    <row r="102" spans="1:30" ht="12.7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row>
    <row r="103" spans="1:30" ht="12.7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row>
    <row r="104" spans="1:30" ht="12.7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row>
    <row r="105" spans="1:30" ht="12.7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row>
    <row r="106" spans="1:30" ht="12.7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row>
    <row r="107" spans="1:30" ht="12.7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row>
    <row r="108" spans="1:30" ht="12.7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row>
    <row r="109" spans="1:30" ht="12.7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spans="1:30" ht="12.7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spans="1:30" ht="12.7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spans="1:30" ht="12.7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spans="1:30" ht="12.7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spans="1:30" ht="12.7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spans="1:30" ht="12.7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spans="1:30" ht="12.7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spans="1:30" ht="12.7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spans="1:30" ht="12.7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spans="1:30" ht="12.7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spans="1:30" ht="12.7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spans="1:30" ht="12.7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spans="1:30" ht="12.7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spans="1:30" ht="12.7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spans="1:30" ht="12.7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spans="1:30" ht="12.7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spans="1:30" ht="12.7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spans="1:30" ht="12.7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spans="1:30" ht="12.7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spans="1:30" ht="12.7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spans="1:30" ht="12.7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spans="1:30" ht="12.7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spans="1:30" ht="12.7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spans="1:30" ht="12.7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spans="1:30" ht="12.7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spans="1:30" ht="12.7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spans="1:30" ht="12.7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spans="1:30" ht="12.7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spans="1:30" ht="12.7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spans="1:30" ht="12.7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spans="1:30" ht="12.7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spans="1:30" ht="12.7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spans="1:30" ht="12.7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spans="1:30" ht="12.7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spans="1:30" ht="12.7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spans="1:30" ht="12.7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6" spans="1:30" ht="12.7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row>
    <row r="147" spans="1:30" ht="12.7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row>
    <row r="148" spans="1:30" ht="12.7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row>
    <row r="149" spans="1:30" ht="12.7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row>
    <row r="150" spans="1:30" ht="12.7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row>
    <row r="151" spans="1:30" ht="12.7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row>
    <row r="152" spans="1:30" ht="12.7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row>
    <row r="153" spans="1:30" ht="12.7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row>
    <row r="154" spans="1:30" ht="12.7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row>
    <row r="155" spans="1:30" ht="12.7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row>
    <row r="156" spans="1:30" ht="12.7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row>
    <row r="157" spans="1:30" ht="12.7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row>
    <row r="158" spans="1:30" ht="12.7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row>
    <row r="159" spans="1:30" ht="12.7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row>
    <row r="160" spans="1:30" ht="12.7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row>
    <row r="161" spans="1:30" ht="12.7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row>
    <row r="162" spans="1:30" ht="12.7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row>
    <row r="163" spans="1:30" ht="12.7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row>
    <row r="164" spans="1:30" ht="12.7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row>
    <row r="165" spans="1:30" ht="12.7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row>
    <row r="166" spans="1:30" ht="12.7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row>
    <row r="167" spans="1:30" ht="12.7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row>
    <row r="168" spans="1:30" ht="12.7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row>
    <row r="169" spans="1:30" ht="12.7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row>
    <row r="170" spans="1:30" ht="12.7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row>
    <row r="171" spans="1:30" ht="12.7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row>
    <row r="172" spans="1:30" ht="12.7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row>
    <row r="173" spans="1:30" ht="12.7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row>
    <row r="174" spans="1:30" ht="12.7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row>
    <row r="175" spans="1:30" ht="12.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row>
    <row r="176" spans="1:30" ht="12.7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row>
    <row r="177" spans="1:30" ht="12.7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row>
    <row r="178" spans="1:30" ht="12.7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row>
    <row r="179" spans="1:30" ht="12.7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row>
    <row r="180" spans="1:30" ht="12.7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row>
    <row r="181" spans="1:30" ht="12.7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row>
    <row r="182" spans="1:30" ht="12.7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row>
    <row r="183" spans="1:30" ht="12.7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row>
    <row r="184" spans="1:30" ht="12.7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row>
    <row r="185" spans="1:30" ht="12.7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row>
    <row r="186" spans="1:30" ht="12.7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row>
    <row r="187" spans="1:30" ht="12.7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row>
    <row r="188" spans="1:30" ht="12.7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row>
    <row r="189" spans="1:30" ht="12.7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row>
    <row r="190" spans="1:30" ht="12.7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row>
    <row r="191" spans="1:30" ht="12.7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row>
    <row r="192" spans="1:30" ht="12.7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row>
    <row r="193" spans="1:30" ht="12.7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row>
    <row r="194" spans="1:30" ht="12.7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row>
    <row r="195" spans="1:30" ht="12.7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row>
    <row r="196" spans="1:30" ht="12.7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row>
    <row r="197" spans="1:30" ht="12.7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row>
    <row r="198" spans="1:30" ht="12.7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row>
    <row r="199" spans="1:30" ht="12.7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row>
    <row r="200" spans="1:30" ht="12.7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row>
    <row r="201" spans="1:30" ht="12.7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row>
    <row r="202" spans="1:30" ht="12.7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row>
    <row r="203" spans="1:30" ht="12.7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row>
    <row r="204" spans="1:30" ht="12.7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row>
    <row r="205" spans="1:30" ht="12.7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row>
    <row r="206" spans="1:30" ht="12.7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row>
    <row r="207" spans="1:30" ht="12.7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row>
    <row r="208" spans="1:30" ht="12.7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row>
    <row r="209" spans="1:30" ht="12.7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row>
    <row r="210" spans="1:30" ht="12.7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row>
    <row r="211" spans="1:30" ht="12.7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row>
    <row r="212" spans="1:30" ht="12.7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row>
    <row r="213" spans="1:30" ht="12.7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row>
    <row r="214" spans="1:30" ht="12.7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row>
    <row r="215" spans="1:30" ht="12.7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row>
    <row r="216" spans="1:30" ht="12.7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row>
    <row r="217" spans="1:30" ht="12.7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row>
    <row r="218" spans="1:30" ht="12.7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row>
    <row r="219" spans="1:30" ht="12.7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row>
    <row r="220" spans="1:30" ht="12.7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row>
    <row r="221" spans="1:30" ht="12.7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row>
    <row r="222" spans="1:30" ht="12.7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row>
    <row r="223" spans="1:30" ht="12.7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row>
    <row r="224" spans="1:30" ht="12.7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row>
    <row r="225" spans="1:30" ht="12.7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row>
    <row r="226" spans="1:30" ht="12.7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row>
    <row r="227" spans="1:30" ht="12.7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row>
    <row r="228" spans="1:30" ht="12.7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row>
    <row r="229" spans="1:30" ht="12.7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row>
    <row r="230" spans="1:30" ht="12.7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row>
    <row r="231" spans="1:30" ht="12.7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row>
    <row r="232" spans="1:30" ht="12.7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row>
    <row r="233" spans="1:30" ht="12.7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row>
    <row r="234" spans="1:30" ht="12.7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row>
    <row r="235" spans="1:30" ht="12.7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row>
    <row r="236" spans="1:30" ht="12.7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row>
    <row r="237" spans="1:30" ht="12.7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row>
    <row r="238" spans="1:30" ht="12.7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row>
    <row r="239" spans="1:30" ht="12.7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row>
    <row r="240" spans="1:30" ht="12.7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row>
    <row r="241" spans="1:30" ht="12.7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row>
    <row r="242" spans="1:30" ht="12.7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row>
    <row r="243" spans="1:30" ht="12.7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row>
    <row r="244" spans="1:30" ht="12.7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row>
    <row r="245" spans="1:30" ht="12.7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row>
    <row r="246" spans="1:30" ht="12.7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row>
    <row r="247" spans="1:30" ht="12.7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row>
    <row r="248" spans="1:30" ht="12.7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row>
    <row r="249" spans="1:30" ht="12.7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row>
    <row r="250" spans="1:30" ht="12.7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row>
    <row r="251" spans="1:30" ht="12.7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row>
    <row r="252" spans="1:30" ht="12.7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row>
    <row r="253" spans="1:30" ht="12.7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row>
    <row r="254" spans="1:30" ht="12.7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row>
    <row r="255" spans="1:30" ht="12.7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row>
    <row r="256" spans="1:30" ht="12.7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row>
    <row r="257" spans="1:30" ht="12.7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row>
    <row r="258" spans="1:30" ht="12.7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row>
    <row r="259" spans="1:30" ht="12.7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row>
    <row r="260" spans="1:30" ht="12.7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row>
    <row r="261" spans="1:30" ht="12.7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row>
    <row r="262" spans="1:30" ht="12.7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row>
    <row r="263" spans="1:30" ht="12.7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row>
    <row r="264" spans="1:30" ht="12.7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row>
    <row r="265" spans="1:30" ht="12.7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row>
    <row r="266" spans="1:30" ht="12.7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row>
    <row r="267" spans="1:30" ht="12.7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row>
    <row r="268" spans="1:30" ht="12.7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row>
    <row r="269" spans="1:30" ht="12.7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row>
    <row r="270" spans="1:30" ht="12.7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row>
    <row r="271" spans="1:30" ht="12.7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row>
    <row r="272" spans="1:30" ht="12.7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row>
    <row r="273" spans="1:30" ht="12.7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row>
    <row r="274" spans="1:30" ht="12.7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row>
    <row r="275" spans="1:30" ht="1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row>
    <row r="276" spans="1:30" ht="12.7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row>
    <row r="277" spans="1:30" ht="12.7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row>
    <row r="278" spans="1:30" ht="12.7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row>
    <row r="279" spans="1:30" ht="12.7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row>
    <row r="280" spans="1:30" ht="12.7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row>
    <row r="281" spans="1:30" ht="12.7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row>
    <row r="282" spans="1:30" ht="12.7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row>
    <row r="283" spans="1:30" ht="12.7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row>
    <row r="284" spans="1:30" ht="12.7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row>
    <row r="285" spans="1:30" ht="12.7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row>
    <row r="286" spans="1:30" ht="12.7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row>
    <row r="287" spans="1:30" ht="12.7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row>
    <row r="288" spans="1:30" ht="12.7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row>
    <row r="289" spans="1:30" ht="12.7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row>
    <row r="290" spans="1:30" ht="12.7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row>
    <row r="291" spans="1:30" ht="12.7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row>
    <row r="292" spans="1:30" ht="12.7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row>
    <row r="293" spans="1:30" ht="12.7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row>
    <row r="294" spans="1:30" ht="12.7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row>
    <row r="295" spans="1:30" ht="12.7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row>
    <row r="296" spans="1:30" ht="12.7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row>
    <row r="297" spans="1:30" ht="12.7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row>
    <row r="298" spans="1:30" ht="12.7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row>
    <row r="299" spans="1:30" ht="12.7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row>
    <row r="300" spans="1:30" ht="12.7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row>
    <row r="301" spans="1:30" ht="12.7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row>
    <row r="302" spans="1:30" ht="12.7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row>
    <row r="303" spans="1:30" ht="12.7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row>
    <row r="304" spans="1:30" ht="12.7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row>
    <row r="305" spans="1:30" ht="12.7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row>
    <row r="306" spans="1:30" ht="12.7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row>
    <row r="307" spans="1:30" ht="12.7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row>
    <row r="308" spans="1:30" ht="12.7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row>
    <row r="309" spans="1:30" ht="12.7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row>
    <row r="310" spans="1:30" ht="12.7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row>
    <row r="311" spans="1:30" ht="12.7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row>
    <row r="312" spans="1:30" ht="12.7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row>
    <row r="313" spans="1:30" ht="12.7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row>
    <row r="314" spans="1:30" ht="12.7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row>
    <row r="315" spans="1:30" ht="12.7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row>
    <row r="316" spans="1:30" ht="12.7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row>
    <row r="317" spans="1:30" ht="12.7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row>
    <row r="318" spans="1:30" ht="12.7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row>
    <row r="319" spans="1:30" ht="12.7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row>
    <row r="320" spans="1:30" ht="12.7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row>
    <row r="321" spans="1:30" ht="12.7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row>
    <row r="322" spans="1:30" ht="12.7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row>
    <row r="323" spans="1:30" ht="12.7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row>
    <row r="324" spans="1:30" ht="12.7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row>
    <row r="325" spans="1:30" ht="12.7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row>
    <row r="326" spans="1:30" ht="12.7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row>
    <row r="327" spans="1:30" ht="12.7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row>
    <row r="328" spans="1:30" ht="12.7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row>
    <row r="329" spans="1:30" ht="12.7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row>
    <row r="330" spans="1:30" ht="12.7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row>
    <row r="331" spans="1:30" ht="12.7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row>
    <row r="332" spans="1:30" ht="12.7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row>
    <row r="333" spans="1:30" ht="12.7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row>
    <row r="334" spans="1:30" ht="12.7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row>
    <row r="335" spans="1:30" ht="12.7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row>
    <row r="336" spans="1:30" ht="12.7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row>
    <row r="337" spans="1:30" ht="12.7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row>
    <row r="338" spans="1:30" ht="12.7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row>
    <row r="339" spans="1:30" ht="12.7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row>
    <row r="340" spans="1:30" ht="12.7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row>
    <row r="341" spans="1:30" ht="12.7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row>
    <row r="342" spans="1:30" ht="12.7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row>
    <row r="343" spans="1:30" ht="12.7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row>
    <row r="344" spans="1:30" ht="12.7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row>
    <row r="345" spans="1:30" ht="12.7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row>
    <row r="346" spans="1:30" ht="12.7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row>
    <row r="347" spans="1:30" ht="12.7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row>
    <row r="348" spans="1:30" ht="12.7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row>
    <row r="349" spans="1:30" ht="12.7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row>
    <row r="350" spans="1:30" ht="12.7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row>
    <row r="351" spans="1:30" ht="12.7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row>
    <row r="352" spans="1:30" ht="12.7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row>
    <row r="353" spans="1:30" ht="12.7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row>
    <row r="354" spans="1:30" ht="12.7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row>
    <row r="355" spans="1:30" ht="12.7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row>
    <row r="356" spans="1:30" ht="12.7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row>
    <row r="357" spans="1:30" ht="12.7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row>
    <row r="358" spans="1:30" ht="12.7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row>
    <row r="359" spans="1:30" ht="12.7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row>
    <row r="360" spans="1:30" ht="12.7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row>
    <row r="361" spans="1:30" ht="12.7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row>
    <row r="362" spans="1:30" ht="12.7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row>
    <row r="363" spans="1:30" ht="12.7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row>
    <row r="364" spans="1:30" ht="12.7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row>
    <row r="365" spans="1:30" ht="12.7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row>
    <row r="366" spans="1:30" ht="12.7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row>
    <row r="367" spans="1:30" ht="12.7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row>
    <row r="368" spans="1:30" ht="12.7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row>
    <row r="369" spans="1:30" ht="12.7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row>
    <row r="370" spans="1:30" ht="12.7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row>
    <row r="371" spans="1:30" ht="12.7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row>
    <row r="372" spans="1:30" ht="12.7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row>
    <row r="373" spans="1:30" ht="12.7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row>
    <row r="374" spans="1:30" ht="12.7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row>
    <row r="375" spans="1:30" ht="12.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row>
    <row r="376" spans="1:30" ht="12.7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row>
    <row r="377" spans="1:30" ht="12.7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row>
    <row r="378" spans="1:30" ht="12.7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row>
    <row r="379" spans="1:30" ht="12.7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row>
    <row r="380" spans="1:30" ht="12.7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row>
    <row r="381" spans="1:30" ht="12.7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row>
    <row r="382" spans="1:30" ht="12.7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row>
    <row r="383" spans="1:30" ht="12.7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row>
    <row r="384" spans="1:30" ht="12.7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row>
    <row r="385" spans="1:30" ht="12.7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row>
    <row r="386" spans="1:30" ht="12.7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row>
    <row r="387" spans="1:30" ht="12.7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row>
    <row r="388" spans="1:30" ht="12.7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row>
    <row r="389" spans="1:30" ht="12.7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row>
    <row r="390" spans="1:30" ht="12.7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row>
    <row r="391" spans="1:30" ht="12.7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row>
    <row r="392" spans="1:30" ht="12.7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row>
    <row r="393" spans="1:30" ht="12.7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row>
    <row r="394" spans="1:30" ht="12.7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row>
    <row r="395" spans="1:30" ht="12.7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row>
    <row r="396" spans="1:30" ht="12.7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row>
    <row r="397" spans="1:30" ht="12.7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row>
    <row r="398" spans="1:30" ht="12.7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row>
    <row r="399" spans="1:30" ht="12.7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row>
    <row r="400" spans="1:30" ht="12.7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row>
    <row r="401" spans="1:30" ht="12.7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row>
    <row r="402" spans="1:30" ht="12.7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row>
    <row r="403" spans="1:30" ht="12.7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row>
    <row r="404" spans="1:30" ht="12.7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row>
    <row r="405" spans="1:30" ht="12.7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row>
    <row r="406" spans="1:30" ht="12.7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row>
    <row r="407" spans="1:30" ht="12.7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row>
    <row r="408" spans="1:30" ht="12.7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row>
    <row r="409" spans="1:30" ht="12.7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row>
    <row r="410" spans="1:30" ht="12.7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row>
    <row r="411" spans="1:30" ht="12.7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row>
    <row r="412" spans="1:30" ht="12.7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row>
    <row r="413" spans="1:30" ht="12.7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row>
    <row r="414" spans="1:30" ht="12.7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row>
    <row r="415" spans="1:30" ht="12.7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row>
    <row r="416" spans="1:30" ht="12.7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row>
    <row r="417" spans="1:30" ht="12.7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row>
    <row r="418" spans="1:30" ht="12.7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row>
    <row r="419" spans="1:30" ht="12.7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row>
    <row r="420" spans="1:30" ht="12.7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row>
    <row r="421" spans="1:30" ht="12.7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row>
    <row r="422" spans="1:30" ht="12.7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row>
    <row r="423" spans="1:30" ht="12.7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row>
    <row r="424" spans="1:30" ht="12.7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row>
    <row r="425" spans="1:30" ht="12.7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row>
    <row r="426" spans="1:30" ht="12.7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row>
    <row r="427" spans="1:30" ht="12.7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row>
    <row r="428" spans="1:30" ht="12.7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row>
    <row r="429" spans="1:30" ht="12.7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row>
    <row r="430" spans="1:30" ht="12.7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row>
    <row r="431" spans="1:30" ht="12.7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row>
    <row r="432" spans="1:30" ht="12.7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row>
    <row r="433" spans="1:30" ht="12.7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row>
    <row r="434" spans="1:30" ht="12.7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row>
    <row r="435" spans="1:30" ht="12.7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row>
    <row r="436" spans="1:30" ht="12.7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row>
    <row r="437" spans="1:30" ht="12.7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row>
    <row r="438" spans="1:30" ht="12.7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row>
    <row r="439" spans="1:30" ht="12.7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row>
    <row r="440" spans="1:30" ht="12.7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row>
    <row r="441" spans="1:30" ht="12.7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row>
    <row r="442" spans="1:30" ht="12.7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row>
    <row r="443" spans="1:30" ht="12.7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row>
    <row r="444" spans="1:30" ht="12.7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row>
    <row r="445" spans="1:30" ht="12.7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row>
    <row r="446" spans="1:30" ht="12.7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row>
    <row r="447" spans="1:30" ht="12.7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row>
    <row r="448" spans="1:30" ht="12.7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row>
    <row r="449" spans="1:30" ht="12.7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row>
    <row r="450" spans="1:30" ht="12.7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row>
    <row r="451" spans="1:30" ht="12.7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row>
    <row r="452" spans="1:30" ht="12.7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row>
    <row r="453" spans="1:30" ht="12.7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row>
    <row r="454" spans="1:30" ht="12.7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row>
    <row r="455" spans="1:30" ht="12.7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row>
    <row r="456" spans="1:30" ht="12.7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row>
    <row r="457" spans="1:30" ht="12.7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row>
    <row r="458" spans="1:30" ht="12.7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row>
    <row r="459" spans="1:30" ht="12.7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row>
    <row r="460" spans="1:30" ht="12.7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row>
    <row r="461" spans="1:30" ht="12.7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row>
    <row r="462" spans="1:30" ht="12.7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row>
    <row r="463" spans="1:30" ht="12.7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row>
    <row r="464" spans="1:30" ht="12.7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row>
    <row r="465" spans="1:30" ht="12.7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row>
    <row r="466" spans="1:30" ht="12.7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row>
    <row r="467" spans="1:30" ht="12.7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row>
    <row r="468" spans="1:30" ht="12.7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row>
    <row r="469" spans="1:30" ht="12.7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row>
    <row r="470" spans="1:30" ht="12.7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row>
    <row r="471" spans="1:30" ht="12.7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row>
    <row r="472" spans="1:30" ht="12.7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row>
    <row r="473" spans="1:30" ht="12.7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row>
    <row r="474" spans="1:30" ht="12.7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row>
    <row r="475" spans="1:30" ht="12.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row>
    <row r="476" spans="1:30" ht="12.7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row>
    <row r="477" spans="1:30" ht="12.7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row>
    <row r="478" spans="1:30" ht="12.7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row>
    <row r="479" spans="1:30" ht="12.7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row>
    <row r="480" spans="1:30" ht="12.7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row>
    <row r="481" spans="1:30" ht="12.7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row>
    <row r="482" spans="1:30" ht="12.7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row>
    <row r="483" spans="1:30" ht="12.7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row>
    <row r="484" spans="1:30" ht="12.7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row>
    <row r="485" spans="1:30" ht="12.7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row>
    <row r="486" spans="1:30" ht="12.7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row>
    <row r="487" spans="1:30" ht="12.7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row>
    <row r="488" spans="1:30" ht="12.7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row>
    <row r="489" spans="1:30" ht="12.7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row>
    <row r="490" spans="1:30" ht="12.7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row>
    <row r="491" spans="1:30" ht="12.7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row>
    <row r="492" spans="1:30" ht="12.7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row>
    <row r="493" spans="1:30" ht="12.7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row>
    <row r="494" spans="1:30" ht="12.7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row>
    <row r="495" spans="1:30" ht="12.7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row>
    <row r="496" spans="1:30" ht="12.7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row>
    <row r="497" spans="1:30" ht="12.7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row>
    <row r="498" spans="1:30" ht="12.7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row>
    <row r="499" spans="1:30" ht="12.7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row>
    <row r="500" spans="1:30" ht="12.7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row>
    <row r="501" spans="1:30" ht="12.7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row>
    <row r="502" spans="1:30" ht="12.7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row>
    <row r="503" spans="1:30" ht="12.7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row>
    <row r="504" spans="1:30" ht="12.7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row>
    <row r="505" spans="1:30" ht="12.7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row>
    <row r="506" spans="1:30" ht="12.7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row>
    <row r="507" spans="1:30" ht="12.7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row>
    <row r="508" spans="1:30" ht="12.7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row>
    <row r="509" spans="1:30" ht="12.7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row>
    <row r="510" spans="1:30" ht="12.7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row>
    <row r="511" spans="1:30" ht="12.7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row>
    <row r="512" spans="1:30" ht="12.7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row>
    <row r="513" spans="1:30" ht="12.7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row>
    <row r="514" spans="1:30" ht="12.7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row>
    <row r="515" spans="1:30" ht="12.7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row>
    <row r="516" spans="1:30" ht="12.7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row>
    <row r="517" spans="1:30" ht="12.7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row>
    <row r="518" spans="1:30" ht="12.7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row>
    <row r="519" spans="1:30" ht="12.7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row>
    <row r="520" spans="1:30" ht="12.7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row>
    <row r="521" spans="1:30" ht="12.7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row>
    <row r="522" spans="1:30" ht="12.7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row>
    <row r="523" spans="1:30" ht="12.7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row>
    <row r="524" spans="1:30" ht="12.7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row>
    <row r="525" spans="1:30" ht="12.7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row>
    <row r="526" spans="1:30" ht="12.7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row>
    <row r="527" spans="1:30" ht="12.7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row>
    <row r="528" spans="1:30" ht="12.7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row>
    <row r="529" spans="1:30" ht="12.7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row>
    <row r="530" spans="1:30" ht="12.7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row>
    <row r="531" spans="1:30" ht="12.7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row>
    <row r="532" spans="1:30" ht="12.7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row>
    <row r="533" spans="1:30" ht="12.7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row>
    <row r="534" spans="1:30" ht="12.7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row>
    <row r="535" spans="1:30" ht="12.7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row>
    <row r="536" spans="1:30" ht="12.7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row>
    <row r="537" spans="1:30" ht="12.7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row>
    <row r="538" spans="1:30" ht="12.7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row>
    <row r="539" spans="1:30" ht="12.7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row>
    <row r="540" spans="1:30" ht="12.7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row>
    <row r="541" spans="1:30" ht="12.7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row>
    <row r="542" spans="1:30" ht="12.7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row>
    <row r="543" spans="1:30" ht="12.7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row>
    <row r="544" spans="1:30" ht="12.7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row>
    <row r="545" spans="1:30" ht="12.7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row>
    <row r="546" spans="1:30" ht="12.7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row>
    <row r="547" spans="1:30" ht="12.7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row>
    <row r="548" spans="1:30" ht="12.7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row>
    <row r="549" spans="1:30" ht="12.7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row>
    <row r="550" spans="1:30" ht="12.7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row>
    <row r="551" spans="1:30" ht="12.7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spans="1:30" ht="12.7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row>
    <row r="553" spans="1:30" ht="12.7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row>
    <row r="554" spans="1:30" ht="12.7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row>
    <row r="555" spans="1:30" ht="12.7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row>
    <row r="556" spans="1:30" ht="12.7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row>
    <row r="557" spans="1:30" ht="12.7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row>
    <row r="558" spans="1:30" ht="12.7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row>
    <row r="559" spans="1:30" ht="12.7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row>
    <row r="560" spans="1:30" ht="12.7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row>
    <row r="561" spans="1:30" ht="12.7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row>
    <row r="562" spans="1:30" ht="12.7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row>
    <row r="563" spans="1:30" ht="12.7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row>
    <row r="564" spans="1:30" ht="12.7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row>
    <row r="565" spans="1:30" ht="12.7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row>
    <row r="566" spans="1:30" ht="12.7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row>
    <row r="567" spans="1:30" ht="12.7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row>
    <row r="568" spans="1:30" ht="12.7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row>
    <row r="569" spans="1:30" ht="12.7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row>
    <row r="570" spans="1:30" ht="12.7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row>
    <row r="571" spans="1:30" ht="12.7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row>
    <row r="572" spans="1:30" ht="12.7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row>
    <row r="573" spans="1:30" ht="12.7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row>
    <row r="574" spans="1:30" ht="12.7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row>
    <row r="575" spans="1:30" ht="12.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row>
    <row r="576" spans="1:30" ht="12.7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row>
    <row r="577" spans="1:30" ht="12.7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row>
    <row r="578" spans="1:30" ht="12.7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spans="1:30" ht="12.7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row>
    <row r="580" spans="1:30" ht="12.7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spans="1:30" ht="12.7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spans="1:30" ht="12.7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row>
    <row r="583" spans="1:30" ht="12.7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spans="1:30" ht="12.7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row>
    <row r="585" spans="1:30" ht="12.7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spans="1:30" ht="12.7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row>
    <row r="587" spans="1:30" ht="12.7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row>
    <row r="588" spans="1:30" ht="12.7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row>
    <row r="589" spans="1:30" ht="12.7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row>
    <row r="590" spans="1:30" ht="12.7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row>
    <row r="591" spans="1:30" ht="12.7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row>
    <row r="592" spans="1:30" ht="12.7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row>
    <row r="593" spans="1:30" ht="12.7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row>
    <row r="594" spans="1:30" ht="12.7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row>
    <row r="595" spans="1:30" ht="12.7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row>
    <row r="596" spans="1:30" ht="12.7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row>
    <row r="597" spans="1:30" ht="12.7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row>
    <row r="598" spans="1:30" ht="12.7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row>
    <row r="599" spans="1:30" ht="12.7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row>
    <row r="600" spans="1:30" ht="12.7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row>
    <row r="601" spans="1:30" ht="12.7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row>
    <row r="602" spans="1:30" ht="12.7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row>
    <row r="603" spans="1:30" ht="12.7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row>
    <row r="604" spans="1:30" ht="12.7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row>
    <row r="605" spans="1:30" ht="12.7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row>
    <row r="606" spans="1:30" ht="12.7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row>
    <row r="607" spans="1:30" ht="12.7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row>
    <row r="608" spans="1:30" ht="12.7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row>
    <row r="609" spans="1:30" ht="12.7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row>
    <row r="610" spans="1:30" ht="12.7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row>
    <row r="611" spans="1:30" ht="12.7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row>
    <row r="612" spans="1:30" ht="12.7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row>
    <row r="613" spans="1:30" ht="12.7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row>
    <row r="614" spans="1:30" ht="12.7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row>
    <row r="615" spans="1:30" ht="12.7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row>
    <row r="616" spans="1:30" ht="12.7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row>
    <row r="617" spans="1:30" ht="12.7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row>
    <row r="618" spans="1:30" ht="12.7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row>
    <row r="619" spans="1:30" ht="12.7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row>
    <row r="620" spans="1:30" ht="12.7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row>
    <row r="621" spans="1:30" ht="12.7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row>
    <row r="622" spans="1:30" ht="12.7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row>
    <row r="623" spans="1:30" ht="12.7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row>
    <row r="624" spans="1:30" ht="12.7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row>
    <row r="625" spans="1:30" ht="12.7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spans="1:30" ht="12.7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row>
    <row r="627" spans="1:30" ht="12.7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row>
    <row r="628" spans="1:30" ht="12.7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row>
    <row r="629" spans="1:30" ht="12.7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row>
    <row r="630" spans="1:30" ht="12.7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row>
    <row r="631" spans="1:30" ht="12.7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row>
    <row r="632" spans="1:30" ht="12.7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row>
    <row r="633" spans="1:30" ht="12.7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row>
    <row r="634" spans="1:30" ht="12.7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row>
    <row r="635" spans="1:30" ht="12.7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row>
    <row r="636" spans="1:30" ht="12.7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row>
    <row r="637" spans="1:30" ht="12.7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row>
    <row r="638" spans="1:30" ht="12.7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row>
    <row r="639" spans="1:30" ht="12.7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row>
    <row r="640" spans="1:30" ht="12.7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row>
    <row r="641" spans="1:30" ht="12.7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row>
    <row r="642" spans="1:30" ht="12.7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row>
    <row r="643" spans="1:30" ht="12.7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row>
    <row r="644" spans="1:30" ht="12.7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row>
    <row r="645" spans="1:30" ht="12.7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row>
    <row r="646" spans="1:30" ht="12.7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row>
    <row r="647" spans="1:30" ht="12.7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row>
    <row r="648" spans="1:30" ht="12.7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row>
    <row r="649" spans="1:30" ht="12.7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row>
    <row r="650" spans="1:30" ht="12.7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row>
    <row r="651" spans="1:30" ht="12.7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row>
    <row r="652" spans="1:30" ht="12.7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row>
    <row r="653" spans="1:30" ht="12.7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row>
    <row r="654" spans="1:30" ht="12.7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row>
    <row r="655" spans="1:30" ht="12.7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row>
    <row r="656" spans="1:30" ht="12.7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row>
    <row r="657" spans="1:30" ht="12.7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row>
    <row r="658" spans="1:30" ht="12.7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row>
    <row r="659" spans="1:30" ht="12.7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row>
    <row r="660" spans="1:30" ht="12.7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row>
    <row r="661" spans="1:30" ht="12.7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spans="1:30" ht="12.7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row>
    <row r="663" spans="1:30" ht="12.7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spans="1:30" ht="12.7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row>
    <row r="665" spans="1:30" ht="12.7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row>
    <row r="666" spans="1:30" ht="12.7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row>
    <row r="667" spans="1:30" ht="12.7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row>
    <row r="668" spans="1:30" ht="12.7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row>
    <row r="669" spans="1:30" ht="12.7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row>
    <row r="670" spans="1:30" ht="12.7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row>
    <row r="671" spans="1:30" ht="12.7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row>
    <row r="672" spans="1:30" ht="12.7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row>
    <row r="673" spans="1:30" ht="12.7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row>
    <row r="674" spans="1:30" ht="12.7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row>
    <row r="675" spans="1:30" ht="12.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row>
    <row r="676" spans="1:30" ht="12.7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row>
    <row r="677" spans="1:30" ht="12.7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row>
    <row r="678" spans="1:30" ht="12.7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row>
    <row r="679" spans="1:30" ht="12.7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row>
    <row r="680" spans="1:30" ht="12.7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row>
    <row r="681" spans="1:30" ht="12.7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row>
    <row r="682" spans="1:30" ht="12.7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row>
    <row r="683" spans="1:30" ht="12.7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row>
    <row r="684" spans="1:30" ht="12.7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row>
    <row r="685" spans="1:30" ht="12.7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row>
    <row r="686" spans="1:30" ht="12.7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row>
    <row r="687" spans="1:30" ht="12.7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row>
    <row r="688" spans="1:30" ht="12.7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row>
    <row r="689" spans="1:30" ht="12.7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row>
    <row r="690" spans="1:30" ht="12.7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row>
    <row r="691" spans="1:30" ht="12.7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row>
    <row r="692" spans="1:30" ht="12.7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row>
    <row r="693" spans="1:30" ht="12.7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row>
    <row r="694" spans="1:30" ht="12.7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row>
    <row r="695" spans="1:30" ht="12.7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row>
    <row r="696" spans="1:30" ht="12.7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row>
    <row r="697" spans="1:30" ht="12.7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row>
    <row r="698" spans="1:30" ht="12.7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row>
    <row r="699" spans="1:30" ht="12.7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row>
    <row r="700" spans="1:30" ht="12.7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row>
    <row r="701" spans="1:30" ht="12.7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row>
    <row r="702" spans="1:30" ht="12.7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row>
    <row r="703" spans="1:30" ht="12.7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row>
    <row r="704" spans="1:30" ht="12.7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row>
    <row r="705" spans="1:30" ht="12.7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row>
    <row r="706" spans="1:30" ht="12.7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row>
    <row r="707" spans="1:30" ht="12.7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row>
    <row r="708" spans="1:30" ht="12.7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row>
    <row r="709" spans="1:30" ht="12.7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row>
    <row r="710" spans="1:30" ht="12.7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row>
    <row r="711" spans="1:30" ht="12.7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row>
    <row r="712" spans="1:30" ht="12.7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row>
    <row r="713" spans="1:30" ht="12.7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row>
    <row r="714" spans="1:30" ht="12.7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row>
    <row r="715" spans="1:30" ht="12.7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row>
    <row r="716" spans="1:30" ht="12.7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row>
    <row r="717" spans="1:30" ht="12.7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row>
    <row r="718" spans="1:30" ht="12.7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row>
    <row r="719" spans="1:30" ht="12.7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row>
    <row r="720" spans="1:30" ht="12.7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row>
    <row r="721" spans="1:30" ht="12.7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row>
    <row r="722" spans="1:30" ht="12.7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row>
    <row r="723" spans="1:30" ht="12.7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row>
    <row r="724" spans="1:30" ht="12.7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row>
    <row r="725" spans="1:30" ht="12.7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row>
    <row r="726" spans="1:30" ht="12.7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row>
    <row r="727" spans="1:30" ht="12.7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row>
    <row r="728" spans="1:30" ht="12.7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row>
    <row r="729" spans="1:30" ht="12.7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row>
    <row r="730" spans="1:30" ht="12.7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row>
    <row r="731" spans="1:30" ht="12.7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row>
    <row r="732" spans="1:30" ht="12.7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row>
    <row r="733" spans="1:30" ht="12.7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row>
    <row r="734" spans="1:30" ht="12.7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row>
    <row r="735" spans="1:30" ht="12.7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row>
    <row r="736" spans="1:30" ht="12.7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row>
    <row r="737" spans="1:30" ht="12.7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row>
    <row r="738" spans="1:30" ht="12.7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row>
    <row r="739" spans="1:30" ht="12.7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row>
    <row r="740" spans="1:30" ht="12.7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row>
    <row r="741" spans="1:30" ht="12.7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row>
    <row r="742" spans="1:30" ht="12.7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row>
    <row r="743" spans="1:30" ht="12.7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row>
    <row r="744" spans="1:30" ht="12.7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row>
    <row r="745" spans="1:30" ht="12.7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row>
    <row r="746" spans="1:30" ht="12.7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row>
    <row r="747" spans="1:30" ht="12.7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row>
    <row r="748" spans="1:30" ht="12.7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row>
    <row r="749" spans="1:30" ht="12.7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row>
    <row r="750" spans="1:30" ht="12.7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row>
    <row r="751" spans="1:30" ht="12.7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row>
    <row r="752" spans="1:30" ht="12.7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row>
    <row r="753" spans="1:30" ht="12.7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row>
    <row r="754" spans="1:30" ht="12.7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row>
    <row r="755" spans="1:30" ht="12.7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row>
    <row r="756" spans="1:30" ht="12.7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row>
    <row r="757" spans="1:30" ht="12.7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row>
    <row r="758" spans="1:30" ht="12.7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row>
    <row r="759" spans="1:30" ht="12.7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row>
    <row r="760" spans="1:30" ht="12.7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row>
    <row r="761" spans="1:30" ht="12.7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row>
    <row r="762" spans="1:30" ht="12.7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row>
    <row r="763" spans="1:30" ht="12.7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row>
    <row r="764" spans="1:30" ht="12.7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row>
    <row r="765" spans="1:30" ht="12.7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row>
    <row r="766" spans="1:30" ht="12.7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row>
    <row r="767" spans="1:30" ht="12.7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row>
    <row r="768" spans="1:30" ht="12.7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row>
    <row r="769" spans="1:30" ht="12.7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row>
    <row r="770" spans="1:30" ht="12.7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row>
    <row r="771" spans="1:30" ht="12.7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row>
    <row r="772" spans="1:30" ht="12.7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row>
    <row r="773" spans="1:30" ht="12.7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row>
    <row r="774" spans="1:30" ht="12.7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row>
    <row r="775" spans="1:30" ht="12.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row>
    <row r="776" spans="1:30" ht="12.7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row>
    <row r="777" spans="1:30" ht="12.7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row>
    <row r="778" spans="1:30" ht="12.7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row>
    <row r="779" spans="1:30" ht="12.7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row>
    <row r="780" spans="1:30" ht="12.7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row>
    <row r="781" spans="1:30" ht="12.7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row>
    <row r="782" spans="1:30" ht="12.7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row>
    <row r="783" spans="1:30" ht="12.7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row>
    <row r="784" spans="1:30" ht="12.7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row>
    <row r="785" spans="1:30" ht="12.7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row>
    <row r="786" spans="1:30" ht="12.7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row>
    <row r="787" spans="1:30" ht="12.7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row>
    <row r="788" spans="1:30" ht="12.7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row>
    <row r="789" spans="1:30" ht="12.7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row>
    <row r="790" spans="1:30" ht="12.7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row>
    <row r="791" spans="1:30" ht="12.7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row>
    <row r="792" spans="1:30" ht="12.7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row>
    <row r="793" spans="1:30" ht="12.7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row>
    <row r="794" spans="1:30" ht="12.7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row>
    <row r="795" spans="1:30" ht="12.7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row>
    <row r="796" spans="1:30" ht="12.7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row>
    <row r="797" spans="1:30" ht="12.7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row>
    <row r="798" spans="1:30" ht="12.7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row>
    <row r="799" spans="1:30" ht="12.7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row>
    <row r="800" spans="1:30" ht="12.7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row>
    <row r="801" spans="1:30" ht="12.7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row>
    <row r="802" spans="1:30" ht="12.7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row>
    <row r="803" spans="1:30" ht="12.7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row>
    <row r="804" spans="1:30" ht="12.7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row>
    <row r="805" spans="1:30" ht="12.7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row>
    <row r="806" spans="1:30" ht="12.7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row>
    <row r="807" spans="1:30" ht="12.7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row>
    <row r="808" spans="1:30" ht="12.7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row>
    <row r="809" spans="1:30" ht="12.7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row>
    <row r="810" spans="1:30" ht="12.7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row>
    <row r="811" spans="1:30" ht="12.7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row>
    <row r="812" spans="1:30" ht="12.7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row>
    <row r="813" spans="1:30" ht="12.7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row>
    <row r="814" spans="1:30" ht="12.7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row>
    <row r="815" spans="1:30" ht="12.7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row>
    <row r="816" spans="1:30" ht="12.7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row>
    <row r="817" spans="1:30" ht="12.7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row>
    <row r="818" spans="1:30" ht="12.7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row>
    <row r="819" spans="1:30" ht="12.7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row>
    <row r="820" spans="1:30" ht="12.7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row>
    <row r="821" spans="1:30" ht="12.7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row>
    <row r="822" spans="1:30" ht="12.7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row>
    <row r="823" spans="1:30" ht="12.7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row>
    <row r="824" spans="1:30" ht="12.7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row>
    <row r="825" spans="1:30" ht="12.7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row>
    <row r="826" spans="1:30" ht="12.7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row>
    <row r="827" spans="1:30" ht="12.7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row>
    <row r="828" spans="1:30" ht="12.7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row>
    <row r="829" spans="1:30" ht="12.7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row>
    <row r="830" spans="1:30" ht="12.7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row>
    <row r="831" spans="1:30" ht="12.7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row>
    <row r="832" spans="1:30" ht="12.7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row>
    <row r="833" spans="1:30" ht="12.7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row>
    <row r="834" spans="1:30" ht="12.7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row>
    <row r="835" spans="1:30" ht="12.7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row>
    <row r="836" spans="1:30" ht="12.7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row>
    <row r="837" spans="1:30" ht="12.7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row>
    <row r="838" spans="1:30" ht="12.7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row>
    <row r="839" spans="1:30" ht="12.7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row>
    <row r="840" spans="1:30" ht="12.7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row>
    <row r="841" spans="1:30" ht="12.7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row>
    <row r="842" spans="1:30" ht="12.7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row>
    <row r="843" spans="1:30" ht="12.7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row>
    <row r="844" spans="1:30" ht="12.7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row>
    <row r="845" spans="1:30" ht="12.7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row>
    <row r="846" spans="1:30" ht="12.7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row>
    <row r="847" spans="1:30" ht="12.7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row>
    <row r="848" spans="1:30" ht="12.7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row>
    <row r="849" spans="1:30" ht="12.7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row>
    <row r="850" spans="1:30" ht="12.7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row>
    <row r="851" spans="1:30" ht="12.7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row>
    <row r="852" spans="1:30" ht="12.7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row>
    <row r="853" spans="1:30" ht="12.7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row>
    <row r="854" spans="1:30" ht="12.7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row>
    <row r="855" spans="1:30" ht="12.7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row>
    <row r="856" spans="1:30" ht="12.7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row>
    <row r="857" spans="1:30" ht="12.7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row>
    <row r="858" spans="1:30" ht="12.7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row>
    <row r="859" spans="1:30" ht="12.7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row>
    <row r="860" spans="1:30" ht="12.7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row>
    <row r="861" spans="1:30" ht="12.7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row>
    <row r="862" spans="1:30" ht="12.7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row>
    <row r="863" spans="1:30" ht="12.7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row>
    <row r="864" spans="1:30" ht="12.7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row>
    <row r="865" spans="1:30" ht="12.7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row>
    <row r="866" spans="1:30" ht="12.7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row>
    <row r="867" spans="1:30" ht="12.7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row>
    <row r="868" spans="1:30" ht="12.7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row>
    <row r="869" spans="1:30" ht="12.7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row>
    <row r="870" spans="1:30" ht="12.7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row>
    <row r="871" spans="1:30" ht="12.7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row>
    <row r="872" spans="1:30" ht="12.7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row>
    <row r="873" spans="1:30" ht="12.7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row>
    <row r="874" spans="1:30" ht="12.7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row>
    <row r="875" spans="1:30" ht="12.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row>
    <row r="876" spans="1:30" ht="12.7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row>
    <row r="877" spans="1:30" ht="12.7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row>
    <row r="878" spans="1:30" ht="12.7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row>
    <row r="879" spans="1:30" ht="12.7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row>
    <row r="880" spans="1:30" ht="12.7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row>
    <row r="881" spans="1:30" ht="12.7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row>
    <row r="882" spans="1:30" ht="12.7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row>
    <row r="883" spans="1:30" ht="12.7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row>
    <row r="884" spans="1:30" ht="12.7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row>
    <row r="885" spans="1:30" ht="12.7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row>
    <row r="886" spans="1:30" ht="12.7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row>
    <row r="887" spans="1:30" ht="12.7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row>
    <row r="888" spans="1:30" ht="12.7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row>
    <row r="889" spans="1:30" ht="12.7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row>
    <row r="890" spans="1:30" ht="12.7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row>
    <row r="891" spans="1:30" ht="12.7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row>
    <row r="892" spans="1:30" ht="12.7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row>
    <row r="893" spans="1:30" ht="12.7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row>
    <row r="894" spans="1:30" ht="12.7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row>
    <row r="895" spans="1:30" ht="12.7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row>
    <row r="896" spans="1:30" ht="12.7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row>
    <row r="897" spans="1:30" ht="12.7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row>
    <row r="898" spans="1:30" ht="12.7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row>
    <row r="899" spans="1:30" ht="12.7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row>
    <row r="900" spans="1:30" ht="12.7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row>
    <row r="901" spans="1:30" ht="12.7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row>
    <row r="902" spans="1:30" ht="12.7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row>
    <row r="903" spans="1:30" ht="12.7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row>
    <row r="904" spans="1:30" ht="12.7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row>
    <row r="905" spans="1:30" ht="12.7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row>
    <row r="906" spans="1:30" ht="12.7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row>
    <row r="907" spans="1:30" ht="12.7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row>
    <row r="908" spans="1:30" ht="12.7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row>
    <row r="909" spans="1:30" ht="12.7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row>
    <row r="910" spans="1:30" ht="12.7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row>
    <row r="911" spans="1:30" ht="12.7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row>
    <row r="912" spans="1:30" ht="12.7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row>
    <row r="913" spans="1:30" ht="12.7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row>
    <row r="914" spans="1:30" ht="12.7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row>
    <row r="915" spans="1:30" ht="12.7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row>
    <row r="916" spans="1:30" ht="12.7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row>
    <row r="917" spans="1:30" ht="12.7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row>
    <row r="918" spans="1:30" ht="12.7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row>
    <row r="919" spans="1:30" ht="12.7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row>
    <row r="920" spans="1:30" ht="12.7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row>
    <row r="921" spans="1:30" ht="12.7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row>
    <row r="922" spans="1:30" ht="12.7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row>
    <row r="923" spans="1:30" ht="12.7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row>
    <row r="924" spans="1:30" ht="12.7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row>
    <row r="925" spans="1:30" ht="12.7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row>
    <row r="926" spans="1:30" ht="12.7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row>
    <row r="927" spans="1:30" ht="12.7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row>
    <row r="928" spans="1:30" ht="12.7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row>
    <row r="929" spans="1:30" ht="12.7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row>
    <row r="930" spans="1:30" ht="12.7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row>
    <row r="931" spans="1:30" ht="12.7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row>
    <row r="932" spans="1:30" ht="12.7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row>
    <row r="933" spans="1:30" ht="12.7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row>
    <row r="934" spans="1:30" ht="12.7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row>
    <row r="935" spans="1:30" ht="12.7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row>
    <row r="936" spans="1:30" ht="12.7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row>
    <row r="937" spans="1:30" ht="12.7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row>
    <row r="938" spans="1:30" ht="12.7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row>
    <row r="939" spans="1:30" ht="12.7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row>
    <row r="940" spans="1:30" ht="12.7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row>
    <row r="941" spans="1:30" ht="12.7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row>
    <row r="942" spans="1:30" ht="12.7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row>
    <row r="943" spans="1:30" ht="12.7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row>
    <row r="944" spans="1:30" ht="12.7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row>
    <row r="945" spans="1:30" ht="12.7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row>
    <row r="946" spans="1:30" ht="12.7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row>
    <row r="947" spans="1:30" ht="12.7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row>
    <row r="948" spans="1:30" ht="12.7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row>
    <row r="949" spans="1:30" ht="12.7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row>
    <row r="950" spans="1:30" ht="12.7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row>
    <row r="951" spans="1:30" ht="12.7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row>
    <row r="952" spans="1:30" ht="12.7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row>
    <row r="953" spans="1:30" ht="12.7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row>
    <row r="954" spans="1:30" ht="12.7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row>
    <row r="955" spans="1:30" ht="12.7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row>
    <row r="956" spans="1:30" ht="12.7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row>
    <row r="957" spans="1:30" ht="12.7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row>
    <row r="958" spans="1:30" ht="12.7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row>
    <row r="959" spans="1:30" ht="12.7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row>
    <row r="960" spans="1:30" ht="12.7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row>
    <row r="961" spans="1:30" ht="12.7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row>
    <row r="962" spans="1:30" ht="12.7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row>
    <row r="963" spans="1:30" ht="12.7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row>
    <row r="964" spans="1:30" ht="12.7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row>
    <row r="965" spans="1:30" ht="12.7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row>
    <row r="966" spans="1:30" ht="12.7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row>
    <row r="967" spans="1:30" ht="12.7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row>
    <row r="968" spans="1:30" ht="12.7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row>
    <row r="969" spans="1:30" ht="12.7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row>
    <row r="970" spans="1:30" ht="12.7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row>
    <row r="971" spans="1:30" ht="12.7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row>
    <row r="972" spans="1:30" ht="12.7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row>
    <row r="973" spans="1:30" ht="12.7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row>
    <row r="974" spans="1:30" ht="12.7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row>
    <row r="975" spans="1:30" ht="12.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row>
    <row r="976" spans="1:30" ht="12.7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row>
    <row r="977" spans="1:30" ht="12.7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row>
    <row r="978" spans="1:30" ht="12.7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row>
    <row r="979" spans="1:30" ht="12.7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row>
    <row r="980" spans="1:30" ht="12.7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row>
    <row r="981" spans="1:30" ht="12.7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row>
    <row r="982" spans="1:30" ht="12.7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row>
    <row r="983" spans="1:30" ht="12.7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row>
    <row r="984" spans="1:30" ht="12.7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row>
    <row r="985" spans="1:30" ht="12.7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row>
    <row r="986" spans="1:30" ht="12.7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row>
    <row r="987" spans="1:30" ht="12.7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row>
    <row r="988" spans="1:30" ht="12.7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row>
    <row r="989" spans="1:30" ht="12.7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row>
    <row r="990" spans="1:30" ht="12.7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row>
    <row r="991" spans="1:30" ht="12.7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row>
    <row r="992" spans="1:30" ht="12.7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row>
    <row r="993" spans="1:30" ht="12.7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row>
    <row r="994" spans="1:30" ht="12.7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row>
    <row r="995" spans="1:30" ht="12.7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row>
    <row r="996" spans="1:30" ht="12.7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row>
    <row r="997" spans="1:30" ht="12.7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row>
    <row r="998" spans="1:30" ht="12.7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row>
    <row r="999" spans="1:30" ht="12.7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row>
    <row r="1000" spans="1:30" ht="12.7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row>
    <row r="1001" spans="1:30" ht="12.7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row>
    <row r="1002" spans="1:30" ht="12.7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row>
    <row r="1003" spans="1:30" ht="12.7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row>
    <row r="1004" spans="1:30" ht="12.7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row>
    <row r="1005" spans="1:30" ht="12.7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row>
    <row r="1006" spans="1:30" ht="12.7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row>
    <row r="1007" spans="1:30" ht="12.7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row>
    <row r="1008" spans="1:30" ht="12.7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row>
    <row r="1009" spans="1:30" ht="12.7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row>
    <row r="1010" spans="1:30" ht="12.75">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row>
    <row r="1011" spans="1:30" ht="12.75">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row>
    <row r="1012" spans="1:30" ht="12.75">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row>
    <row r="1013" spans="1:30" ht="12.75">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row>
    <row r="1014" spans="1:30" ht="12.75">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row>
  </sheetData>
  <printOptions horizontalCentered="1" gridLines="1"/>
  <pageMargins left="0.7" right="0.7" top="0.75" bottom="0.75" header="0" footer="0"/>
  <pageSetup fitToHeight="0" pageOrder="overThenDown" orientation="landscape" cellComments="atEnd"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42954-D03A-4B31-A6A8-685E74EB0638}">
  <dimension ref="A1:J31"/>
  <sheetViews>
    <sheetView zoomScale="90" zoomScaleNormal="90" workbookViewId="0">
      <selection activeCell="A2" sqref="A2"/>
    </sheetView>
  </sheetViews>
  <sheetFormatPr defaultRowHeight="12.75"/>
  <cols>
    <col min="1" max="1" width="67.28515625" customWidth="1"/>
    <col min="2" max="3" width="16.85546875" customWidth="1"/>
    <col min="4" max="4" width="23.28515625" customWidth="1"/>
    <col min="5" max="5" width="89.7109375" customWidth="1"/>
    <col min="6" max="7" width="25.7109375" customWidth="1"/>
    <col min="8" max="8" width="14.85546875" customWidth="1"/>
    <col min="9" max="9" width="16" customWidth="1"/>
  </cols>
  <sheetData>
    <row r="1" spans="1:10" ht="15.75">
      <c r="A1" s="139" t="s">
        <v>2710</v>
      </c>
      <c r="B1" s="139"/>
      <c r="C1" s="139"/>
    </row>
    <row r="3" spans="1:10">
      <c r="F3" s="157"/>
    </row>
    <row r="4" spans="1:10" ht="13.5" thickBot="1">
      <c r="A4" s="15" t="s">
        <v>2557</v>
      </c>
      <c r="B4" s="15"/>
      <c r="C4" s="15"/>
      <c r="D4" s="25"/>
      <c r="E4" s="26"/>
      <c r="F4" s="4"/>
      <c r="G4" s="4"/>
      <c r="H4" s="4"/>
      <c r="I4" s="4"/>
      <c r="J4" s="4"/>
    </row>
    <row r="5" spans="1:10" ht="13.5" thickTop="1">
      <c r="A5" s="143" t="s">
        <v>2564</v>
      </c>
      <c r="B5" s="27" t="s">
        <v>2562</v>
      </c>
      <c r="C5" s="27" t="s">
        <v>2563</v>
      </c>
      <c r="D5" s="27" t="s">
        <v>2566</v>
      </c>
      <c r="E5" s="153" t="s">
        <v>2565</v>
      </c>
    </row>
    <row r="6" spans="1:10">
      <c r="A6" s="16" t="s">
        <v>2559</v>
      </c>
      <c r="B6" s="144">
        <f>12*0.4536</f>
        <v>5.4432</v>
      </c>
      <c r="C6" s="144">
        <f>4.5*0.4536</f>
        <v>2.0411999999999999</v>
      </c>
      <c r="D6" s="147">
        <f>1-C6/B6</f>
        <v>0.625</v>
      </c>
      <c r="E6" s="156" t="s">
        <v>2558</v>
      </c>
    </row>
    <row r="7" spans="1:10">
      <c r="A7" s="148" t="s">
        <v>2560</v>
      </c>
      <c r="B7" s="149">
        <f>12*0.4536</f>
        <v>5.4432</v>
      </c>
      <c r="C7" s="149">
        <f>4.5*0.4536</f>
        <v>2.0411999999999999</v>
      </c>
      <c r="D7" s="150">
        <f>1-C7/B7</f>
        <v>0.625</v>
      </c>
      <c r="E7" s="154" t="s">
        <v>2561</v>
      </c>
    </row>
    <row r="8" spans="1:10" ht="13.5" thickBot="1">
      <c r="A8" s="28" t="s">
        <v>252</v>
      </c>
      <c r="B8" s="145"/>
      <c r="C8" s="145"/>
      <c r="D8" s="151">
        <f>AVERAGE(D6:D7)</f>
        <v>0.625</v>
      </c>
      <c r="E8" s="146"/>
    </row>
    <row r="9" spans="1:10" ht="13.5" thickTop="1"/>
    <row r="10" spans="1:10" ht="13.5" thickBot="1">
      <c r="A10" s="152" t="s">
        <v>2567</v>
      </c>
    </row>
    <row r="11" spans="1:10" ht="13.5" thickTop="1">
      <c r="A11" s="143" t="s">
        <v>2564</v>
      </c>
      <c r="B11" s="27" t="s">
        <v>2562</v>
      </c>
      <c r="C11" s="27" t="s">
        <v>2568</v>
      </c>
      <c r="D11" s="27" t="s">
        <v>2566</v>
      </c>
      <c r="E11" s="153" t="s">
        <v>2565</v>
      </c>
    </row>
    <row r="12" spans="1:10">
      <c r="A12" s="16" t="s">
        <v>2571</v>
      </c>
      <c r="B12" s="144">
        <f>10*1.035</f>
        <v>10.35</v>
      </c>
      <c r="C12" s="144">
        <v>1</v>
      </c>
      <c r="D12" s="147">
        <f>1-C12/B12</f>
        <v>0.90338164251207731</v>
      </c>
      <c r="E12" s="156" t="s">
        <v>2576</v>
      </c>
    </row>
    <row r="13" spans="1:10">
      <c r="A13" s="16" t="s">
        <v>2572</v>
      </c>
      <c r="B13" s="144">
        <f>10*0.4536</f>
        <v>4.5359999999999996</v>
      </c>
      <c r="C13" s="144">
        <f>1*0.4536</f>
        <v>0.4536</v>
      </c>
      <c r="D13" s="147">
        <f>1-C13/B13</f>
        <v>0.9</v>
      </c>
      <c r="E13" s="156" t="s">
        <v>2577</v>
      </c>
    </row>
    <row r="14" spans="1:10">
      <c r="A14" s="16" t="s">
        <v>2573</v>
      </c>
      <c r="B14" s="144">
        <f>10*0.4536</f>
        <v>4.5359999999999996</v>
      </c>
      <c r="C14" s="144">
        <f>1*0.4536</f>
        <v>0.4536</v>
      </c>
      <c r="D14" s="147">
        <f t="shared" ref="D14:D16" si="0">1-C14/B14</f>
        <v>0.9</v>
      </c>
      <c r="E14" s="156" t="s">
        <v>2584</v>
      </c>
    </row>
    <row r="15" spans="1:10">
      <c r="A15" s="16" t="s">
        <v>2574</v>
      </c>
      <c r="B15" s="144">
        <f>10*0.4536</f>
        <v>4.5359999999999996</v>
      </c>
      <c r="C15" s="144">
        <f>1*0.4536</f>
        <v>0.4536</v>
      </c>
      <c r="D15" s="147">
        <f t="shared" si="0"/>
        <v>0.9</v>
      </c>
      <c r="E15" s="156" t="s">
        <v>2578</v>
      </c>
    </row>
    <row r="16" spans="1:10">
      <c r="A16" s="148" t="s">
        <v>2575</v>
      </c>
      <c r="B16" s="149">
        <f>9*1.035</f>
        <v>9.3149999999999995</v>
      </c>
      <c r="C16" s="149">
        <v>1</v>
      </c>
      <c r="D16" s="147">
        <f t="shared" si="0"/>
        <v>0.89264626945786363</v>
      </c>
      <c r="E16" s="154" t="s">
        <v>2579</v>
      </c>
    </row>
    <row r="17" spans="1:5" ht="13.5" thickBot="1">
      <c r="A17" s="28" t="s">
        <v>252</v>
      </c>
      <c r="B17" s="145"/>
      <c r="C17" s="145"/>
      <c r="D17" s="158">
        <f>AVERAGE(D12:D16)</f>
        <v>0.89920558239398818</v>
      </c>
      <c r="E17" s="155"/>
    </row>
    <row r="18" spans="1:5" ht="13.5" thickTop="1">
      <c r="D18" s="140"/>
    </row>
    <row r="19" spans="1:5" ht="13.5" thickBot="1">
      <c r="A19" s="152" t="s">
        <v>2569</v>
      </c>
    </row>
    <row r="20" spans="1:5" ht="13.5" thickTop="1">
      <c r="A20" s="143" t="s">
        <v>2564</v>
      </c>
      <c r="B20" s="27" t="s">
        <v>2562</v>
      </c>
      <c r="C20" s="27" t="s">
        <v>2570</v>
      </c>
      <c r="D20" s="27" t="s">
        <v>2566</v>
      </c>
      <c r="E20" s="153" t="s">
        <v>2565</v>
      </c>
    </row>
    <row r="21" spans="1:5">
      <c r="A21" s="16" t="s">
        <v>2582</v>
      </c>
      <c r="B21" s="144">
        <f>4*1.035</f>
        <v>4.1399999999999997</v>
      </c>
      <c r="C21" s="144">
        <v>1</v>
      </c>
      <c r="D21" s="147">
        <f t="shared" ref="D21:D22" si="1">1-C21/B21</f>
        <v>0.75845410628019327</v>
      </c>
      <c r="E21" s="156" t="s">
        <v>2580</v>
      </c>
    </row>
    <row r="22" spans="1:5">
      <c r="A22" s="148" t="s">
        <v>2583</v>
      </c>
      <c r="B22" s="149">
        <f>4*0.4536</f>
        <v>1.8144</v>
      </c>
      <c r="C22" s="149">
        <f>1*0.4536</f>
        <v>0.4536</v>
      </c>
      <c r="D22" s="147">
        <f t="shared" si="1"/>
        <v>0.75</v>
      </c>
      <c r="E22" s="154" t="s">
        <v>2581</v>
      </c>
    </row>
    <row r="23" spans="1:5" ht="13.5" thickBot="1">
      <c r="A23" s="28" t="s">
        <v>252</v>
      </c>
      <c r="B23" s="145"/>
      <c r="C23" s="145"/>
      <c r="D23" s="151">
        <f>AVERAGE(D21:D22)</f>
        <v>0.75422705314009664</v>
      </c>
      <c r="E23" s="155"/>
    </row>
    <row r="24" spans="1:5" ht="13.5" thickTop="1"/>
    <row r="25" spans="1:5" ht="13.5" thickBot="1">
      <c r="A25" s="152" t="s">
        <v>2643</v>
      </c>
    </row>
    <row r="26" spans="1:5" ht="13.5" thickTop="1">
      <c r="A26" s="143" t="s">
        <v>2564</v>
      </c>
      <c r="B26" s="27" t="s">
        <v>2562</v>
      </c>
      <c r="C26" s="27" t="s">
        <v>2644</v>
      </c>
      <c r="D26" s="27" t="s">
        <v>2566</v>
      </c>
      <c r="E26" s="153" t="s">
        <v>2565</v>
      </c>
    </row>
    <row r="27" spans="1:5">
      <c r="A27" s="16" t="s">
        <v>2645</v>
      </c>
      <c r="B27" s="320">
        <f>9.4635*1.035</f>
        <v>9.7947224999999989</v>
      </c>
      <c r="C27" s="144">
        <v>0.4536</v>
      </c>
      <c r="D27" s="321">
        <f>1-C27/B27</f>
        <v>0.95368934648225101</v>
      </c>
      <c r="E27" s="322" t="s">
        <v>2646</v>
      </c>
    </row>
    <row r="28" spans="1:5" ht="25.5">
      <c r="A28" s="323" t="s">
        <v>2647</v>
      </c>
      <c r="B28" s="320">
        <f>3.7854*1.035</f>
        <v>3.9178889999999997</v>
      </c>
      <c r="C28" s="320">
        <f>0.4167*0.4536</f>
        <v>0.18901512000000001</v>
      </c>
      <c r="D28" s="321">
        <f>1-C28/B28</f>
        <v>0.95175587669788497</v>
      </c>
      <c r="E28" s="324" t="s">
        <v>2648</v>
      </c>
    </row>
    <row r="29" spans="1:5" ht="25.5">
      <c r="A29" s="325" t="s">
        <v>2649</v>
      </c>
      <c r="B29" s="149">
        <f>20*1.035</f>
        <v>20.7</v>
      </c>
      <c r="C29" s="149">
        <v>1</v>
      </c>
      <c r="D29" s="321">
        <f t="shared" ref="D29" si="2">1-C29/B29</f>
        <v>0.95169082125603865</v>
      </c>
      <c r="E29" s="326" t="s">
        <v>2650</v>
      </c>
    </row>
    <row r="30" spans="1:5" ht="13.5" thickBot="1">
      <c r="A30" s="28" t="s">
        <v>252</v>
      </c>
      <c r="B30" s="145"/>
      <c r="C30" s="145"/>
      <c r="D30" s="151">
        <f>AVERAGE(D27:D29)</f>
        <v>0.95237868147872484</v>
      </c>
      <c r="E30" s="155"/>
    </row>
    <row r="31" spans="1:5" ht="13.5" thickTop="1"/>
  </sheetData>
  <hyperlinks>
    <hyperlink ref="E7" r:id="rId1" xr:uid="{A19C2EF8-F862-473B-9D1C-D62B94A2D6B0}"/>
    <hyperlink ref="E6" r:id="rId2" xr:uid="{12062C57-E38D-4A43-B989-D4A7D0FD5940}"/>
    <hyperlink ref="E21" r:id="rId3" xr:uid="{243C3642-177D-4E29-AF54-2818CB8BEFC5}"/>
    <hyperlink ref="E22" r:id="rId4" xr:uid="{28603C42-3804-4416-8677-EAD3F89E516A}"/>
    <hyperlink ref="E12" r:id="rId5" xr:uid="{482B89DC-DBDA-4533-A089-60C6F0727569}"/>
    <hyperlink ref="E13" r:id="rId6" xr:uid="{054A4903-498A-4D38-87FC-C69BAC8B9D18}"/>
    <hyperlink ref="E14" r:id="rId7" xr:uid="{BD80F58C-4CD3-404A-A97D-FE3514C373A9}"/>
    <hyperlink ref="E15" r:id="rId8" xr:uid="{07E9C15F-499F-40E8-A29C-6A53AAC697DD}"/>
    <hyperlink ref="E16" r:id="rId9" xr:uid="{995A9C7B-A9B8-40BF-BDB4-5D6342AAA54D}"/>
    <hyperlink ref="E29" r:id="rId10" xr:uid="{15868BC7-7443-46C9-819F-BCC9543066B1}"/>
  </hyperlinks>
  <pageMargins left="0.7" right="0.7" top="0.75" bottom="0.75" header="0.3" footer="0.3"/>
  <pageSetup paperSize="9" orientation="portrait" r:id="rId11"/>
  <legacy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33046-2183-4F81-BE66-42CC520D85C2}">
  <dimension ref="A1:I16"/>
  <sheetViews>
    <sheetView workbookViewId="0">
      <selection activeCell="D11" sqref="D11"/>
    </sheetView>
  </sheetViews>
  <sheetFormatPr defaultRowHeight="12.75"/>
  <cols>
    <col min="1" max="1" width="68.5703125" bestFit="1" customWidth="1"/>
    <col min="2" max="4" width="14.5703125" customWidth="1"/>
    <col min="5" max="5" width="15.7109375" customWidth="1"/>
    <col min="6" max="6" width="22.7109375" bestFit="1" customWidth="1"/>
    <col min="7" max="7" width="10.85546875" customWidth="1"/>
    <col min="8" max="8" width="12.28515625" bestFit="1" customWidth="1"/>
    <col min="9" max="9" width="81.85546875" style="162" customWidth="1"/>
  </cols>
  <sheetData>
    <row r="1" spans="1:9" ht="15.75">
      <c r="A1" s="159" t="s">
        <v>2585</v>
      </c>
      <c r="B1" s="159"/>
      <c r="C1" s="159"/>
    </row>
    <row r="3" spans="1:9" ht="13.5" thickBot="1">
      <c r="A3" s="152" t="s">
        <v>2589</v>
      </c>
      <c r="B3" s="152"/>
      <c r="C3" s="152"/>
    </row>
    <row r="4" spans="1:9" ht="27" customHeight="1">
      <c r="A4" s="176" t="s">
        <v>2594</v>
      </c>
      <c r="B4" s="191" t="s">
        <v>2592</v>
      </c>
      <c r="C4" s="168" t="s">
        <v>2598</v>
      </c>
      <c r="D4" s="401" t="s">
        <v>2593</v>
      </c>
      <c r="E4" s="401"/>
      <c r="F4" s="169" t="s">
        <v>2596</v>
      </c>
      <c r="G4" s="170" t="s">
        <v>2597</v>
      </c>
      <c r="H4" s="170" t="s">
        <v>38</v>
      </c>
      <c r="I4" s="171" t="s">
        <v>70</v>
      </c>
    </row>
    <row r="5" spans="1:9" ht="22.15" customHeight="1">
      <c r="A5" s="399" t="s">
        <v>2601</v>
      </c>
      <c r="B5" s="192">
        <f>(12*3/13.1)/2</f>
        <v>1.3740458015267176</v>
      </c>
      <c r="C5" s="189" t="s">
        <v>2590</v>
      </c>
      <c r="D5" s="164">
        <v>0.15</v>
      </c>
      <c r="E5" s="165">
        <f>B5*D5</f>
        <v>0.20610687022900764</v>
      </c>
      <c r="F5" s="177" t="s">
        <v>2587</v>
      </c>
      <c r="G5" s="166">
        <f>(1+2+3+4+5+6+7+8+9+10+11+12+13+14+15+16+17+18+19+20+21)/21</f>
        <v>11</v>
      </c>
      <c r="H5" s="167">
        <f>E5*G5</f>
        <v>2.2671755725190841</v>
      </c>
      <c r="I5" s="402" t="s">
        <v>2595</v>
      </c>
    </row>
    <row r="6" spans="1:9" ht="28.9" customHeight="1" thickBot="1">
      <c r="A6" s="400"/>
      <c r="B6" s="193"/>
      <c r="C6" s="190" t="s">
        <v>2591</v>
      </c>
      <c r="D6" s="172">
        <v>0.85</v>
      </c>
      <c r="E6" s="173">
        <f>B5*D6</f>
        <v>1.16793893129771</v>
      </c>
      <c r="F6" s="178" t="s">
        <v>2588</v>
      </c>
      <c r="G6" s="174">
        <f>(112+113+114+115+116+117+118+119+120+121+122+123+124+125+126)/15</f>
        <v>119</v>
      </c>
      <c r="H6" s="175">
        <f>E6*G6</f>
        <v>138.98473282442748</v>
      </c>
      <c r="I6" s="403"/>
    </row>
    <row r="9" spans="1:9" ht="13.5" thickBot="1">
      <c r="A9" s="152" t="s">
        <v>2586</v>
      </c>
    </row>
    <row r="10" spans="1:9" ht="38.25">
      <c r="A10" s="179" t="s">
        <v>2602</v>
      </c>
      <c r="B10" s="183" t="s">
        <v>2600</v>
      </c>
      <c r="C10" s="163" t="s">
        <v>2608</v>
      </c>
      <c r="D10" s="163" t="s">
        <v>38</v>
      </c>
      <c r="E10" s="184" t="s">
        <v>70</v>
      </c>
    </row>
    <row r="11" spans="1:9" ht="21.4" customHeight="1">
      <c r="A11" s="397" t="s">
        <v>2603</v>
      </c>
      <c r="B11" s="186">
        <v>1</v>
      </c>
      <c r="C11" s="186">
        <v>1</v>
      </c>
      <c r="D11" s="186">
        <f>B11*C11</f>
        <v>1</v>
      </c>
      <c r="E11" s="185" t="s">
        <v>2605</v>
      </c>
    </row>
    <row r="12" spans="1:9" ht="21.4" customHeight="1">
      <c r="A12" s="398"/>
      <c r="B12" s="187"/>
      <c r="C12" s="187"/>
      <c r="D12" s="187"/>
      <c r="E12" s="180" t="s">
        <v>2606</v>
      </c>
    </row>
    <row r="13" spans="1:9" ht="13.5" thickBot="1">
      <c r="A13" s="181" t="s">
        <v>2604</v>
      </c>
      <c r="B13" s="188"/>
      <c r="C13" s="188"/>
      <c r="D13" s="188"/>
      <c r="E13" s="182" t="s">
        <v>2607</v>
      </c>
    </row>
    <row r="16" spans="1:9">
      <c r="C16" s="160"/>
    </row>
  </sheetData>
  <mergeCells count="4">
    <mergeCell ref="A11:A12"/>
    <mergeCell ref="A5:A6"/>
    <mergeCell ref="D4:E4"/>
    <mergeCell ref="I5:I6"/>
  </mergeCells>
  <hyperlinks>
    <hyperlink ref="I5" r:id="rId1" display="https://www.ciwf.org.uk/media/5235185/the-life-of-dairy-cows.pdf" xr:uid="{648EFA8C-ECF4-4B19-8884-190F7911F099}"/>
    <hyperlink ref="E11" r:id="rId2" xr:uid="{F06A241C-C11B-47F2-A176-D93BDF6622CD}"/>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23"/>
  <sheetViews>
    <sheetView workbookViewId="0">
      <selection activeCell="M21" sqref="M21"/>
    </sheetView>
  </sheetViews>
  <sheetFormatPr defaultColWidth="14.42578125" defaultRowHeight="15" customHeight="1"/>
  <cols>
    <col min="1" max="1" width="36" customWidth="1"/>
    <col min="2" max="2" width="16.7109375" customWidth="1"/>
    <col min="3" max="3" width="18.28515625" customWidth="1"/>
    <col min="9" max="12" width="18.28515625" customWidth="1"/>
    <col min="13" max="13" width="63" customWidth="1"/>
    <col min="14" max="14" width="109.140625" customWidth="1"/>
  </cols>
  <sheetData>
    <row r="1" spans="1:14" ht="15" customHeight="1">
      <c r="A1" s="194" t="s">
        <v>57</v>
      </c>
      <c r="B1" s="195"/>
      <c r="C1" s="3"/>
      <c r="D1" s="3"/>
      <c r="E1" s="3"/>
      <c r="F1" s="3"/>
      <c r="G1" s="3"/>
      <c r="H1" s="3"/>
      <c r="I1" s="3"/>
      <c r="J1" s="3"/>
      <c r="K1" s="3"/>
      <c r="L1" s="3"/>
      <c r="M1" s="3"/>
      <c r="N1" s="3"/>
    </row>
    <row r="2" spans="1:14" ht="12.75">
      <c r="A2" s="15"/>
      <c r="B2" s="195"/>
      <c r="C2" s="3"/>
      <c r="D2" s="3"/>
      <c r="E2" s="3"/>
      <c r="F2" s="3"/>
      <c r="G2" s="3"/>
      <c r="H2" s="3"/>
      <c r="I2" s="3"/>
      <c r="J2" s="3"/>
      <c r="K2" s="3"/>
      <c r="L2" s="3"/>
      <c r="M2" s="3"/>
      <c r="N2" s="3"/>
    </row>
    <row r="3" spans="1:14" ht="12.75">
      <c r="A3" s="160" t="s">
        <v>2610</v>
      </c>
      <c r="B3" s="336" t="s">
        <v>2611</v>
      </c>
      <c r="C3" s="3"/>
      <c r="D3" s="3"/>
      <c r="E3" s="3"/>
      <c r="F3" s="3"/>
      <c r="G3" s="3"/>
      <c r="H3" s="3"/>
      <c r="I3" s="3"/>
      <c r="J3" s="3"/>
      <c r="K3" s="3"/>
      <c r="L3" s="3"/>
      <c r="M3" s="3"/>
      <c r="N3" s="3"/>
    </row>
    <row r="4" spans="1:14" ht="12.75">
      <c r="A4" s="196" t="s">
        <v>2627</v>
      </c>
      <c r="B4" s="196" t="s">
        <v>2612</v>
      </c>
      <c r="C4" s="3"/>
      <c r="D4" s="3"/>
      <c r="E4" s="3"/>
      <c r="F4" s="3"/>
      <c r="G4" s="3"/>
      <c r="H4" s="3"/>
      <c r="I4" s="3"/>
      <c r="J4" s="3"/>
      <c r="K4" s="3"/>
      <c r="L4" s="3"/>
      <c r="M4" s="3"/>
      <c r="N4" s="3"/>
    </row>
    <row r="5" spans="1:14" ht="12.75">
      <c r="A5" s="196"/>
      <c r="B5" s="195"/>
      <c r="C5" s="3"/>
      <c r="D5" s="3"/>
      <c r="E5" s="3"/>
      <c r="F5" s="3"/>
      <c r="G5" s="3"/>
      <c r="H5" s="3"/>
      <c r="I5" s="3"/>
      <c r="J5" s="3"/>
      <c r="K5" s="3"/>
      <c r="L5" s="3"/>
      <c r="M5" s="3"/>
      <c r="N5" s="3"/>
    </row>
    <row r="6" spans="1:14" ht="13.5" thickBot="1">
      <c r="A6" s="15" t="s">
        <v>58</v>
      </c>
      <c r="B6" s="195"/>
      <c r="C6" s="3"/>
      <c r="D6" s="3"/>
      <c r="E6" s="3"/>
      <c r="F6" s="3"/>
      <c r="G6" s="3"/>
      <c r="H6" s="3"/>
      <c r="I6" s="3"/>
      <c r="J6" s="3"/>
      <c r="K6" s="3"/>
      <c r="L6" s="3"/>
      <c r="M6" s="3"/>
    </row>
    <row r="7" spans="1:14" s="138" customFormat="1" ht="38.25">
      <c r="A7" s="197" t="s">
        <v>59</v>
      </c>
      <c r="B7" s="198" t="s">
        <v>2609</v>
      </c>
      <c r="C7" s="6" t="s">
        <v>60</v>
      </c>
      <c r="D7" s="6" t="s">
        <v>61</v>
      </c>
      <c r="E7" s="6" t="s">
        <v>62</v>
      </c>
      <c r="F7" s="6" t="s">
        <v>63</v>
      </c>
      <c r="G7" s="6" t="s">
        <v>64</v>
      </c>
      <c r="H7" s="6" t="s">
        <v>65</v>
      </c>
      <c r="I7" s="199" t="s">
        <v>66</v>
      </c>
      <c r="J7" s="199" t="s">
        <v>67</v>
      </c>
      <c r="K7" s="199" t="s">
        <v>68</v>
      </c>
      <c r="L7" s="199" t="s">
        <v>69</v>
      </c>
      <c r="M7" s="71" t="s">
        <v>70</v>
      </c>
    </row>
    <row r="8" spans="1:14" ht="12.75">
      <c r="A8" s="16" t="s">
        <v>71</v>
      </c>
      <c r="B8" s="200">
        <v>3.1</v>
      </c>
      <c r="C8" s="17">
        <f>'Fishcount fish weights'!E13</f>
        <v>3614</v>
      </c>
      <c r="D8" s="17">
        <f>'Fishcount fish weights'!F13</f>
        <v>8434</v>
      </c>
      <c r="E8" s="17">
        <f t="shared" ref="E8:E14" si="0">(D8+C8)/2</f>
        <v>6024</v>
      </c>
      <c r="F8" s="18" t="s">
        <v>72</v>
      </c>
      <c r="G8" s="201">
        <f>'Welf Footpt Data'!D6*(2/3)</f>
        <v>0.14708333333333332</v>
      </c>
      <c r="H8" s="202">
        <f>'Welf Footpt Data'!C6</f>
        <v>762.5</v>
      </c>
      <c r="I8" s="203">
        <f>(2/3)*'Feed fish'!B20</f>
        <v>0</v>
      </c>
      <c r="J8" s="203">
        <f t="shared" ref="J8:J14" si="1">G8/(1-G8)</f>
        <v>0.17244748412310698</v>
      </c>
      <c r="K8" s="203">
        <f ca="1">J8*H8*AVERAGE(Mortality!$G$4:$G$9)</f>
        <v>36.211118845395859</v>
      </c>
      <c r="L8" s="204">
        <f t="shared" ref="L8:L14" ca="1" si="2">I8+H8+K8</f>
        <v>798.71111884539584</v>
      </c>
      <c r="M8" s="19" t="s">
        <v>2623</v>
      </c>
    </row>
    <row r="9" spans="1:14" ht="12.75">
      <c r="A9" s="16" t="s">
        <v>73</v>
      </c>
      <c r="B9" s="200">
        <v>2.2000000000000002</v>
      </c>
      <c r="C9" s="17">
        <f>'Fishcount fish weights'!E58</f>
        <v>2000</v>
      </c>
      <c r="D9" s="17">
        <f>'Fishcount fish weights'!F125</f>
        <v>21364</v>
      </c>
      <c r="E9" s="17">
        <f t="shared" si="0"/>
        <v>11682</v>
      </c>
      <c r="F9" s="18" t="s">
        <v>74</v>
      </c>
      <c r="G9" s="201">
        <v>0</v>
      </c>
      <c r="H9" s="202">
        <v>1</v>
      </c>
      <c r="I9" s="203">
        <v>0</v>
      </c>
      <c r="J9" s="203">
        <f t="shared" si="1"/>
        <v>0</v>
      </c>
      <c r="K9" s="203">
        <f ca="1">J9*H9*AVERAGE(Mortality!$G$4:$G$9)</f>
        <v>0</v>
      </c>
      <c r="L9" s="204">
        <f t="shared" ca="1" si="2"/>
        <v>1</v>
      </c>
      <c r="M9" s="19" t="s">
        <v>75</v>
      </c>
    </row>
    <row r="10" spans="1:14" ht="12.75">
      <c r="A10" s="16" t="s">
        <v>76</v>
      </c>
      <c r="B10" s="200">
        <v>0.98</v>
      </c>
      <c r="C10" s="17">
        <f>'Fishcount fish weights'!E8</f>
        <v>250</v>
      </c>
      <c r="D10" s="17">
        <f>'Fishcount fish weights'!F8</f>
        <v>800</v>
      </c>
      <c r="E10" s="17">
        <f t="shared" si="0"/>
        <v>525</v>
      </c>
      <c r="F10" s="18" t="s">
        <v>77</v>
      </c>
      <c r="G10" s="201">
        <f>(AVERAGEIF('Welf Footpt Data'!A6:A8, "*tilapia*", 'Welf Footpt Data'!D6:D8))</f>
        <v>0.29199999999999998</v>
      </c>
      <c r="H10" s="202">
        <f>'Welf Footpt Data'!C7</f>
        <v>244</v>
      </c>
      <c r="I10" s="203">
        <f>'Feed fish'!B20</f>
        <v>0</v>
      </c>
      <c r="J10" s="203">
        <f t="shared" si="1"/>
        <v>0.41242937853107342</v>
      </c>
      <c r="K10" s="203">
        <f ca="1">J10*H10*AVERAGE(Mortality!$G$4:$G$9)</f>
        <v>27.713070918513331</v>
      </c>
      <c r="L10" s="204">
        <f t="shared" ca="1" si="2"/>
        <v>271.71307091851332</v>
      </c>
      <c r="M10" s="19" t="s">
        <v>2624</v>
      </c>
    </row>
    <row r="11" spans="1:14" ht="12.75">
      <c r="A11" s="16" t="s">
        <v>78</v>
      </c>
      <c r="B11" s="200">
        <v>0.996</v>
      </c>
      <c r="C11" s="17">
        <f>'Fishcount fish weights'!E57</f>
        <v>227</v>
      </c>
      <c r="D11" s="17">
        <f>'Fishcount fish weights'!F57</f>
        <v>1000</v>
      </c>
      <c r="E11" s="17">
        <f t="shared" si="0"/>
        <v>613.5</v>
      </c>
      <c r="F11" s="18" t="s">
        <v>74</v>
      </c>
      <c r="G11" s="201">
        <v>0</v>
      </c>
      <c r="H11" s="202">
        <v>1</v>
      </c>
      <c r="I11" s="203">
        <v>0</v>
      </c>
      <c r="J11" s="203">
        <f t="shared" si="1"/>
        <v>0</v>
      </c>
      <c r="K11" s="203">
        <f ca="1">J11*H11*AVERAGE(Mortality!$G$4:$G$9)</f>
        <v>0</v>
      </c>
      <c r="L11" s="204">
        <f t="shared" ca="1" si="2"/>
        <v>1</v>
      </c>
      <c r="M11" s="19" t="s">
        <v>79</v>
      </c>
    </row>
    <row r="12" spans="1:14" ht="12.75">
      <c r="A12" s="16" t="s">
        <v>80</v>
      </c>
      <c r="B12" s="200">
        <v>0.36</v>
      </c>
      <c r="C12" s="17">
        <f>'Fishcount fish weights'!E15</f>
        <v>500</v>
      </c>
      <c r="D12" s="17">
        <f>'Fishcount fish weights'!F15</f>
        <v>1500</v>
      </c>
      <c r="E12" s="17">
        <f t="shared" si="0"/>
        <v>1000</v>
      </c>
      <c r="F12" s="18" t="s">
        <v>77</v>
      </c>
      <c r="G12" s="201">
        <f>'Welf Footpt Data'!D9</f>
        <v>0.505</v>
      </c>
      <c r="H12" s="202">
        <f>'Welf Footpt Data'!C9</f>
        <v>274.5</v>
      </c>
      <c r="I12" s="203">
        <f>'Feed fish'!B20</f>
        <v>0</v>
      </c>
      <c r="J12" s="203">
        <f t="shared" si="1"/>
        <v>1.0202020202020201</v>
      </c>
      <c r="K12" s="203">
        <f ca="1">J12*H12*AVERAGE(Mortality!$G$4:$G$9)</f>
        <v>77.121196888272536</v>
      </c>
      <c r="L12" s="204">
        <f t="shared" ca="1" si="2"/>
        <v>351.62119688827255</v>
      </c>
      <c r="M12" s="19" t="s">
        <v>2625</v>
      </c>
    </row>
    <row r="13" spans="1:14" ht="12.75">
      <c r="A13" s="16" t="s">
        <v>81</v>
      </c>
      <c r="B13" s="200">
        <v>0.59</v>
      </c>
      <c r="C13" s="17">
        <f>'Fishcount fish weights'!E66</f>
        <v>800</v>
      </c>
      <c r="D13" s="17">
        <f>'Fishcount fish weights'!F86</f>
        <v>4545</v>
      </c>
      <c r="E13" s="17">
        <f t="shared" si="0"/>
        <v>2672.5</v>
      </c>
      <c r="F13" s="18" t="s">
        <v>74</v>
      </c>
      <c r="G13" s="201">
        <v>0</v>
      </c>
      <c r="H13" s="202">
        <v>1</v>
      </c>
      <c r="I13" s="203">
        <v>0</v>
      </c>
      <c r="J13" s="203">
        <f t="shared" si="1"/>
        <v>0</v>
      </c>
      <c r="K13" s="203">
        <f ca="1">J13*H13*AVERAGE(Mortality!$G$4:$G$9)</f>
        <v>0</v>
      </c>
      <c r="L13" s="204">
        <f t="shared" ca="1" si="2"/>
        <v>1</v>
      </c>
      <c r="M13" s="19" t="s">
        <v>82</v>
      </c>
    </row>
    <row r="14" spans="1:14" ht="12.75">
      <c r="A14" s="16" t="s">
        <v>83</v>
      </c>
      <c r="B14" s="200">
        <v>0.55000000000000004</v>
      </c>
      <c r="C14" s="17">
        <f>'Fishcount fish weights'!E25</f>
        <v>340</v>
      </c>
      <c r="D14" s="17">
        <f>'Fishcount fish weights'!F25</f>
        <v>680</v>
      </c>
      <c r="E14" s="17">
        <f t="shared" si="0"/>
        <v>510</v>
      </c>
      <c r="F14" s="18" t="s">
        <v>77</v>
      </c>
      <c r="G14" s="201">
        <f>'Welf Footpt Data'!D8</f>
        <v>0.47562500000000002</v>
      </c>
      <c r="H14" s="202">
        <f>'Welf Footpt Data'!C8</f>
        <v>284.66666666666669</v>
      </c>
      <c r="I14" s="203">
        <f>'Feed fish'!B20</f>
        <v>0</v>
      </c>
      <c r="J14" s="203">
        <f t="shared" si="1"/>
        <v>0.90703218116805717</v>
      </c>
      <c r="K14" s="203">
        <f ca="1">J14*H14*AVERAGE(Mortality!$G$4:$G$9)</f>
        <v>71.105721081786129</v>
      </c>
      <c r="L14" s="204">
        <f t="shared" ca="1" si="2"/>
        <v>355.77238774845284</v>
      </c>
      <c r="M14" s="19" t="s">
        <v>2626</v>
      </c>
    </row>
    <row r="15" spans="1:14" ht="12.75">
      <c r="A15" s="20" t="s">
        <v>84</v>
      </c>
      <c r="B15" s="205">
        <f>SUM(B8:B14)</f>
        <v>8.7760000000000034</v>
      </c>
      <c r="C15" s="206">
        <f t="shared" ref="C15:E15" si="3">SUMPRODUCT($B$8:$B$14/$B$15, C8:C14)</f>
        <v>1927.2438468550586</v>
      </c>
      <c r="D15" s="206">
        <f t="shared" si="3"/>
        <v>8947.3279398359136</v>
      </c>
      <c r="E15" s="206">
        <f t="shared" si="3"/>
        <v>5437.2858933454845</v>
      </c>
      <c r="F15" s="21"/>
      <c r="G15" s="207">
        <f t="shared" ref="G15:L15" si="4">SUMPRODUCT($B$8:$B$14/$B$15, G8:G14)</f>
        <v>0.13508569773625032</v>
      </c>
      <c r="H15" s="208">
        <f t="shared" si="4"/>
        <v>326.12154360376775</v>
      </c>
      <c r="I15" s="209">
        <f t="shared" si="4"/>
        <v>0</v>
      </c>
      <c r="J15" s="209">
        <f t="shared" si="4"/>
        <v>0.20566413156987712</v>
      </c>
      <c r="K15" s="210">
        <f t="shared" ca="1" si="4"/>
        <v>23.505589721471132</v>
      </c>
      <c r="L15" s="209">
        <f t="shared" ca="1" si="4"/>
        <v>349.62713332523884</v>
      </c>
      <c r="M15" s="22"/>
    </row>
    <row r="16" spans="1:14" ht="12.75">
      <c r="G16" s="211"/>
      <c r="H16" s="211"/>
    </row>
    <row r="17" spans="1:13" ht="12.75">
      <c r="A17" s="15" t="s">
        <v>85</v>
      </c>
      <c r="B17" s="15"/>
      <c r="C17" s="5"/>
      <c r="D17" s="5"/>
      <c r="E17" s="5"/>
      <c r="F17" s="5"/>
      <c r="G17" s="5"/>
      <c r="H17" s="5"/>
      <c r="I17" s="5"/>
      <c r="J17" s="5"/>
      <c r="K17" s="5"/>
      <c r="L17" s="5"/>
      <c r="M17" s="5"/>
    </row>
    <row r="18" spans="1:13" s="138" customFormat="1" ht="38.25">
      <c r="A18" s="197" t="s">
        <v>59</v>
      </c>
      <c r="B18" s="198" t="s">
        <v>2609</v>
      </c>
      <c r="C18" s="6" t="s">
        <v>60</v>
      </c>
      <c r="D18" s="6" t="s">
        <v>61</v>
      </c>
      <c r="E18" s="6" t="s">
        <v>62</v>
      </c>
      <c r="F18" s="6" t="s">
        <v>63</v>
      </c>
      <c r="G18" s="6" t="s">
        <v>64</v>
      </c>
      <c r="H18" s="6" t="s">
        <v>65</v>
      </c>
      <c r="I18" s="199" t="s">
        <v>86</v>
      </c>
      <c r="J18" s="199" t="s">
        <v>67</v>
      </c>
      <c r="K18" s="199" t="s">
        <v>68</v>
      </c>
      <c r="L18" s="199" t="s">
        <v>69</v>
      </c>
      <c r="M18" s="71" t="s">
        <v>70</v>
      </c>
    </row>
    <row r="19" spans="1:13" ht="12.75">
      <c r="A19" s="16" t="s">
        <v>87</v>
      </c>
      <c r="B19" s="200">
        <v>4.7</v>
      </c>
      <c r="C19" s="17">
        <f>'Shellfish weights'!B6</f>
        <v>12</v>
      </c>
      <c r="D19" s="17">
        <f>'Shellfish weights'!C6</f>
        <v>28</v>
      </c>
      <c r="E19" s="17">
        <f t="shared" ref="E19:E20" si="5">(C19+D19)/2</f>
        <v>20</v>
      </c>
      <c r="F19" s="18" t="s">
        <v>88</v>
      </c>
      <c r="G19" s="212">
        <f>0.26*0.9</f>
        <v>0.23400000000000001</v>
      </c>
      <c r="H19" s="202">
        <f>0.9*((15/24)+((31+26)/2)+((6+3)/2*30.5))+(0.1*1)</f>
        <v>149.83750000000001</v>
      </c>
      <c r="I19" s="203">
        <f>(0.9*'Feed fish'!B22)</f>
        <v>0.24168874961994538</v>
      </c>
      <c r="J19" s="203">
        <f t="shared" ref="J19:J20" si="6">G19/(1-G19)</f>
        <v>0.30548302872062666</v>
      </c>
      <c r="K19" s="213">
        <f ca="1">J19*H19*AVERAGE(Mortality!$G$4:$G$9)</f>
        <v>12.605289929084616</v>
      </c>
      <c r="L19" s="204">
        <f ca="1">H19+I19+K19</f>
        <v>162.68447867870458</v>
      </c>
      <c r="M19" s="19" t="s">
        <v>89</v>
      </c>
    </row>
    <row r="20" spans="1:13" ht="12.75">
      <c r="A20" s="16" t="s">
        <v>90</v>
      </c>
      <c r="B20" s="200">
        <v>0.52</v>
      </c>
      <c r="C20" s="17">
        <f>'Shellfish weights'!B15</f>
        <v>1203.387424</v>
      </c>
      <c r="D20" s="17">
        <f>'Shellfish weights'!B15</f>
        <v>1203.387424</v>
      </c>
      <c r="E20" s="17">
        <f t="shared" si="5"/>
        <v>1203.387424</v>
      </c>
      <c r="F20" s="18" t="s">
        <v>91</v>
      </c>
      <c r="G20" s="212">
        <v>0</v>
      </c>
      <c r="H20" s="202">
        <v>1</v>
      </c>
      <c r="I20" s="203">
        <v>0</v>
      </c>
      <c r="J20" s="203">
        <f t="shared" si="6"/>
        <v>0</v>
      </c>
      <c r="K20" s="213">
        <f ca="1">J20*H20*AVERAGE(Mortality!$G$4:$G$9)</f>
        <v>0</v>
      </c>
      <c r="L20" s="214">
        <f ca="1">I20+H20+K20</f>
        <v>1</v>
      </c>
      <c r="M20" s="19" t="s">
        <v>92</v>
      </c>
    </row>
    <row r="21" spans="1:13" ht="12.75">
      <c r="A21" s="23" t="s">
        <v>93</v>
      </c>
      <c r="B21" s="18">
        <v>0.3</v>
      </c>
      <c r="D21" s="24"/>
      <c r="E21" s="18"/>
      <c r="F21" s="18"/>
      <c r="G21" s="24"/>
      <c r="H21" s="24"/>
      <c r="I21" s="215"/>
      <c r="J21" s="203"/>
      <c r="K21" s="213"/>
      <c r="L21" s="215"/>
      <c r="M21" s="19"/>
    </row>
    <row r="22" spans="1:13" ht="13.5" thickBot="1">
      <c r="A22" s="20" t="s">
        <v>84</v>
      </c>
      <c r="B22" s="205">
        <f>SUM(B19:B20)</f>
        <v>5.2200000000000006</v>
      </c>
      <c r="C22" s="208">
        <f t="shared" ref="C22:E22" si="7">SUMPRODUCT($B$19:$B$20/$B$22, C19:C20)</f>
        <v>130.68227212260535</v>
      </c>
      <c r="D22" s="208">
        <f t="shared" si="7"/>
        <v>145.08840239080459</v>
      </c>
      <c r="E22" s="208">
        <f t="shared" si="7"/>
        <v>137.88533725670499</v>
      </c>
      <c r="F22" s="21"/>
      <c r="G22" s="216">
        <f t="shared" ref="G22:L22" si="8">SUMPRODUCT($B$19:$B$20/$B$22, G19:G20)</f>
        <v>0.21068965517241378</v>
      </c>
      <c r="H22" s="208">
        <f t="shared" si="8"/>
        <v>135.01077586206895</v>
      </c>
      <c r="I22" s="209">
        <f t="shared" si="8"/>
        <v>0.21761247571144507</v>
      </c>
      <c r="J22" s="209">
        <f t="shared" si="8"/>
        <v>0.27505176915458718</v>
      </c>
      <c r="K22" s="217">
        <f t="shared" ca="1" si="8"/>
        <v>11.349590549175803</v>
      </c>
      <c r="L22" s="209">
        <f t="shared" ca="1" si="8"/>
        <v>146.5779788869562</v>
      </c>
      <c r="M22" s="22"/>
    </row>
    <row r="23" spans="1:13" ht="13.5" thickTop="1">
      <c r="A23" s="160" t="s">
        <v>2552</v>
      </c>
    </row>
  </sheetData>
  <hyperlinks>
    <hyperlink ref="B3" r:id="rId1" xr:uid="{625A63A8-CB59-4578-BFE4-4DCD05BAFC66}"/>
  </hyperlinks>
  <pageMargins left="0.7" right="0.7" top="0.75" bottom="0.75" header="0.3" footer="0.3"/>
  <pageSetup orientation="portrait"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04"/>
  <sheetViews>
    <sheetView tabSelected="1" topLeftCell="A7" workbookViewId="0">
      <selection activeCell="B30" sqref="B30"/>
    </sheetView>
  </sheetViews>
  <sheetFormatPr defaultColWidth="14.42578125" defaultRowHeight="15" customHeight="1"/>
  <cols>
    <col min="1" max="1" width="57.5703125" customWidth="1"/>
    <col min="2" max="2" width="23.7109375" customWidth="1"/>
    <col min="3" max="3" width="21.42578125" customWidth="1"/>
    <col min="4" max="4" width="19.28515625" customWidth="1"/>
  </cols>
  <sheetData>
    <row r="1" spans="1:8" ht="15" customHeight="1">
      <c r="A1" s="218" t="s">
        <v>94</v>
      </c>
      <c r="B1" s="25"/>
      <c r="C1" s="26"/>
      <c r="D1" s="4"/>
      <c r="E1" s="4"/>
      <c r="F1" s="4"/>
      <c r="G1" s="4"/>
      <c r="H1" s="4"/>
    </row>
    <row r="2" spans="1:8" ht="12.75">
      <c r="A2" s="15"/>
      <c r="B2" s="25"/>
      <c r="C2" s="26"/>
      <c r="D2" s="4"/>
      <c r="E2" s="4"/>
      <c r="F2" s="4"/>
      <c r="G2" s="4"/>
      <c r="H2" s="4"/>
    </row>
    <row r="3" spans="1:8" ht="12.75">
      <c r="A3" s="15" t="s">
        <v>95</v>
      </c>
      <c r="B3" s="25"/>
      <c r="C3" s="26"/>
      <c r="D3" s="4"/>
      <c r="E3" s="4"/>
      <c r="F3" s="4"/>
      <c r="G3" s="4"/>
      <c r="H3" s="4"/>
    </row>
    <row r="4" spans="1:8" ht="12.75">
      <c r="A4" s="219"/>
      <c r="B4" s="27" t="s">
        <v>96</v>
      </c>
      <c r="C4" s="414" t="s">
        <v>97</v>
      </c>
      <c r="D4" s="415"/>
      <c r="E4" s="415"/>
      <c r="F4" s="415"/>
      <c r="G4" s="415"/>
      <c r="H4" s="416"/>
    </row>
    <row r="5" spans="1:8" ht="12.75">
      <c r="A5" s="16" t="s">
        <v>98</v>
      </c>
      <c r="B5" s="220">
        <f>((51+167)/2)*1000000000</f>
        <v>109000000000</v>
      </c>
      <c r="C5" s="221" t="s">
        <v>99</v>
      </c>
      <c r="D5" s="222"/>
      <c r="E5" s="222"/>
      <c r="F5" s="222"/>
      <c r="G5" s="222"/>
      <c r="H5" s="223"/>
    </row>
    <row r="6" spans="1:8" ht="12.75">
      <c r="A6" s="16" t="s">
        <v>100</v>
      </c>
      <c r="B6" s="220">
        <f>((75+43)/2+(210+530)/2)*1000000000</f>
        <v>429000000000</v>
      </c>
      <c r="C6" s="417" t="s">
        <v>101</v>
      </c>
      <c r="D6" s="405"/>
      <c r="E6" s="405"/>
      <c r="F6" s="405"/>
      <c r="G6" s="405"/>
      <c r="H6" s="406"/>
    </row>
    <row r="7" spans="1:8" ht="12.75">
      <c r="A7" s="16" t="s">
        <v>102</v>
      </c>
      <c r="B7" s="220">
        <f>(462293+1119626)/2*1000000</f>
        <v>790959500000</v>
      </c>
      <c r="C7" s="412" t="s">
        <v>2630</v>
      </c>
      <c r="D7" s="405"/>
      <c r="E7" s="405"/>
      <c r="F7" s="405"/>
      <c r="G7" s="405"/>
      <c r="H7" s="406"/>
    </row>
    <row r="8" spans="1:8" ht="12.75">
      <c r="A8" s="16" t="s">
        <v>103</v>
      </c>
      <c r="B8" s="220">
        <f>(400+900)/2*1000000000</f>
        <v>650000000000</v>
      </c>
      <c r="C8" s="417" t="s">
        <v>104</v>
      </c>
      <c r="D8" s="405"/>
      <c r="E8" s="405"/>
      <c r="F8" s="405"/>
      <c r="G8" s="405"/>
      <c r="H8" s="406"/>
    </row>
    <row r="9" spans="1:8" ht="12.75">
      <c r="A9" s="16" t="s">
        <v>105</v>
      </c>
      <c r="B9" s="220">
        <f>(310+700)/2*1000000000</f>
        <v>505000000000</v>
      </c>
      <c r="C9" s="417" t="s">
        <v>104</v>
      </c>
      <c r="D9" s="405"/>
      <c r="E9" s="405"/>
      <c r="F9" s="405"/>
      <c r="G9" s="405"/>
      <c r="H9" s="406"/>
    </row>
    <row r="10" spans="1:8" ht="12.75">
      <c r="A10" s="16" t="s">
        <v>106</v>
      </c>
      <c r="B10" s="224">
        <v>0.88500000000000001</v>
      </c>
      <c r="C10" s="417" t="s">
        <v>104</v>
      </c>
      <c r="D10" s="405"/>
      <c r="E10" s="405"/>
      <c r="F10" s="405"/>
      <c r="G10" s="405"/>
      <c r="H10" s="406"/>
    </row>
    <row r="11" spans="1:8" ht="12.75">
      <c r="A11" s="16" t="s">
        <v>107</v>
      </c>
      <c r="B11" s="224">
        <v>0.68</v>
      </c>
      <c r="C11" s="417" t="s">
        <v>104</v>
      </c>
      <c r="D11" s="405"/>
      <c r="E11" s="405"/>
      <c r="F11" s="405"/>
      <c r="G11" s="405"/>
      <c r="H11" s="406"/>
    </row>
    <row r="12" spans="1:8" ht="12.75">
      <c r="A12" s="16" t="s">
        <v>108</v>
      </c>
      <c r="B12" s="220">
        <f t="shared" ref="B12:B13" si="0">B8/B10</f>
        <v>734463276836.1582</v>
      </c>
      <c r="C12" s="407" t="s">
        <v>109</v>
      </c>
      <c r="D12" s="405"/>
      <c r="E12" s="405"/>
      <c r="F12" s="405"/>
      <c r="G12" s="405"/>
      <c r="H12" s="406"/>
    </row>
    <row r="13" spans="1:8" ht="12.75">
      <c r="A13" s="16" t="s">
        <v>110</v>
      </c>
      <c r="B13" s="220">
        <f t="shared" si="0"/>
        <v>742647058823.52942</v>
      </c>
      <c r="C13" s="407" t="s">
        <v>109</v>
      </c>
      <c r="D13" s="405"/>
      <c r="E13" s="405"/>
      <c r="F13" s="405"/>
      <c r="G13" s="405"/>
      <c r="H13" s="406"/>
    </row>
    <row r="14" spans="1:8" ht="12.75">
      <c r="A14" s="16" t="s">
        <v>111</v>
      </c>
      <c r="B14" s="224">
        <f>(B10+B11)/2</f>
        <v>0.78249999999999997</v>
      </c>
      <c r="C14" s="407" t="s">
        <v>112</v>
      </c>
      <c r="D14" s="405"/>
      <c r="E14" s="405"/>
      <c r="F14" s="405"/>
      <c r="G14" s="405"/>
      <c r="H14" s="406"/>
    </row>
    <row r="15" spans="1:8" ht="12.75">
      <c r="A15" s="16" t="s">
        <v>113</v>
      </c>
      <c r="B15" s="224">
        <v>0.76</v>
      </c>
      <c r="C15" s="417" t="s">
        <v>104</v>
      </c>
      <c r="D15" s="405"/>
      <c r="E15" s="405"/>
      <c r="F15" s="405"/>
      <c r="G15" s="405"/>
      <c r="H15" s="406"/>
    </row>
    <row r="16" spans="1:8" ht="12.75">
      <c r="A16" s="16" t="s">
        <v>114</v>
      </c>
      <c r="B16" s="224">
        <v>0.47</v>
      </c>
      <c r="C16" s="417" t="s">
        <v>104</v>
      </c>
      <c r="D16" s="405"/>
      <c r="E16" s="405"/>
      <c r="F16" s="405"/>
      <c r="G16" s="405"/>
      <c r="H16" s="406"/>
    </row>
    <row r="17" spans="1:9" ht="12.75">
      <c r="A17" s="16" t="s">
        <v>115</v>
      </c>
      <c r="B17" s="224">
        <f>(B15+B16)/2</f>
        <v>0.61499999999999999</v>
      </c>
      <c r="C17" s="407" t="s">
        <v>112</v>
      </c>
      <c r="D17" s="405"/>
      <c r="E17" s="405"/>
      <c r="F17" s="405"/>
      <c r="G17" s="405"/>
      <c r="H17" s="406"/>
    </row>
    <row r="18" spans="1:9" ht="12.75">
      <c r="A18" s="16" t="s">
        <v>116</v>
      </c>
      <c r="B18" s="224">
        <f>((B10-B15)+(B11-B16))/2</f>
        <v>0.16750000000000004</v>
      </c>
      <c r="C18" s="407" t="s">
        <v>112</v>
      </c>
      <c r="D18" s="405"/>
      <c r="E18" s="405"/>
      <c r="F18" s="405"/>
      <c r="G18" s="405"/>
      <c r="H18" s="406"/>
    </row>
    <row r="19" spans="1:9" ht="12.75">
      <c r="A19" s="16" t="s">
        <v>117</v>
      </c>
      <c r="B19" s="225">
        <f>(B7*B17)/B5</f>
        <v>4.4627531422018345</v>
      </c>
      <c r="C19" s="407" t="s">
        <v>118</v>
      </c>
      <c r="D19" s="405"/>
      <c r="E19" s="405"/>
      <c r="F19" s="405"/>
      <c r="G19" s="405"/>
      <c r="H19" s="406"/>
    </row>
    <row r="20" spans="1:9" ht="12.75">
      <c r="A20" s="226" t="s">
        <v>119</v>
      </c>
      <c r="B20" s="227">
        <v>0</v>
      </c>
      <c r="C20" s="407" t="s">
        <v>120</v>
      </c>
      <c r="D20" s="405"/>
      <c r="E20" s="405"/>
      <c r="F20" s="405"/>
      <c r="G20" s="405"/>
      <c r="H20" s="406"/>
    </row>
    <row r="21" spans="1:9" ht="12.75">
      <c r="A21" s="16" t="s">
        <v>121</v>
      </c>
      <c r="B21" s="225">
        <f>(B7*B18)/B6</f>
        <v>0.3088245134032635</v>
      </c>
      <c r="C21" s="407" t="s">
        <v>118</v>
      </c>
      <c r="D21" s="405"/>
      <c r="E21" s="405"/>
      <c r="F21" s="405"/>
      <c r="G21" s="405"/>
      <c r="H21" s="406"/>
    </row>
    <row r="22" spans="1:9" ht="12.75">
      <c r="A22" s="28" t="s">
        <v>122</v>
      </c>
      <c r="B22" s="228">
        <f>B21*(C54/C57)</f>
        <v>0.26854305513327265</v>
      </c>
      <c r="C22" s="408" t="s">
        <v>120</v>
      </c>
      <c r="D22" s="409"/>
      <c r="E22" s="409"/>
      <c r="F22" s="409"/>
      <c r="G22" s="409"/>
      <c r="H22" s="410"/>
    </row>
    <row r="23" spans="1:9" ht="12.75">
      <c r="C23" s="4"/>
      <c r="D23" s="4"/>
      <c r="E23" s="4"/>
      <c r="F23" s="4"/>
      <c r="G23" s="4"/>
      <c r="H23" s="4"/>
    </row>
    <row r="24" spans="1:9" ht="12.75">
      <c r="A24" s="15" t="s">
        <v>123</v>
      </c>
      <c r="B24" s="196"/>
      <c r="C24" s="222"/>
      <c r="D24" s="4"/>
      <c r="E24" s="4"/>
      <c r="F24" s="4"/>
      <c r="G24" s="4"/>
      <c r="H24" s="4"/>
    </row>
    <row r="25" spans="1:9" ht="12.75">
      <c r="A25" s="219"/>
      <c r="B25" s="27" t="s">
        <v>96</v>
      </c>
      <c r="C25" s="414" t="s">
        <v>97</v>
      </c>
      <c r="D25" s="415"/>
      <c r="E25" s="415"/>
      <c r="F25" s="415"/>
      <c r="G25" s="415"/>
      <c r="H25" s="416"/>
    </row>
    <row r="26" spans="1:9" ht="12.75">
      <c r="A26" s="16" t="s">
        <v>124</v>
      </c>
      <c r="B26" s="229">
        <v>2226375343</v>
      </c>
      <c r="C26" s="404" t="s">
        <v>2631</v>
      </c>
      <c r="D26" s="405"/>
      <c r="E26" s="405"/>
      <c r="F26" s="405"/>
      <c r="G26" s="405"/>
      <c r="H26" s="406"/>
      <c r="I26" s="160"/>
    </row>
    <row r="27" spans="1:9" ht="12.75">
      <c r="A27" s="23" t="s">
        <v>125</v>
      </c>
      <c r="B27" s="230">
        <v>0.22</v>
      </c>
      <c r="C27" s="412" t="s">
        <v>2628</v>
      </c>
      <c r="D27" s="405"/>
      <c r="E27" s="405"/>
      <c r="F27" s="405"/>
      <c r="G27" s="405"/>
      <c r="H27" s="406"/>
    </row>
    <row r="28" spans="1:9" ht="12.75">
      <c r="A28" s="23" t="s">
        <v>126</v>
      </c>
      <c r="B28" s="231">
        <v>0</v>
      </c>
      <c r="C28" s="413" t="s">
        <v>2629</v>
      </c>
      <c r="D28" s="405"/>
      <c r="E28" s="405"/>
      <c r="F28" s="405"/>
      <c r="G28" s="405"/>
      <c r="H28" s="406"/>
    </row>
    <row r="29" spans="1:9" ht="12.75">
      <c r="A29" s="23" t="s">
        <v>127</v>
      </c>
      <c r="B29" s="231">
        <f>(B27+B28)/2</f>
        <v>0.11</v>
      </c>
      <c r="C29" s="407" t="s">
        <v>128</v>
      </c>
      <c r="D29" s="405"/>
      <c r="E29" s="405"/>
      <c r="F29" s="405"/>
      <c r="G29" s="405"/>
      <c r="H29" s="406"/>
    </row>
    <row r="30" spans="1:9" ht="12.75">
      <c r="A30" s="232" t="s">
        <v>129</v>
      </c>
      <c r="B30" s="233">
        <f>(B7*B29)/B26</f>
        <v>39.079459478185569</v>
      </c>
      <c r="C30" s="408" t="s">
        <v>130</v>
      </c>
      <c r="D30" s="409"/>
      <c r="E30" s="409"/>
      <c r="F30" s="409"/>
      <c r="G30" s="409"/>
      <c r="H30" s="410"/>
      <c r="I30" s="160"/>
    </row>
    <row r="31" spans="1:9" ht="12.75">
      <c r="C31" s="4"/>
      <c r="D31" s="4"/>
      <c r="E31" s="4"/>
      <c r="F31" s="4"/>
      <c r="G31" s="4"/>
      <c r="H31" s="4"/>
    </row>
    <row r="32" spans="1:9" ht="12.75">
      <c r="C32" s="4"/>
      <c r="D32" s="4"/>
      <c r="E32" s="4"/>
      <c r="F32" s="4"/>
      <c r="G32" s="4"/>
      <c r="H32" s="4"/>
    </row>
    <row r="33" spans="1:8" ht="12.75">
      <c r="A33" s="15" t="s">
        <v>131</v>
      </c>
      <c r="B33" s="196"/>
      <c r="C33" s="196"/>
      <c r="D33" s="4"/>
      <c r="E33" s="4"/>
      <c r="F33" s="4"/>
      <c r="G33" s="4"/>
      <c r="H33" s="4"/>
    </row>
    <row r="34" spans="1:8" ht="12.75">
      <c r="A34" s="219"/>
      <c r="B34" s="27" t="s">
        <v>96</v>
      </c>
      <c r="C34" s="414" t="s">
        <v>97</v>
      </c>
      <c r="D34" s="415"/>
      <c r="E34" s="415"/>
      <c r="F34" s="415"/>
      <c r="G34" s="415"/>
      <c r="H34" s="416"/>
    </row>
    <row r="35" spans="1:8" ht="12.75">
      <c r="A35" s="16" t="s">
        <v>132</v>
      </c>
      <c r="B35" s="220">
        <f>80124099*1000</f>
        <v>80124099000</v>
      </c>
      <c r="C35" s="404" t="s">
        <v>2631</v>
      </c>
      <c r="D35" s="405"/>
      <c r="E35" s="405"/>
      <c r="F35" s="405"/>
      <c r="G35" s="405"/>
      <c r="H35" s="406"/>
    </row>
    <row r="36" spans="1:8" ht="12.75">
      <c r="A36" s="23" t="s">
        <v>2632</v>
      </c>
      <c r="B36" s="220">
        <f>10877434*1000</f>
        <v>10877434000</v>
      </c>
      <c r="C36" s="404" t="s">
        <v>2631</v>
      </c>
      <c r="D36" s="405"/>
      <c r="E36" s="405"/>
      <c r="F36" s="405"/>
      <c r="G36" s="405"/>
      <c r="H36" s="406"/>
    </row>
    <row r="37" spans="1:8" ht="12.75">
      <c r="A37" s="23" t="s">
        <v>133</v>
      </c>
      <c r="B37" s="220">
        <f>614345*1000</f>
        <v>614345000</v>
      </c>
      <c r="C37" s="404" t="s">
        <v>2631</v>
      </c>
      <c r="D37" s="405"/>
      <c r="E37" s="405"/>
      <c r="F37" s="405"/>
      <c r="G37" s="405"/>
      <c r="H37" s="406"/>
    </row>
    <row r="38" spans="1:8" ht="12.75">
      <c r="A38" s="23" t="s">
        <v>134</v>
      </c>
      <c r="B38" s="230">
        <v>0.05</v>
      </c>
      <c r="C38" s="407" t="s">
        <v>135</v>
      </c>
      <c r="D38" s="405"/>
      <c r="E38" s="405"/>
      <c r="F38" s="405"/>
      <c r="G38" s="405"/>
      <c r="H38" s="406"/>
    </row>
    <row r="39" spans="1:8" ht="12.75">
      <c r="A39" s="23" t="s">
        <v>136</v>
      </c>
      <c r="B39" s="231">
        <v>0</v>
      </c>
      <c r="C39" s="411" t="s">
        <v>137</v>
      </c>
      <c r="D39" s="405"/>
      <c r="E39" s="405"/>
      <c r="F39" s="405"/>
      <c r="G39" s="405"/>
      <c r="H39" s="406"/>
    </row>
    <row r="40" spans="1:8" ht="12.75">
      <c r="A40" s="23" t="s">
        <v>138</v>
      </c>
      <c r="B40" s="234">
        <f>(B38+B39)/2</f>
        <v>2.5000000000000001E-2</v>
      </c>
      <c r="C40" s="407" t="s">
        <v>128</v>
      </c>
      <c r="D40" s="405"/>
      <c r="E40" s="405"/>
      <c r="F40" s="405"/>
      <c r="G40" s="405"/>
      <c r="H40" s="406"/>
    </row>
    <row r="41" spans="1:8" ht="12.75">
      <c r="A41" s="23" t="s">
        <v>139</v>
      </c>
      <c r="B41" s="220">
        <f>C65*B35</f>
        <v>367929862608.00006</v>
      </c>
      <c r="C41" s="407" t="s">
        <v>140</v>
      </c>
      <c r="D41" s="405"/>
      <c r="E41" s="405"/>
      <c r="F41" s="405"/>
      <c r="G41" s="405"/>
      <c r="H41" s="406"/>
    </row>
    <row r="42" spans="1:8" ht="12.75">
      <c r="A42" s="23" t="s">
        <v>141</v>
      </c>
      <c r="B42" s="220">
        <f>D65*B36</f>
        <v>368257703556.79999</v>
      </c>
      <c r="C42" s="407" t="s">
        <v>140</v>
      </c>
      <c r="D42" s="405"/>
      <c r="E42" s="405"/>
      <c r="F42" s="405"/>
      <c r="G42" s="405"/>
      <c r="H42" s="406"/>
    </row>
    <row r="43" spans="1:8" ht="12.75">
      <c r="A43" s="23" t="s">
        <v>142</v>
      </c>
      <c r="B43" s="234">
        <f>B40*(B41/(B41+B42))</f>
        <v>1.2494433467708036E-2</v>
      </c>
      <c r="C43" s="407" t="s">
        <v>143</v>
      </c>
      <c r="D43" s="405"/>
      <c r="E43" s="405"/>
      <c r="F43" s="405"/>
      <c r="G43" s="405"/>
      <c r="H43" s="406"/>
    </row>
    <row r="44" spans="1:8" ht="12.75">
      <c r="A44" s="23" t="s">
        <v>144</v>
      </c>
      <c r="B44" s="234">
        <f>B40*(B42/(B41+B42))</f>
        <v>1.2505566532291965E-2</v>
      </c>
      <c r="C44" s="407" t="s">
        <v>143</v>
      </c>
      <c r="D44" s="405"/>
      <c r="E44" s="405"/>
      <c r="F44" s="405"/>
      <c r="G44" s="405"/>
      <c r="H44" s="406"/>
    </row>
    <row r="45" spans="1:8" ht="12.75">
      <c r="A45" s="235" t="s">
        <v>145</v>
      </c>
      <c r="B45" s="236">
        <f>(B7*B43)/B35</f>
        <v>0.12334105433624427</v>
      </c>
      <c r="C45" s="407" t="s">
        <v>109</v>
      </c>
      <c r="D45" s="405"/>
      <c r="E45" s="405"/>
      <c r="F45" s="405"/>
      <c r="G45" s="405"/>
      <c r="H45" s="406"/>
    </row>
    <row r="46" spans="1:8" ht="12.75">
      <c r="A46" s="232" t="s">
        <v>146</v>
      </c>
      <c r="B46" s="233">
        <f>(B7*B44)/B36</f>
        <v>0.90935018788423694</v>
      </c>
      <c r="C46" s="408" t="s">
        <v>109</v>
      </c>
      <c r="D46" s="409"/>
      <c r="E46" s="409"/>
      <c r="F46" s="409"/>
      <c r="G46" s="409"/>
      <c r="H46" s="410"/>
    </row>
    <row r="47" spans="1:8" ht="12.75">
      <c r="C47" s="4"/>
      <c r="D47" s="4"/>
      <c r="E47" s="4"/>
      <c r="F47" s="4"/>
      <c r="G47" s="4"/>
      <c r="H47" s="4"/>
    </row>
    <row r="48" spans="1:8" ht="12.75">
      <c r="C48" s="4"/>
      <c r="D48" s="4"/>
      <c r="E48" s="4"/>
      <c r="F48" s="4"/>
      <c r="G48" s="4"/>
      <c r="H48" s="4"/>
    </row>
    <row r="49" spans="1:8">
      <c r="A49" s="29" t="s">
        <v>147</v>
      </c>
      <c r="C49" s="4"/>
      <c r="D49" s="4"/>
      <c r="E49" s="4"/>
      <c r="F49" s="4"/>
      <c r="G49" s="4"/>
      <c r="H49" s="4"/>
    </row>
    <row r="50" spans="1:8" ht="12.75">
      <c r="C50" s="4"/>
      <c r="D50" s="4"/>
      <c r="E50" s="4"/>
      <c r="F50" s="4"/>
      <c r="G50" s="4"/>
      <c r="H50" s="4"/>
    </row>
    <row r="51" spans="1:8" ht="12.75">
      <c r="A51" s="5" t="s">
        <v>148</v>
      </c>
      <c r="C51" s="4"/>
      <c r="D51" s="4"/>
      <c r="E51" s="4"/>
      <c r="F51" s="4"/>
      <c r="G51" s="4"/>
      <c r="H51" s="4"/>
    </row>
    <row r="52" spans="1:8" ht="12.75">
      <c r="A52" s="30"/>
      <c r="B52" s="31" t="s">
        <v>32</v>
      </c>
      <c r="C52" s="237" t="s">
        <v>50</v>
      </c>
      <c r="D52" s="4"/>
      <c r="E52" s="4"/>
      <c r="F52" s="4"/>
      <c r="G52" s="4"/>
      <c r="H52" s="4"/>
    </row>
    <row r="53" spans="1:8" ht="12.75">
      <c r="A53" s="23" t="s">
        <v>149</v>
      </c>
      <c r="B53" s="24">
        <f>1/0.22</f>
        <v>4.5454545454545459</v>
      </c>
      <c r="C53" s="238">
        <f>1/0.46</f>
        <v>2.1739130434782608</v>
      </c>
      <c r="D53" s="4"/>
      <c r="E53" s="4"/>
      <c r="F53" s="4"/>
      <c r="G53" s="4"/>
      <c r="H53" s="4"/>
    </row>
    <row r="54" spans="1:8" ht="12.75">
      <c r="A54" s="23" t="s">
        <v>150</v>
      </c>
      <c r="B54" s="24">
        <f ca="1">IFERROR(__xludf.DUMMYFUNCTION("average.weighted('Fish and shellfish calculations'!E7,(2/3*'Fish and shellfish calculations'!B7),'Fish and shellfish calculations'!E9,'Fish and shellfish calculations'!B9,'Fish and shellfish calculations'!E11,'Fish and shellfish calculations'!B11,'Fish an"&amp;"d shellfish calculations'!E13,'Fish and shellfish calculations'!B13)/1000"),2.93478749999999)</f>
        <v>2.9347874999999899</v>
      </c>
      <c r="C54" s="19">
        <f>'Fish and shellfish calculations'!E19/1000</f>
        <v>0.02</v>
      </c>
      <c r="D54" s="4"/>
      <c r="E54" s="4"/>
      <c r="F54" s="4"/>
      <c r="G54" s="4"/>
      <c r="H54" s="4"/>
    </row>
    <row r="55" spans="1:8" ht="12.75">
      <c r="A55" s="23" t="s">
        <v>151</v>
      </c>
      <c r="B55" s="239">
        <f>(16196476*1000)/B7</f>
        <v>2.0476997874101014E-2</v>
      </c>
      <c r="C55" s="240">
        <f>B55</f>
        <v>2.0476997874101014E-2</v>
      </c>
      <c r="D55" s="4"/>
      <c r="E55" s="4"/>
      <c r="F55" s="4"/>
      <c r="G55" s="4"/>
      <c r="H55" s="4"/>
    </row>
    <row r="56" spans="1:8" ht="12.75">
      <c r="A56" s="235" t="s">
        <v>152</v>
      </c>
      <c r="B56" s="241">
        <f t="shared" ref="B56:C56" ca="1" si="1">(B54/B53)/B55</f>
        <v>31.530659619621773</v>
      </c>
      <c r="C56" s="242">
        <f t="shared" si="1"/>
        <v>0.44928460981265306</v>
      </c>
      <c r="D56" s="4"/>
      <c r="E56" s="4"/>
      <c r="F56" s="4"/>
      <c r="G56" s="4"/>
      <c r="H56" s="4"/>
    </row>
    <row r="57" spans="1:8" ht="12.75">
      <c r="A57" s="23" t="s">
        <v>153</v>
      </c>
      <c r="B57" s="239">
        <f>(317+1042)/2/1000</f>
        <v>0.67949999999999999</v>
      </c>
      <c r="C57" s="19">
        <f>(14+32)/2/1000</f>
        <v>2.3E-2</v>
      </c>
      <c r="D57" s="4"/>
      <c r="E57" s="4"/>
      <c r="F57" s="4"/>
      <c r="G57" s="4"/>
      <c r="H57" s="4"/>
    </row>
    <row r="58" spans="1:8" ht="12.75">
      <c r="A58" s="232" t="s">
        <v>154</v>
      </c>
      <c r="B58" s="243">
        <f t="shared" ref="B58:C58" si="2">(B57/B53)/B55</f>
        <v>7.3003865566188582</v>
      </c>
      <c r="C58" s="244">
        <f t="shared" si="2"/>
        <v>0.51667730128455103</v>
      </c>
      <c r="D58" s="4"/>
      <c r="E58" s="4"/>
      <c r="F58" s="4"/>
      <c r="G58" s="4"/>
      <c r="H58" s="4"/>
    </row>
    <row r="59" spans="1:8" ht="12.75">
      <c r="C59" s="4"/>
      <c r="D59" s="4"/>
      <c r="E59" s="4"/>
      <c r="F59" s="4"/>
      <c r="G59" s="4"/>
      <c r="H59" s="4"/>
    </row>
    <row r="60" spans="1:8" ht="12.75">
      <c r="A60" s="5" t="s">
        <v>155</v>
      </c>
      <c r="C60" s="4"/>
      <c r="D60" s="4"/>
      <c r="E60" s="4"/>
      <c r="F60" s="4"/>
      <c r="G60" s="4"/>
      <c r="H60" s="4"/>
    </row>
    <row r="61" spans="1:8" ht="12.75">
      <c r="A61" s="30"/>
      <c r="B61" s="31" t="s">
        <v>156</v>
      </c>
      <c r="C61" s="31" t="s">
        <v>157</v>
      </c>
      <c r="D61" s="237" t="s">
        <v>158</v>
      </c>
      <c r="E61" s="4"/>
      <c r="F61" s="4"/>
      <c r="G61" s="4"/>
    </row>
    <row r="62" spans="1:8" ht="12.75">
      <c r="A62" s="23" t="s">
        <v>159</v>
      </c>
      <c r="B62" s="18">
        <v>2.8</v>
      </c>
      <c r="C62" s="18">
        <v>1.6</v>
      </c>
      <c r="D62" s="19">
        <v>2</v>
      </c>
      <c r="E62" s="4"/>
      <c r="F62" s="4"/>
      <c r="G62" s="4"/>
    </row>
    <row r="63" spans="1:8" ht="12.75">
      <c r="A63" s="23" t="s">
        <v>160</v>
      </c>
      <c r="B63" s="24">
        <f>2500/560*0.5</f>
        <v>2.2321428571428572</v>
      </c>
      <c r="C63" s="24">
        <f>B63</f>
        <v>2.2321428571428572</v>
      </c>
      <c r="D63" s="238">
        <f>B63</f>
        <v>2.2321428571428572</v>
      </c>
      <c r="E63" s="4"/>
      <c r="F63" s="4"/>
      <c r="G63" s="4"/>
    </row>
    <row r="64" spans="1:8" ht="12.75">
      <c r="A64" s="23" t="s">
        <v>161</v>
      </c>
      <c r="B64" s="18">
        <v>131.1</v>
      </c>
      <c r="C64" s="18">
        <v>2.87</v>
      </c>
      <c r="D64" s="238">
        <f>'FAO livestock data U.S.'!G7/10/1000</f>
        <v>16.927599999999998</v>
      </c>
      <c r="E64" s="4"/>
      <c r="F64" s="4"/>
      <c r="G64" s="4"/>
    </row>
    <row r="65" spans="1:8" ht="12.75">
      <c r="A65" s="23" t="s">
        <v>162</v>
      </c>
      <c r="B65" s="24">
        <f t="shared" ref="B65:D65" si="3">B64*B62</f>
        <v>367.08</v>
      </c>
      <c r="C65" s="24">
        <f t="shared" si="3"/>
        <v>4.5920000000000005</v>
      </c>
      <c r="D65" s="238">
        <f t="shared" si="3"/>
        <v>33.855199999999996</v>
      </c>
      <c r="E65" s="4"/>
      <c r="F65" s="4"/>
      <c r="G65" s="4"/>
    </row>
    <row r="66" spans="1:8" ht="12.75">
      <c r="A66" s="23" t="s">
        <v>163</v>
      </c>
      <c r="B66" s="239">
        <f>(20*0.45*0.05)/B65</f>
        <v>1.2258908139915006E-3</v>
      </c>
      <c r="C66" s="18">
        <v>0.02</v>
      </c>
      <c r="D66" s="19">
        <f>C66</f>
        <v>0.02</v>
      </c>
      <c r="E66" s="4"/>
      <c r="F66" s="4"/>
      <c r="G66" s="4"/>
    </row>
    <row r="67" spans="1:8" ht="12.75">
      <c r="A67" s="23" t="s">
        <v>164</v>
      </c>
      <c r="B67" s="245">
        <f t="shared" ref="B67:D67" si="4">B66*B65</f>
        <v>0.45</v>
      </c>
      <c r="C67" s="24">
        <f t="shared" si="4"/>
        <v>9.1840000000000019E-2</v>
      </c>
      <c r="D67" s="238">
        <f t="shared" si="4"/>
        <v>0.67710399999999993</v>
      </c>
      <c r="E67" s="4"/>
      <c r="F67" s="4"/>
      <c r="G67" s="4"/>
    </row>
    <row r="68" spans="1:8" ht="12.75">
      <c r="A68" s="232" t="s">
        <v>165</v>
      </c>
      <c r="B68" s="243">
        <f>(B67*B63)/B55</f>
        <v>49.053298334553062</v>
      </c>
      <c r="C68" s="243">
        <f>(C67*C63)/B55</f>
        <v>10.011233153434119</v>
      </c>
      <c r="D68" s="244">
        <f>(D67*D63)/B55</f>
        <v>73.809298923376019</v>
      </c>
      <c r="E68" s="4"/>
      <c r="F68" s="4"/>
      <c r="G68" s="4"/>
    </row>
    <row r="69" spans="1:8" ht="12.75">
      <c r="C69" s="4"/>
      <c r="D69" s="4"/>
      <c r="E69" s="4"/>
      <c r="F69" s="4"/>
      <c r="G69" s="4"/>
      <c r="H69" s="4"/>
    </row>
    <row r="70" spans="1:8" ht="12.75">
      <c r="C70" s="4"/>
      <c r="D70" s="4"/>
      <c r="E70" s="4"/>
      <c r="F70" s="4"/>
      <c r="G70" s="4"/>
      <c r="H70" s="4"/>
    </row>
    <row r="71" spans="1:8" ht="12.75">
      <c r="C71" s="4"/>
      <c r="D71" s="4"/>
      <c r="E71" s="4"/>
      <c r="F71" s="4"/>
      <c r="G71" s="4"/>
      <c r="H71" s="4"/>
    </row>
    <row r="72" spans="1:8" ht="12.75">
      <c r="C72" s="4"/>
      <c r="D72" s="4"/>
      <c r="E72" s="4"/>
      <c r="F72" s="4"/>
      <c r="G72" s="4"/>
      <c r="H72" s="4"/>
    </row>
    <row r="73" spans="1:8" ht="12.75">
      <c r="C73" s="4"/>
      <c r="D73" s="4"/>
      <c r="E73" s="4"/>
      <c r="F73" s="4"/>
      <c r="G73" s="4"/>
      <c r="H73" s="4"/>
    </row>
    <row r="74" spans="1:8" ht="12.75">
      <c r="C74" s="4"/>
      <c r="D74" s="4"/>
      <c r="E74" s="4"/>
      <c r="F74" s="4"/>
      <c r="G74" s="4"/>
      <c r="H74" s="4"/>
    </row>
    <row r="75" spans="1:8" ht="12.75">
      <c r="C75" s="4"/>
      <c r="D75" s="4"/>
      <c r="E75" s="4"/>
      <c r="F75" s="4"/>
      <c r="G75" s="4"/>
      <c r="H75" s="4"/>
    </row>
    <row r="76" spans="1:8" ht="12.75">
      <c r="C76" s="4"/>
      <c r="D76" s="4"/>
      <c r="E76" s="4"/>
      <c r="F76" s="4"/>
      <c r="G76" s="4"/>
      <c r="H76" s="4"/>
    </row>
    <row r="77" spans="1:8" ht="12.75">
      <c r="C77" s="4"/>
      <c r="D77" s="4"/>
      <c r="E77" s="4"/>
      <c r="F77" s="4"/>
      <c r="G77" s="4"/>
      <c r="H77" s="4"/>
    </row>
    <row r="78" spans="1:8" ht="12.75">
      <c r="C78" s="4"/>
      <c r="D78" s="4"/>
      <c r="E78" s="4"/>
      <c r="F78" s="4"/>
      <c r="G78" s="4"/>
      <c r="H78" s="4"/>
    </row>
    <row r="79" spans="1:8" ht="12.75">
      <c r="C79" s="4"/>
      <c r="D79" s="4"/>
      <c r="E79" s="4"/>
      <c r="F79" s="4"/>
      <c r="G79" s="4"/>
      <c r="H79" s="4"/>
    </row>
    <row r="80" spans="1:8" ht="12.75">
      <c r="C80" s="4"/>
      <c r="D80" s="4"/>
      <c r="E80" s="4"/>
      <c r="F80" s="4"/>
      <c r="G80" s="4"/>
      <c r="H80" s="4"/>
    </row>
    <row r="81" spans="3:8" ht="12.75">
      <c r="C81" s="4"/>
      <c r="D81" s="4"/>
      <c r="E81" s="4"/>
      <c r="F81" s="4"/>
      <c r="G81" s="4"/>
      <c r="H81" s="4"/>
    </row>
    <row r="82" spans="3:8" ht="12.75">
      <c r="C82" s="4"/>
      <c r="D82" s="4"/>
      <c r="E82" s="4"/>
      <c r="F82" s="4"/>
      <c r="G82" s="4"/>
      <c r="H82" s="4"/>
    </row>
    <row r="83" spans="3:8" ht="12.75">
      <c r="C83" s="4"/>
      <c r="D83" s="4"/>
      <c r="E83" s="4"/>
      <c r="F83" s="4"/>
      <c r="G83" s="4"/>
      <c r="H83" s="4"/>
    </row>
    <row r="84" spans="3:8" ht="12.75">
      <c r="C84" s="4"/>
      <c r="D84" s="4"/>
      <c r="E84" s="4"/>
      <c r="F84" s="4"/>
      <c r="G84" s="4"/>
      <c r="H84" s="4"/>
    </row>
    <row r="85" spans="3:8" ht="12.75">
      <c r="C85" s="4"/>
      <c r="D85" s="4"/>
      <c r="E85" s="4"/>
      <c r="F85" s="4"/>
      <c r="G85" s="4"/>
      <c r="H85" s="4"/>
    </row>
    <row r="86" spans="3:8" ht="12.75">
      <c r="C86" s="4"/>
      <c r="D86" s="4"/>
      <c r="E86" s="4"/>
      <c r="F86" s="4"/>
      <c r="G86" s="4"/>
      <c r="H86" s="4"/>
    </row>
    <row r="87" spans="3:8" ht="12.75">
      <c r="C87" s="4"/>
      <c r="D87" s="4"/>
      <c r="E87" s="4"/>
      <c r="F87" s="4"/>
      <c r="G87" s="4"/>
      <c r="H87" s="4"/>
    </row>
    <row r="88" spans="3:8" ht="12.75">
      <c r="C88" s="4"/>
      <c r="D88" s="4"/>
      <c r="E88" s="4"/>
      <c r="F88" s="4"/>
      <c r="G88" s="4"/>
      <c r="H88" s="4"/>
    </row>
    <row r="89" spans="3:8" ht="12.75">
      <c r="C89" s="4"/>
      <c r="D89" s="4"/>
      <c r="E89" s="4"/>
      <c r="F89" s="4"/>
      <c r="G89" s="4"/>
      <c r="H89" s="4"/>
    </row>
    <row r="90" spans="3:8" ht="12.75">
      <c r="C90" s="4"/>
      <c r="D90" s="4"/>
      <c r="E90" s="4"/>
      <c r="F90" s="4"/>
      <c r="G90" s="4"/>
      <c r="H90" s="4"/>
    </row>
    <row r="91" spans="3:8" ht="12.75">
      <c r="C91" s="4"/>
      <c r="D91" s="4"/>
      <c r="E91" s="4"/>
      <c r="F91" s="4"/>
      <c r="G91" s="4"/>
      <c r="H91" s="4"/>
    </row>
    <row r="92" spans="3:8" ht="12.75">
      <c r="C92" s="4"/>
      <c r="D92" s="4"/>
      <c r="E92" s="4"/>
      <c r="F92" s="4"/>
      <c r="G92" s="4"/>
      <c r="H92" s="4"/>
    </row>
    <row r="93" spans="3:8" ht="12.75">
      <c r="C93" s="4"/>
      <c r="D93" s="4"/>
      <c r="E93" s="4"/>
      <c r="F93" s="4"/>
      <c r="G93" s="4"/>
      <c r="H93" s="4"/>
    </row>
    <row r="94" spans="3:8" ht="12.75">
      <c r="C94" s="4"/>
      <c r="D94" s="4"/>
      <c r="E94" s="4"/>
      <c r="F94" s="4"/>
      <c r="G94" s="4"/>
      <c r="H94" s="4"/>
    </row>
    <row r="95" spans="3:8" ht="12.75">
      <c r="C95" s="4"/>
      <c r="D95" s="4"/>
      <c r="E95" s="4"/>
      <c r="F95" s="4"/>
      <c r="G95" s="4"/>
      <c r="H95" s="4"/>
    </row>
    <row r="96" spans="3:8" ht="12.75">
      <c r="C96" s="4"/>
      <c r="D96" s="4"/>
      <c r="E96" s="4"/>
      <c r="F96" s="4"/>
      <c r="G96" s="4"/>
      <c r="H96" s="4"/>
    </row>
    <row r="97" spans="3:8" ht="12.75">
      <c r="C97" s="4"/>
      <c r="D97" s="4"/>
      <c r="E97" s="4"/>
      <c r="F97" s="4"/>
      <c r="G97" s="4"/>
      <c r="H97" s="4"/>
    </row>
    <row r="98" spans="3:8" ht="12.75">
      <c r="C98" s="4"/>
      <c r="D98" s="4"/>
      <c r="E98" s="4"/>
      <c r="F98" s="4"/>
      <c r="G98" s="4"/>
      <c r="H98" s="4"/>
    </row>
    <row r="99" spans="3:8" ht="12.75">
      <c r="C99" s="4"/>
      <c r="D99" s="4"/>
      <c r="E99" s="4"/>
      <c r="F99" s="4"/>
      <c r="G99" s="4"/>
      <c r="H99" s="4"/>
    </row>
    <row r="100" spans="3:8" ht="12.75">
      <c r="C100" s="4"/>
      <c r="D100" s="4"/>
      <c r="E100" s="4"/>
      <c r="F100" s="4"/>
      <c r="G100" s="4"/>
      <c r="H100" s="4"/>
    </row>
    <row r="101" spans="3:8" ht="12.75">
      <c r="C101" s="4"/>
      <c r="D101" s="4"/>
      <c r="E101" s="4"/>
      <c r="F101" s="4"/>
      <c r="G101" s="4"/>
      <c r="H101" s="4"/>
    </row>
    <row r="102" spans="3:8" ht="12.75">
      <c r="C102" s="4"/>
      <c r="D102" s="4"/>
      <c r="E102" s="4"/>
      <c r="F102" s="4"/>
      <c r="G102" s="4"/>
      <c r="H102" s="4"/>
    </row>
    <row r="103" spans="3:8" ht="12.75">
      <c r="C103" s="4"/>
      <c r="D103" s="4"/>
      <c r="E103" s="4"/>
      <c r="F103" s="4"/>
      <c r="G103" s="4"/>
      <c r="H103" s="4"/>
    </row>
    <row r="104" spans="3:8" ht="12.75">
      <c r="C104" s="4"/>
      <c r="D104" s="4"/>
      <c r="E104" s="4"/>
      <c r="F104" s="4"/>
      <c r="G104" s="4"/>
      <c r="H104" s="4"/>
    </row>
    <row r="105" spans="3:8" ht="12.75">
      <c r="C105" s="4"/>
      <c r="D105" s="4"/>
      <c r="E105" s="4"/>
      <c r="F105" s="4"/>
      <c r="G105" s="4"/>
      <c r="H105" s="4"/>
    </row>
    <row r="106" spans="3:8" ht="12.75">
      <c r="C106" s="4"/>
      <c r="D106" s="4"/>
      <c r="E106" s="4"/>
      <c r="F106" s="4"/>
      <c r="G106" s="4"/>
      <c r="H106" s="4"/>
    </row>
    <row r="107" spans="3:8" ht="12.75">
      <c r="C107" s="4"/>
      <c r="D107" s="4"/>
      <c r="E107" s="4"/>
      <c r="F107" s="4"/>
      <c r="G107" s="4"/>
      <c r="H107" s="4"/>
    </row>
    <row r="108" spans="3:8" ht="12.75">
      <c r="C108" s="4"/>
      <c r="D108" s="4"/>
      <c r="E108" s="4"/>
      <c r="F108" s="4"/>
      <c r="G108" s="4"/>
      <c r="H108" s="4"/>
    </row>
    <row r="109" spans="3:8" ht="12.75">
      <c r="C109" s="4"/>
      <c r="D109" s="4"/>
      <c r="E109" s="4"/>
      <c r="F109" s="4"/>
      <c r="G109" s="4"/>
      <c r="H109" s="4"/>
    </row>
    <row r="110" spans="3:8" ht="12.75">
      <c r="C110" s="4"/>
      <c r="D110" s="4"/>
      <c r="E110" s="4"/>
      <c r="F110" s="4"/>
      <c r="G110" s="4"/>
      <c r="H110" s="4"/>
    </row>
    <row r="111" spans="3:8" ht="12.75">
      <c r="C111" s="4"/>
      <c r="D111" s="4"/>
      <c r="E111" s="4"/>
      <c r="F111" s="4"/>
      <c r="G111" s="4"/>
      <c r="H111" s="4"/>
    </row>
    <row r="112" spans="3:8" ht="12.75">
      <c r="C112" s="4"/>
      <c r="D112" s="4"/>
      <c r="E112" s="4"/>
      <c r="F112" s="4"/>
      <c r="G112" s="4"/>
      <c r="H112" s="4"/>
    </row>
    <row r="113" spans="3:8" ht="12.75">
      <c r="C113" s="4"/>
      <c r="D113" s="4"/>
      <c r="E113" s="4"/>
      <c r="F113" s="4"/>
      <c r="G113" s="4"/>
      <c r="H113" s="4"/>
    </row>
    <row r="114" spans="3:8" ht="12.75">
      <c r="C114" s="4"/>
      <c r="D114" s="4"/>
      <c r="E114" s="4"/>
      <c r="F114" s="4"/>
      <c r="G114" s="4"/>
      <c r="H114" s="4"/>
    </row>
    <row r="115" spans="3:8" ht="12.75">
      <c r="C115" s="4"/>
      <c r="D115" s="4"/>
      <c r="E115" s="4"/>
      <c r="F115" s="4"/>
      <c r="G115" s="4"/>
      <c r="H115" s="4"/>
    </row>
    <row r="116" spans="3:8" ht="12.75">
      <c r="C116" s="4"/>
      <c r="D116" s="4"/>
      <c r="E116" s="4"/>
      <c r="F116" s="4"/>
      <c r="G116" s="4"/>
      <c r="H116" s="4"/>
    </row>
    <row r="117" spans="3:8" ht="12.75">
      <c r="C117" s="4"/>
      <c r="D117" s="4"/>
      <c r="E117" s="4"/>
      <c r="F117" s="4"/>
      <c r="G117" s="4"/>
      <c r="H117" s="4"/>
    </row>
    <row r="118" spans="3:8" ht="12.75">
      <c r="C118" s="4"/>
      <c r="D118" s="4"/>
      <c r="E118" s="4"/>
      <c r="F118" s="4"/>
      <c r="G118" s="4"/>
      <c r="H118" s="4"/>
    </row>
    <row r="119" spans="3:8" ht="12.75">
      <c r="C119" s="4"/>
      <c r="D119" s="4"/>
      <c r="E119" s="4"/>
      <c r="F119" s="4"/>
      <c r="G119" s="4"/>
      <c r="H119" s="4"/>
    </row>
    <row r="120" spans="3:8" ht="12.75">
      <c r="C120" s="4"/>
      <c r="D120" s="4"/>
      <c r="E120" s="4"/>
      <c r="F120" s="4"/>
      <c r="G120" s="4"/>
      <c r="H120" s="4"/>
    </row>
    <row r="121" spans="3:8" ht="12.75">
      <c r="C121" s="4"/>
      <c r="D121" s="4"/>
      <c r="E121" s="4"/>
      <c r="F121" s="4"/>
      <c r="G121" s="4"/>
      <c r="H121" s="4"/>
    </row>
    <row r="122" spans="3:8" ht="12.75">
      <c r="C122" s="4"/>
      <c r="D122" s="4"/>
      <c r="E122" s="4"/>
      <c r="F122" s="4"/>
      <c r="G122" s="4"/>
      <c r="H122" s="4"/>
    </row>
    <row r="123" spans="3:8" ht="12.75">
      <c r="C123" s="4"/>
      <c r="D123" s="4"/>
      <c r="E123" s="4"/>
      <c r="F123" s="4"/>
      <c r="G123" s="4"/>
      <c r="H123" s="4"/>
    </row>
    <row r="124" spans="3:8" ht="12.75">
      <c r="C124" s="4"/>
      <c r="D124" s="4"/>
      <c r="E124" s="4"/>
      <c r="F124" s="4"/>
      <c r="G124" s="4"/>
      <c r="H124" s="4"/>
    </row>
    <row r="125" spans="3:8" ht="12.75">
      <c r="C125" s="4"/>
      <c r="D125" s="4"/>
      <c r="E125" s="4"/>
      <c r="F125" s="4"/>
      <c r="G125" s="4"/>
      <c r="H125" s="4"/>
    </row>
    <row r="126" spans="3:8" ht="12.75">
      <c r="C126" s="4"/>
      <c r="D126" s="4"/>
      <c r="E126" s="4"/>
      <c r="F126" s="4"/>
      <c r="G126" s="4"/>
      <c r="H126" s="4"/>
    </row>
    <row r="127" spans="3:8" ht="12.75">
      <c r="C127" s="4"/>
      <c r="D127" s="4"/>
      <c r="E127" s="4"/>
      <c r="F127" s="4"/>
      <c r="G127" s="4"/>
      <c r="H127" s="4"/>
    </row>
    <row r="128" spans="3:8" ht="12.75">
      <c r="C128" s="4"/>
      <c r="D128" s="4"/>
      <c r="E128" s="4"/>
      <c r="F128" s="4"/>
      <c r="G128" s="4"/>
      <c r="H128" s="4"/>
    </row>
    <row r="129" spans="3:8" ht="12.75">
      <c r="C129" s="4"/>
      <c r="D129" s="4"/>
      <c r="E129" s="4"/>
      <c r="F129" s="4"/>
      <c r="G129" s="4"/>
      <c r="H129" s="4"/>
    </row>
    <row r="130" spans="3:8" ht="12.75">
      <c r="C130" s="4"/>
      <c r="D130" s="4"/>
      <c r="E130" s="4"/>
      <c r="F130" s="4"/>
      <c r="G130" s="4"/>
      <c r="H130" s="4"/>
    </row>
    <row r="131" spans="3:8" ht="12.75">
      <c r="C131" s="4"/>
      <c r="D131" s="4"/>
      <c r="E131" s="4"/>
      <c r="F131" s="4"/>
      <c r="G131" s="4"/>
      <c r="H131" s="4"/>
    </row>
    <row r="132" spans="3:8" ht="12.75">
      <c r="C132" s="4"/>
      <c r="D132" s="4"/>
      <c r="E132" s="4"/>
      <c r="F132" s="4"/>
      <c r="G132" s="4"/>
      <c r="H132" s="4"/>
    </row>
    <row r="133" spans="3:8" ht="12.75">
      <c r="C133" s="4"/>
      <c r="D133" s="4"/>
      <c r="E133" s="4"/>
      <c r="F133" s="4"/>
      <c r="G133" s="4"/>
      <c r="H133" s="4"/>
    </row>
    <row r="134" spans="3:8" ht="12.75">
      <c r="C134" s="4"/>
      <c r="D134" s="4"/>
      <c r="E134" s="4"/>
      <c r="F134" s="4"/>
      <c r="G134" s="4"/>
      <c r="H134" s="4"/>
    </row>
    <row r="135" spans="3:8" ht="12.75">
      <c r="C135" s="4"/>
      <c r="D135" s="4"/>
      <c r="E135" s="4"/>
      <c r="F135" s="4"/>
      <c r="G135" s="4"/>
      <c r="H135" s="4"/>
    </row>
    <row r="136" spans="3:8" ht="12.75">
      <c r="C136" s="4"/>
      <c r="D136" s="4"/>
      <c r="E136" s="4"/>
      <c r="F136" s="4"/>
      <c r="G136" s="4"/>
      <c r="H136" s="4"/>
    </row>
    <row r="137" spans="3:8" ht="12.75">
      <c r="C137" s="4"/>
      <c r="D137" s="4"/>
      <c r="E137" s="4"/>
      <c r="F137" s="4"/>
      <c r="G137" s="4"/>
      <c r="H137" s="4"/>
    </row>
    <row r="138" spans="3:8" ht="12.75">
      <c r="C138" s="4"/>
      <c r="D138" s="4"/>
      <c r="E138" s="4"/>
      <c r="F138" s="4"/>
      <c r="G138" s="4"/>
      <c r="H138" s="4"/>
    </row>
    <row r="139" spans="3:8" ht="12.75">
      <c r="C139" s="4"/>
      <c r="D139" s="4"/>
      <c r="E139" s="4"/>
      <c r="F139" s="4"/>
      <c r="G139" s="4"/>
      <c r="H139" s="4"/>
    </row>
    <row r="140" spans="3:8" ht="12.75">
      <c r="C140" s="4"/>
      <c r="D140" s="4"/>
      <c r="E140" s="4"/>
      <c r="F140" s="4"/>
      <c r="G140" s="4"/>
      <c r="H140" s="4"/>
    </row>
    <row r="141" spans="3:8" ht="12.75">
      <c r="C141" s="4"/>
      <c r="D141" s="4"/>
      <c r="E141" s="4"/>
      <c r="F141" s="4"/>
      <c r="G141" s="4"/>
      <c r="H141" s="4"/>
    </row>
    <row r="142" spans="3:8" ht="12.75">
      <c r="C142" s="4"/>
      <c r="D142" s="4"/>
      <c r="E142" s="4"/>
      <c r="F142" s="4"/>
      <c r="G142" s="4"/>
      <c r="H142" s="4"/>
    </row>
    <row r="143" spans="3:8" ht="12.75">
      <c r="C143" s="4"/>
      <c r="D143" s="4"/>
      <c r="E143" s="4"/>
      <c r="F143" s="4"/>
      <c r="G143" s="4"/>
      <c r="H143" s="4"/>
    </row>
    <row r="144" spans="3:8" ht="12.75">
      <c r="C144" s="4"/>
      <c r="D144" s="4"/>
      <c r="E144" s="4"/>
      <c r="F144" s="4"/>
      <c r="G144" s="4"/>
      <c r="H144" s="4"/>
    </row>
    <row r="145" spans="3:8" ht="12.75">
      <c r="C145" s="4"/>
      <c r="D145" s="4"/>
      <c r="E145" s="4"/>
      <c r="F145" s="4"/>
      <c r="G145" s="4"/>
      <c r="H145" s="4"/>
    </row>
    <row r="146" spans="3:8" ht="12.75">
      <c r="C146" s="4"/>
      <c r="D146" s="4"/>
      <c r="E146" s="4"/>
      <c r="F146" s="4"/>
      <c r="G146" s="4"/>
      <c r="H146" s="4"/>
    </row>
    <row r="147" spans="3:8" ht="12.75">
      <c r="C147" s="4"/>
      <c r="D147" s="4"/>
      <c r="E147" s="4"/>
      <c r="F147" s="4"/>
      <c r="G147" s="4"/>
      <c r="H147" s="4"/>
    </row>
    <row r="148" spans="3:8" ht="12.75">
      <c r="C148" s="4"/>
      <c r="D148" s="4"/>
      <c r="E148" s="4"/>
      <c r="F148" s="4"/>
      <c r="G148" s="4"/>
      <c r="H148" s="4"/>
    </row>
    <row r="149" spans="3:8" ht="12.75">
      <c r="C149" s="4"/>
      <c r="D149" s="4"/>
      <c r="E149" s="4"/>
      <c r="F149" s="4"/>
      <c r="G149" s="4"/>
      <c r="H149" s="4"/>
    </row>
    <row r="150" spans="3:8" ht="12.75">
      <c r="C150" s="4"/>
      <c r="D150" s="4"/>
      <c r="E150" s="4"/>
      <c r="F150" s="4"/>
      <c r="G150" s="4"/>
      <c r="H150" s="4"/>
    </row>
    <row r="151" spans="3:8" ht="12.75">
      <c r="C151" s="4"/>
      <c r="D151" s="4"/>
      <c r="E151" s="4"/>
      <c r="F151" s="4"/>
      <c r="G151" s="4"/>
      <c r="H151" s="4"/>
    </row>
    <row r="152" spans="3:8" ht="12.75">
      <c r="C152" s="4"/>
      <c r="D152" s="4"/>
      <c r="E152" s="4"/>
      <c r="F152" s="4"/>
      <c r="G152" s="4"/>
      <c r="H152" s="4"/>
    </row>
    <row r="153" spans="3:8" ht="12.75">
      <c r="C153" s="4"/>
      <c r="D153" s="4"/>
      <c r="E153" s="4"/>
      <c r="F153" s="4"/>
      <c r="G153" s="4"/>
      <c r="H153" s="4"/>
    </row>
    <row r="154" spans="3:8" ht="12.75">
      <c r="C154" s="4"/>
      <c r="D154" s="4"/>
      <c r="E154" s="4"/>
      <c r="F154" s="4"/>
      <c r="G154" s="4"/>
      <c r="H154" s="4"/>
    </row>
    <row r="155" spans="3:8" ht="12.75">
      <c r="C155" s="4"/>
      <c r="D155" s="4"/>
      <c r="E155" s="4"/>
      <c r="F155" s="4"/>
      <c r="G155" s="4"/>
      <c r="H155" s="4"/>
    </row>
    <row r="156" spans="3:8" ht="12.75">
      <c r="C156" s="4"/>
      <c r="D156" s="4"/>
      <c r="E156" s="4"/>
      <c r="F156" s="4"/>
      <c r="G156" s="4"/>
      <c r="H156" s="4"/>
    </row>
    <row r="157" spans="3:8" ht="12.75">
      <c r="C157" s="4"/>
      <c r="D157" s="4"/>
      <c r="E157" s="4"/>
      <c r="F157" s="4"/>
      <c r="G157" s="4"/>
      <c r="H157" s="4"/>
    </row>
    <row r="158" spans="3:8" ht="12.75">
      <c r="C158" s="4"/>
      <c r="D158" s="4"/>
      <c r="E158" s="4"/>
      <c r="F158" s="4"/>
      <c r="G158" s="4"/>
      <c r="H158" s="4"/>
    </row>
    <row r="159" spans="3:8" ht="12.75">
      <c r="C159" s="4"/>
      <c r="D159" s="4"/>
      <c r="E159" s="4"/>
      <c r="F159" s="4"/>
      <c r="G159" s="4"/>
      <c r="H159" s="4"/>
    </row>
    <row r="160" spans="3:8" ht="12.75">
      <c r="C160" s="4"/>
      <c r="D160" s="4"/>
      <c r="E160" s="4"/>
      <c r="F160" s="4"/>
      <c r="G160" s="4"/>
      <c r="H160" s="4"/>
    </row>
    <row r="161" spans="3:8" ht="12.75">
      <c r="C161" s="4"/>
      <c r="D161" s="4"/>
      <c r="E161" s="4"/>
      <c r="F161" s="4"/>
      <c r="G161" s="4"/>
      <c r="H161" s="4"/>
    </row>
    <row r="162" spans="3:8" ht="12.75">
      <c r="C162" s="4"/>
      <c r="D162" s="4"/>
      <c r="E162" s="4"/>
      <c r="F162" s="4"/>
      <c r="G162" s="4"/>
      <c r="H162" s="4"/>
    </row>
    <row r="163" spans="3:8" ht="12.75">
      <c r="C163" s="4"/>
      <c r="D163" s="4"/>
      <c r="E163" s="4"/>
      <c r="F163" s="4"/>
      <c r="G163" s="4"/>
      <c r="H163" s="4"/>
    </row>
    <row r="164" spans="3:8" ht="12.75">
      <c r="C164" s="4"/>
      <c r="D164" s="4"/>
      <c r="E164" s="4"/>
      <c r="F164" s="4"/>
      <c r="G164" s="4"/>
      <c r="H164" s="4"/>
    </row>
    <row r="165" spans="3:8" ht="12.75">
      <c r="C165" s="4"/>
      <c r="D165" s="4"/>
      <c r="E165" s="4"/>
      <c r="F165" s="4"/>
      <c r="G165" s="4"/>
      <c r="H165" s="4"/>
    </row>
    <row r="166" spans="3:8" ht="12.75">
      <c r="C166" s="4"/>
      <c r="D166" s="4"/>
      <c r="E166" s="4"/>
      <c r="F166" s="4"/>
      <c r="G166" s="4"/>
      <c r="H166" s="4"/>
    </row>
    <row r="167" spans="3:8" ht="12.75">
      <c r="C167" s="4"/>
      <c r="D167" s="4"/>
      <c r="E167" s="4"/>
      <c r="F167" s="4"/>
      <c r="G167" s="4"/>
      <c r="H167" s="4"/>
    </row>
    <row r="168" spans="3:8" ht="12.75">
      <c r="C168" s="4"/>
      <c r="D168" s="4"/>
      <c r="E168" s="4"/>
      <c r="F168" s="4"/>
      <c r="G168" s="4"/>
      <c r="H168" s="4"/>
    </row>
    <row r="169" spans="3:8" ht="12.75">
      <c r="C169" s="4"/>
      <c r="D169" s="4"/>
      <c r="E169" s="4"/>
      <c r="F169" s="4"/>
      <c r="G169" s="4"/>
      <c r="H169" s="4"/>
    </row>
    <row r="170" spans="3:8" ht="12.75">
      <c r="C170" s="4"/>
      <c r="D170" s="4"/>
      <c r="E170" s="4"/>
      <c r="F170" s="4"/>
      <c r="G170" s="4"/>
      <c r="H170" s="4"/>
    </row>
    <row r="171" spans="3:8" ht="12.75">
      <c r="C171" s="4"/>
      <c r="D171" s="4"/>
      <c r="E171" s="4"/>
      <c r="F171" s="4"/>
      <c r="G171" s="4"/>
      <c r="H171" s="4"/>
    </row>
    <row r="172" spans="3:8" ht="12.75">
      <c r="C172" s="4"/>
      <c r="D172" s="4"/>
      <c r="E172" s="4"/>
      <c r="F172" s="4"/>
      <c r="G172" s="4"/>
      <c r="H172" s="4"/>
    </row>
    <row r="173" spans="3:8" ht="12.75">
      <c r="C173" s="4"/>
      <c r="D173" s="4"/>
      <c r="E173" s="4"/>
      <c r="F173" s="4"/>
      <c r="G173" s="4"/>
      <c r="H173" s="4"/>
    </row>
    <row r="174" spans="3:8" ht="12.75">
      <c r="C174" s="4"/>
      <c r="D174" s="4"/>
      <c r="E174" s="4"/>
      <c r="F174" s="4"/>
      <c r="G174" s="4"/>
      <c r="H174" s="4"/>
    </row>
    <row r="175" spans="3:8" ht="12.75">
      <c r="C175" s="4"/>
      <c r="D175" s="4"/>
      <c r="E175" s="4"/>
      <c r="F175" s="4"/>
      <c r="G175" s="4"/>
      <c r="H175" s="4"/>
    </row>
    <row r="176" spans="3:8" ht="12.75">
      <c r="C176" s="4"/>
      <c r="D176" s="4"/>
      <c r="E176" s="4"/>
      <c r="F176" s="4"/>
      <c r="G176" s="4"/>
      <c r="H176" s="4"/>
    </row>
    <row r="177" spans="3:8" ht="12.75">
      <c r="C177" s="4"/>
      <c r="D177" s="4"/>
      <c r="E177" s="4"/>
      <c r="F177" s="4"/>
      <c r="G177" s="4"/>
      <c r="H177" s="4"/>
    </row>
    <row r="178" spans="3:8" ht="12.75">
      <c r="C178" s="4"/>
      <c r="D178" s="4"/>
      <c r="E178" s="4"/>
      <c r="F178" s="4"/>
      <c r="G178" s="4"/>
      <c r="H178" s="4"/>
    </row>
    <row r="179" spans="3:8" ht="12.75">
      <c r="C179" s="4"/>
      <c r="D179" s="4"/>
      <c r="E179" s="4"/>
      <c r="F179" s="4"/>
      <c r="G179" s="4"/>
      <c r="H179" s="4"/>
    </row>
    <row r="180" spans="3:8" ht="12.75">
      <c r="C180" s="4"/>
      <c r="D180" s="4"/>
      <c r="E180" s="4"/>
      <c r="F180" s="4"/>
      <c r="G180" s="4"/>
      <c r="H180" s="4"/>
    </row>
    <row r="181" spans="3:8" ht="12.75">
      <c r="C181" s="4"/>
      <c r="D181" s="4"/>
      <c r="E181" s="4"/>
      <c r="F181" s="4"/>
      <c r="G181" s="4"/>
      <c r="H181" s="4"/>
    </row>
    <row r="182" spans="3:8" ht="12.75">
      <c r="C182" s="4"/>
      <c r="D182" s="4"/>
      <c r="E182" s="4"/>
      <c r="F182" s="4"/>
      <c r="G182" s="4"/>
      <c r="H182" s="4"/>
    </row>
    <row r="183" spans="3:8" ht="12.75">
      <c r="C183" s="4"/>
      <c r="D183" s="4"/>
      <c r="E183" s="4"/>
      <c r="F183" s="4"/>
      <c r="G183" s="4"/>
      <c r="H183" s="4"/>
    </row>
    <row r="184" spans="3:8" ht="12.75">
      <c r="C184" s="4"/>
      <c r="D184" s="4"/>
      <c r="E184" s="4"/>
      <c r="F184" s="4"/>
      <c r="G184" s="4"/>
      <c r="H184" s="4"/>
    </row>
    <row r="185" spans="3:8" ht="12.75">
      <c r="C185" s="4"/>
      <c r="D185" s="4"/>
      <c r="E185" s="4"/>
      <c r="F185" s="4"/>
      <c r="G185" s="4"/>
      <c r="H185" s="4"/>
    </row>
    <row r="186" spans="3:8" ht="12.75">
      <c r="C186" s="4"/>
      <c r="D186" s="4"/>
      <c r="E186" s="4"/>
      <c r="F186" s="4"/>
      <c r="G186" s="4"/>
      <c r="H186" s="4"/>
    </row>
    <row r="187" spans="3:8" ht="12.75">
      <c r="C187" s="4"/>
      <c r="D187" s="4"/>
      <c r="E187" s="4"/>
      <c r="F187" s="4"/>
      <c r="G187" s="4"/>
      <c r="H187" s="4"/>
    </row>
    <row r="188" spans="3:8" ht="12.75">
      <c r="C188" s="4"/>
      <c r="D188" s="4"/>
      <c r="E188" s="4"/>
      <c r="F188" s="4"/>
      <c r="G188" s="4"/>
      <c r="H188" s="4"/>
    </row>
    <row r="189" spans="3:8" ht="12.75">
      <c r="C189" s="4"/>
      <c r="D189" s="4"/>
      <c r="E189" s="4"/>
      <c r="F189" s="4"/>
      <c r="G189" s="4"/>
      <c r="H189" s="4"/>
    </row>
    <row r="190" spans="3:8" ht="12.75">
      <c r="C190" s="4"/>
      <c r="D190" s="4"/>
      <c r="E190" s="4"/>
      <c r="F190" s="4"/>
      <c r="G190" s="4"/>
      <c r="H190" s="4"/>
    </row>
    <row r="191" spans="3:8" ht="12.75">
      <c r="C191" s="4"/>
      <c r="D191" s="4"/>
      <c r="E191" s="4"/>
      <c r="F191" s="4"/>
      <c r="G191" s="4"/>
      <c r="H191" s="4"/>
    </row>
    <row r="192" spans="3:8" ht="12.75">
      <c r="C192" s="4"/>
      <c r="D192" s="4"/>
      <c r="E192" s="4"/>
      <c r="F192" s="4"/>
      <c r="G192" s="4"/>
      <c r="H192" s="4"/>
    </row>
    <row r="193" spans="3:8" ht="12.75">
      <c r="C193" s="4"/>
      <c r="D193" s="4"/>
      <c r="E193" s="4"/>
      <c r="F193" s="4"/>
      <c r="G193" s="4"/>
      <c r="H193" s="4"/>
    </row>
    <row r="194" spans="3:8" ht="12.75">
      <c r="C194" s="4"/>
      <c r="D194" s="4"/>
      <c r="E194" s="4"/>
      <c r="F194" s="4"/>
      <c r="G194" s="4"/>
      <c r="H194" s="4"/>
    </row>
    <row r="195" spans="3:8" ht="12.75">
      <c r="C195" s="4"/>
      <c r="D195" s="4"/>
      <c r="E195" s="4"/>
      <c r="F195" s="4"/>
      <c r="G195" s="4"/>
      <c r="H195" s="4"/>
    </row>
    <row r="196" spans="3:8" ht="12.75">
      <c r="C196" s="4"/>
      <c r="D196" s="4"/>
      <c r="E196" s="4"/>
      <c r="F196" s="4"/>
      <c r="G196" s="4"/>
      <c r="H196" s="4"/>
    </row>
    <row r="197" spans="3:8" ht="12.75">
      <c r="C197" s="4"/>
      <c r="D197" s="4"/>
      <c r="E197" s="4"/>
      <c r="F197" s="4"/>
      <c r="G197" s="4"/>
      <c r="H197" s="4"/>
    </row>
    <row r="198" spans="3:8" ht="12.75">
      <c r="C198" s="4"/>
      <c r="D198" s="4"/>
      <c r="E198" s="4"/>
      <c r="F198" s="4"/>
      <c r="G198" s="4"/>
      <c r="H198" s="4"/>
    </row>
    <row r="199" spans="3:8" ht="12.75">
      <c r="C199" s="4"/>
      <c r="D199" s="4"/>
      <c r="E199" s="4"/>
      <c r="F199" s="4"/>
      <c r="G199" s="4"/>
      <c r="H199" s="4"/>
    </row>
    <row r="200" spans="3:8" ht="12.75">
      <c r="C200" s="4"/>
      <c r="D200" s="4"/>
      <c r="E200" s="4"/>
      <c r="F200" s="4"/>
      <c r="G200" s="4"/>
      <c r="H200" s="4"/>
    </row>
    <row r="201" spans="3:8" ht="12.75">
      <c r="C201" s="4"/>
      <c r="D201" s="4"/>
      <c r="E201" s="4"/>
      <c r="F201" s="4"/>
      <c r="G201" s="4"/>
      <c r="H201" s="4"/>
    </row>
    <row r="202" spans="3:8" ht="12.75">
      <c r="C202" s="4"/>
      <c r="D202" s="4"/>
      <c r="E202" s="4"/>
      <c r="F202" s="4"/>
      <c r="G202" s="4"/>
      <c r="H202" s="4"/>
    </row>
    <row r="203" spans="3:8" ht="12.75">
      <c r="C203" s="4"/>
      <c r="D203" s="4"/>
      <c r="E203" s="4"/>
      <c r="F203" s="4"/>
      <c r="G203" s="4"/>
      <c r="H203" s="4"/>
    </row>
    <row r="204" spans="3:8" ht="12.75">
      <c r="C204" s="4"/>
      <c r="D204" s="4"/>
      <c r="E204" s="4"/>
      <c r="F204" s="4"/>
      <c r="G204" s="4"/>
      <c r="H204" s="4"/>
    </row>
    <row r="205" spans="3:8" ht="12.75">
      <c r="C205" s="4"/>
      <c r="D205" s="4"/>
      <c r="E205" s="4"/>
      <c r="F205" s="4"/>
      <c r="G205" s="4"/>
      <c r="H205" s="4"/>
    </row>
    <row r="206" spans="3:8" ht="12.75">
      <c r="C206" s="4"/>
      <c r="D206" s="4"/>
      <c r="E206" s="4"/>
      <c r="F206" s="4"/>
      <c r="G206" s="4"/>
      <c r="H206" s="4"/>
    </row>
    <row r="207" spans="3:8" ht="12.75">
      <c r="C207" s="4"/>
      <c r="D207" s="4"/>
      <c r="E207" s="4"/>
      <c r="F207" s="4"/>
      <c r="G207" s="4"/>
      <c r="H207" s="4"/>
    </row>
    <row r="208" spans="3:8" ht="12.75">
      <c r="C208" s="4"/>
      <c r="D208" s="4"/>
      <c r="E208" s="4"/>
      <c r="F208" s="4"/>
      <c r="G208" s="4"/>
      <c r="H208" s="4"/>
    </row>
    <row r="209" spans="3:8" ht="12.75">
      <c r="C209" s="4"/>
      <c r="D209" s="4"/>
      <c r="E209" s="4"/>
      <c r="F209" s="4"/>
      <c r="G209" s="4"/>
      <c r="H209" s="4"/>
    </row>
    <row r="210" spans="3:8" ht="12.75">
      <c r="C210" s="4"/>
      <c r="D210" s="4"/>
      <c r="E210" s="4"/>
      <c r="F210" s="4"/>
      <c r="G210" s="4"/>
      <c r="H210" s="4"/>
    </row>
    <row r="211" spans="3:8" ht="12.75">
      <c r="C211" s="4"/>
      <c r="D211" s="4"/>
      <c r="E211" s="4"/>
      <c r="F211" s="4"/>
      <c r="G211" s="4"/>
      <c r="H211" s="4"/>
    </row>
    <row r="212" spans="3:8" ht="12.75">
      <c r="C212" s="4"/>
      <c r="D212" s="4"/>
      <c r="E212" s="4"/>
      <c r="F212" s="4"/>
      <c r="G212" s="4"/>
      <c r="H212" s="4"/>
    </row>
    <row r="213" spans="3:8" ht="12.75">
      <c r="C213" s="4"/>
      <c r="D213" s="4"/>
      <c r="E213" s="4"/>
      <c r="F213" s="4"/>
      <c r="G213" s="4"/>
      <c r="H213" s="4"/>
    </row>
    <row r="214" spans="3:8" ht="12.75">
      <c r="C214" s="4"/>
      <c r="D214" s="4"/>
      <c r="E214" s="4"/>
      <c r="F214" s="4"/>
      <c r="G214" s="4"/>
      <c r="H214" s="4"/>
    </row>
    <row r="215" spans="3:8" ht="12.75">
      <c r="C215" s="4"/>
      <c r="D215" s="4"/>
      <c r="E215" s="4"/>
      <c r="F215" s="4"/>
      <c r="G215" s="4"/>
      <c r="H215" s="4"/>
    </row>
    <row r="216" spans="3:8" ht="12.75">
      <c r="C216" s="4"/>
      <c r="D216" s="4"/>
      <c r="E216" s="4"/>
      <c r="F216" s="4"/>
      <c r="G216" s="4"/>
      <c r="H216" s="4"/>
    </row>
    <row r="217" spans="3:8" ht="12.75">
      <c r="C217" s="4"/>
      <c r="D217" s="4"/>
      <c r="E217" s="4"/>
      <c r="F217" s="4"/>
      <c r="G217" s="4"/>
      <c r="H217" s="4"/>
    </row>
    <row r="218" spans="3:8" ht="12.75">
      <c r="C218" s="4"/>
      <c r="D218" s="4"/>
      <c r="E218" s="4"/>
      <c r="F218" s="4"/>
      <c r="G218" s="4"/>
      <c r="H218" s="4"/>
    </row>
    <row r="219" spans="3:8" ht="12.75">
      <c r="C219" s="4"/>
      <c r="D219" s="4"/>
      <c r="E219" s="4"/>
      <c r="F219" s="4"/>
      <c r="G219" s="4"/>
      <c r="H219" s="4"/>
    </row>
    <row r="220" spans="3:8" ht="12.75">
      <c r="C220" s="4"/>
      <c r="D220" s="4"/>
      <c r="E220" s="4"/>
      <c r="F220" s="4"/>
      <c r="G220" s="4"/>
      <c r="H220" s="4"/>
    </row>
    <row r="221" spans="3:8" ht="12.75">
      <c r="C221" s="4"/>
      <c r="D221" s="4"/>
      <c r="E221" s="4"/>
      <c r="F221" s="4"/>
      <c r="G221" s="4"/>
      <c r="H221" s="4"/>
    </row>
    <row r="222" spans="3:8" ht="12.75">
      <c r="C222" s="4"/>
      <c r="D222" s="4"/>
      <c r="E222" s="4"/>
      <c r="F222" s="4"/>
      <c r="G222" s="4"/>
      <c r="H222" s="4"/>
    </row>
    <row r="223" spans="3:8" ht="12.75">
      <c r="C223" s="4"/>
      <c r="D223" s="4"/>
      <c r="E223" s="4"/>
      <c r="F223" s="4"/>
      <c r="G223" s="4"/>
      <c r="H223" s="4"/>
    </row>
    <row r="224" spans="3:8" ht="12.75">
      <c r="C224" s="4"/>
      <c r="D224" s="4"/>
      <c r="E224" s="4"/>
      <c r="F224" s="4"/>
      <c r="G224" s="4"/>
      <c r="H224" s="4"/>
    </row>
    <row r="225" spans="3:8" ht="12.75">
      <c r="C225" s="4"/>
      <c r="D225" s="4"/>
      <c r="E225" s="4"/>
      <c r="F225" s="4"/>
      <c r="G225" s="4"/>
      <c r="H225" s="4"/>
    </row>
    <row r="226" spans="3:8" ht="12.75">
      <c r="C226" s="4"/>
      <c r="D226" s="4"/>
      <c r="E226" s="4"/>
      <c r="F226" s="4"/>
      <c r="G226" s="4"/>
      <c r="H226" s="4"/>
    </row>
    <row r="227" spans="3:8" ht="12.75">
      <c r="C227" s="4"/>
      <c r="D227" s="4"/>
      <c r="E227" s="4"/>
      <c r="F227" s="4"/>
      <c r="G227" s="4"/>
      <c r="H227" s="4"/>
    </row>
    <row r="228" spans="3:8" ht="12.75">
      <c r="C228" s="4"/>
      <c r="D228" s="4"/>
      <c r="E228" s="4"/>
      <c r="F228" s="4"/>
      <c r="G228" s="4"/>
      <c r="H228" s="4"/>
    </row>
    <row r="229" spans="3:8" ht="12.75">
      <c r="C229" s="4"/>
      <c r="D229" s="4"/>
      <c r="E229" s="4"/>
      <c r="F229" s="4"/>
      <c r="G229" s="4"/>
      <c r="H229" s="4"/>
    </row>
    <row r="230" spans="3:8" ht="12.75">
      <c r="C230" s="4"/>
      <c r="D230" s="4"/>
      <c r="E230" s="4"/>
      <c r="F230" s="4"/>
      <c r="G230" s="4"/>
      <c r="H230" s="4"/>
    </row>
    <row r="231" spans="3:8" ht="12.75">
      <c r="C231" s="4"/>
      <c r="D231" s="4"/>
      <c r="E231" s="4"/>
      <c r="F231" s="4"/>
      <c r="G231" s="4"/>
      <c r="H231" s="4"/>
    </row>
    <row r="232" spans="3:8" ht="12.75">
      <c r="C232" s="4"/>
      <c r="D232" s="4"/>
      <c r="E232" s="4"/>
      <c r="F232" s="4"/>
      <c r="G232" s="4"/>
      <c r="H232" s="4"/>
    </row>
    <row r="233" spans="3:8" ht="12.75">
      <c r="C233" s="4"/>
      <c r="D233" s="4"/>
      <c r="E233" s="4"/>
      <c r="F233" s="4"/>
      <c r="G233" s="4"/>
      <c r="H233" s="4"/>
    </row>
    <row r="234" spans="3:8" ht="12.75">
      <c r="C234" s="4"/>
      <c r="D234" s="4"/>
      <c r="E234" s="4"/>
      <c r="F234" s="4"/>
      <c r="G234" s="4"/>
      <c r="H234" s="4"/>
    </row>
    <row r="235" spans="3:8" ht="12.75">
      <c r="C235" s="4"/>
      <c r="D235" s="4"/>
      <c r="E235" s="4"/>
      <c r="F235" s="4"/>
      <c r="G235" s="4"/>
      <c r="H235" s="4"/>
    </row>
    <row r="236" spans="3:8" ht="12.75">
      <c r="C236" s="4"/>
      <c r="D236" s="4"/>
      <c r="E236" s="4"/>
      <c r="F236" s="4"/>
      <c r="G236" s="4"/>
      <c r="H236" s="4"/>
    </row>
    <row r="237" spans="3:8" ht="12.75">
      <c r="C237" s="4"/>
      <c r="D237" s="4"/>
      <c r="E237" s="4"/>
      <c r="F237" s="4"/>
      <c r="G237" s="4"/>
      <c r="H237" s="4"/>
    </row>
    <row r="238" spans="3:8" ht="12.75">
      <c r="C238" s="4"/>
      <c r="D238" s="4"/>
      <c r="E238" s="4"/>
      <c r="F238" s="4"/>
      <c r="G238" s="4"/>
      <c r="H238" s="4"/>
    </row>
    <row r="239" spans="3:8" ht="12.75">
      <c r="C239" s="4"/>
      <c r="D239" s="4"/>
      <c r="E239" s="4"/>
      <c r="F239" s="4"/>
      <c r="G239" s="4"/>
      <c r="H239" s="4"/>
    </row>
    <row r="240" spans="3:8" ht="12.75">
      <c r="C240" s="4"/>
      <c r="D240" s="4"/>
      <c r="E240" s="4"/>
      <c r="F240" s="4"/>
      <c r="G240" s="4"/>
      <c r="H240" s="4"/>
    </row>
    <row r="241" spans="3:8" ht="12.75">
      <c r="C241" s="4"/>
      <c r="D241" s="4"/>
      <c r="E241" s="4"/>
      <c r="F241" s="4"/>
      <c r="G241" s="4"/>
      <c r="H241" s="4"/>
    </row>
    <row r="242" spans="3:8" ht="12.75">
      <c r="C242" s="4"/>
      <c r="D242" s="4"/>
      <c r="E242" s="4"/>
      <c r="F242" s="4"/>
      <c r="G242" s="4"/>
      <c r="H242" s="4"/>
    </row>
    <row r="243" spans="3:8" ht="12.75">
      <c r="C243" s="4"/>
      <c r="D243" s="4"/>
      <c r="E243" s="4"/>
      <c r="F243" s="4"/>
      <c r="G243" s="4"/>
      <c r="H243" s="4"/>
    </row>
    <row r="244" spans="3:8" ht="12.75">
      <c r="C244" s="4"/>
      <c r="D244" s="4"/>
      <c r="E244" s="4"/>
      <c r="F244" s="4"/>
      <c r="G244" s="4"/>
      <c r="H244" s="4"/>
    </row>
    <row r="245" spans="3:8" ht="12.75">
      <c r="C245" s="4"/>
      <c r="D245" s="4"/>
      <c r="E245" s="4"/>
      <c r="F245" s="4"/>
      <c r="G245" s="4"/>
      <c r="H245" s="4"/>
    </row>
    <row r="246" spans="3:8" ht="12.75">
      <c r="C246" s="4"/>
      <c r="D246" s="4"/>
      <c r="E246" s="4"/>
      <c r="F246" s="4"/>
      <c r="G246" s="4"/>
      <c r="H246" s="4"/>
    </row>
    <row r="247" spans="3:8" ht="12.75">
      <c r="C247" s="4"/>
      <c r="D247" s="4"/>
      <c r="E247" s="4"/>
      <c r="F247" s="4"/>
      <c r="G247" s="4"/>
      <c r="H247" s="4"/>
    </row>
    <row r="248" spans="3:8" ht="12.75">
      <c r="C248" s="4"/>
      <c r="D248" s="4"/>
      <c r="E248" s="4"/>
      <c r="F248" s="4"/>
      <c r="G248" s="4"/>
      <c r="H248" s="4"/>
    </row>
    <row r="249" spans="3:8" ht="12.75">
      <c r="C249" s="4"/>
      <c r="D249" s="4"/>
      <c r="E249" s="4"/>
      <c r="F249" s="4"/>
      <c r="G249" s="4"/>
      <c r="H249" s="4"/>
    </row>
    <row r="250" spans="3:8" ht="12.75">
      <c r="C250" s="4"/>
      <c r="D250" s="4"/>
      <c r="E250" s="4"/>
      <c r="F250" s="4"/>
      <c r="G250" s="4"/>
      <c r="H250" s="4"/>
    </row>
    <row r="251" spans="3:8" ht="12.75">
      <c r="C251" s="4"/>
      <c r="D251" s="4"/>
      <c r="E251" s="4"/>
      <c r="F251" s="4"/>
      <c r="G251" s="4"/>
      <c r="H251" s="4"/>
    </row>
    <row r="252" spans="3:8" ht="12.75">
      <c r="C252" s="4"/>
      <c r="D252" s="4"/>
      <c r="E252" s="4"/>
      <c r="F252" s="4"/>
      <c r="G252" s="4"/>
      <c r="H252" s="4"/>
    </row>
    <row r="253" spans="3:8" ht="12.75">
      <c r="C253" s="4"/>
      <c r="D253" s="4"/>
      <c r="E253" s="4"/>
      <c r="F253" s="4"/>
      <c r="G253" s="4"/>
      <c r="H253" s="4"/>
    </row>
    <row r="254" spans="3:8" ht="12.75">
      <c r="C254" s="4"/>
      <c r="D254" s="4"/>
      <c r="E254" s="4"/>
      <c r="F254" s="4"/>
      <c r="G254" s="4"/>
      <c r="H254" s="4"/>
    </row>
    <row r="255" spans="3:8" ht="12.75">
      <c r="C255" s="4"/>
      <c r="D255" s="4"/>
      <c r="E255" s="4"/>
      <c r="F255" s="4"/>
      <c r="G255" s="4"/>
      <c r="H255" s="4"/>
    </row>
    <row r="256" spans="3:8" ht="12.75">
      <c r="C256" s="4"/>
      <c r="D256" s="4"/>
      <c r="E256" s="4"/>
      <c r="F256" s="4"/>
      <c r="G256" s="4"/>
      <c r="H256" s="4"/>
    </row>
    <row r="257" spans="3:8" ht="12.75">
      <c r="C257" s="4"/>
      <c r="D257" s="4"/>
      <c r="E257" s="4"/>
      <c r="F257" s="4"/>
      <c r="G257" s="4"/>
      <c r="H257" s="4"/>
    </row>
    <row r="258" spans="3:8" ht="12.75">
      <c r="C258" s="4"/>
      <c r="D258" s="4"/>
      <c r="E258" s="4"/>
      <c r="F258" s="4"/>
      <c r="G258" s="4"/>
      <c r="H258" s="4"/>
    </row>
    <row r="259" spans="3:8" ht="12.75">
      <c r="C259" s="4"/>
      <c r="D259" s="4"/>
      <c r="E259" s="4"/>
      <c r="F259" s="4"/>
      <c r="G259" s="4"/>
      <c r="H259" s="4"/>
    </row>
    <row r="260" spans="3:8" ht="12.75">
      <c r="C260" s="4"/>
      <c r="D260" s="4"/>
      <c r="E260" s="4"/>
      <c r="F260" s="4"/>
      <c r="G260" s="4"/>
      <c r="H260" s="4"/>
    </row>
    <row r="261" spans="3:8" ht="12.75">
      <c r="C261" s="4"/>
      <c r="D261" s="4"/>
      <c r="E261" s="4"/>
      <c r="F261" s="4"/>
      <c r="G261" s="4"/>
      <c r="H261" s="4"/>
    </row>
    <row r="262" spans="3:8" ht="12.75">
      <c r="C262" s="4"/>
      <c r="D262" s="4"/>
      <c r="E262" s="4"/>
      <c r="F262" s="4"/>
      <c r="G262" s="4"/>
      <c r="H262" s="4"/>
    </row>
    <row r="263" spans="3:8" ht="12.75">
      <c r="C263" s="4"/>
      <c r="D263" s="4"/>
      <c r="E263" s="4"/>
      <c r="F263" s="4"/>
      <c r="G263" s="4"/>
      <c r="H263" s="4"/>
    </row>
    <row r="264" spans="3:8" ht="12.75">
      <c r="C264" s="4"/>
      <c r="D264" s="4"/>
      <c r="E264" s="4"/>
      <c r="F264" s="4"/>
      <c r="G264" s="4"/>
      <c r="H264" s="4"/>
    </row>
    <row r="265" spans="3:8" ht="12.75">
      <c r="C265" s="4"/>
      <c r="D265" s="4"/>
      <c r="E265" s="4"/>
      <c r="F265" s="4"/>
      <c r="G265" s="4"/>
      <c r="H265" s="4"/>
    </row>
    <row r="266" spans="3:8" ht="12.75">
      <c r="C266" s="4"/>
      <c r="D266" s="4"/>
      <c r="E266" s="4"/>
      <c r="F266" s="4"/>
      <c r="G266" s="4"/>
      <c r="H266" s="4"/>
    </row>
    <row r="267" spans="3:8" ht="12.75">
      <c r="C267" s="4"/>
      <c r="D267" s="4"/>
      <c r="E267" s="4"/>
      <c r="F267" s="4"/>
      <c r="G267" s="4"/>
      <c r="H267" s="4"/>
    </row>
    <row r="268" spans="3:8" ht="12.75">
      <c r="C268" s="4"/>
      <c r="D268" s="4"/>
      <c r="E268" s="4"/>
      <c r="F268" s="4"/>
      <c r="G268" s="4"/>
      <c r="H268" s="4"/>
    </row>
    <row r="269" spans="3:8" ht="12.75">
      <c r="C269" s="4"/>
      <c r="D269" s="4"/>
      <c r="E269" s="4"/>
      <c r="F269" s="4"/>
      <c r="G269" s="4"/>
      <c r="H269" s="4"/>
    </row>
    <row r="270" spans="3:8" ht="12.75">
      <c r="C270" s="4"/>
      <c r="D270" s="4"/>
      <c r="E270" s="4"/>
      <c r="F270" s="4"/>
      <c r="G270" s="4"/>
      <c r="H270" s="4"/>
    </row>
    <row r="271" spans="3:8" ht="12.75">
      <c r="C271" s="4"/>
      <c r="D271" s="4"/>
      <c r="E271" s="4"/>
      <c r="F271" s="4"/>
      <c r="G271" s="4"/>
      <c r="H271" s="4"/>
    </row>
    <row r="272" spans="3:8" ht="12.75">
      <c r="C272" s="4"/>
      <c r="D272" s="4"/>
      <c r="E272" s="4"/>
      <c r="F272" s="4"/>
      <c r="G272" s="4"/>
      <c r="H272" s="4"/>
    </row>
    <row r="273" spans="3:8" ht="12.75">
      <c r="C273" s="4"/>
      <c r="D273" s="4"/>
      <c r="E273" s="4"/>
      <c r="F273" s="4"/>
      <c r="G273" s="4"/>
      <c r="H273" s="4"/>
    </row>
    <row r="274" spans="3:8" ht="12.75">
      <c r="C274" s="4"/>
      <c r="D274" s="4"/>
      <c r="E274" s="4"/>
      <c r="F274" s="4"/>
      <c r="G274" s="4"/>
      <c r="H274" s="4"/>
    </row>
    <row r="275" spans="3:8" ht="12.75">
      <c r="C275" s="4"/>
      <c r="D275" s="4"/>
      <c r="E275" s="4"/>
      <c r="F275" s="4"/>
      <c r="G275" s="4"/>
      <c r="H275" s="4"/>
    </row>
    <row r="276" spans="3:8" ht="12.75">
      <c r="C276" s="4"/>
      <c r="D276" s="4"/>
      <c r="E276" s="4"/>
      <c r="F276" s="4"/>
      <c r="G276" s="4"/>
      <c r="H276" s="4"/>
    </row>
    <row r="277" spans="3:8" ht="12.75">
      <c r="C277" s="4"/>
      <c r="D277" s="4"/>
      <c r="E277" s="4"/>
      <c r="F277" s="4"/>
      <c r="G277" s="4"/>
      <c r="H277" s="4"/>
    </row>
    <row r="278" spans="3:8" ht="12.75">
      <c r="C278" s="4"/>
      <c r="D278" s="4"/>
      <c r="E278" s="4"/>
      <c r="F278" s="4"/>
      <c r="G278" s="4"/>
      <c r="H278" s="4"/>
    </row>
    <row r="279" spans="3:8" ht="12.75">
      <c r="C279" s="4"/>
      <c r="D279" s="4"/>
      <c r="E279" s="4"/>
      <c r="F279" s="4"/>
      <c r="G279" s="4"/>
      <c r="H279" s="4"/>
    </row>
    <row r="280" spans="3:8" ht="12.75">
      <c r="C280" s="4"/>
      <c r="D280" s="4"/>
      <c r="E280" s="4"/>
      <c r="F280" s="4"/>
      <c r="G280" s="4"/>
      <c r="H280" s="4"/>
    </row>
    <row r="281" spans="3:8" ht="12.75">
      <c r="C281" s="4"/>
      <c r="D281" s="4"/>
      <c r="E281" s="4"/>
      <c r="F281" s="4"/>
      <c r="G281" s="4"/>
      <c r="H281" s="4"/>
    </row>
    <row r="282" spans="3:8" ht="12.75">
      <c r="C282" s="4"/>
      <c r="D282" s="4"/>
      <c r="E282" s="4"/>
      <c r="F282" s="4"/>
      <c r="G282" s="4"/>
      <c r="H282" s="4"/>
    </row>
    <row r="283" spans="3:8" ht="12.75">
      <c r="C283" s="4"/>
      <c r="D283" s="4"/>
      <c r="E283" s="4"/>
      <c r="F283" s="4"/>
      <c r="G283" s="4"/>
      <c r="H283" s="4"/>
    </row>
    <row r="284" spans="3:8" ht="12.75">
      <c r="C284" s="4"/>
      <c r="D284" s="4"/>
      <c r="E284" s="4"/>
      <c r="F284" s="4"/>
      <c r="G284" s="4"/>
      <c r="H284" s="4"/>
    </row>
    <row r="285" spans="3:8" ht="12.75">
      <c r="C285" s="4"/>
      <c r="D285" s="4"/>
      <c r="E285" s="4"/>
      <c r="F285" s="4"/>
      <c r="G285" s="4"/>
      <c r="H285" s="4"/>
    </row>
    <row r="286" spans="3:8" ht="12.75">
      <c r="C286" s="4"/>
      <c r="D286" s="4"/>
      <c r="E286" s="4"/>
      <c r="F286" s="4"/>
      <c r="G286" s="4"/>
      <c r="H286" s="4"/>
    </row>
    <row r="287" spans="3:8" ht="12.75">
      <c r="C287" s="4"/>
      <c r="D287" s="4"/>
      <c r="E287" s="4"/>
      <c r="F287" s="4"/>
      <c r="G287" s="4"/>
      <c r="H287" s="4"/>
    </row>
    <row r="288" spans="3:8" ht="12.75">
      <c r="C288" s="4"/>
      <c r="D288" s="4"/>
      <c r="E288" s="4"/>
      <c r="F288" s="4"/>
      <c r="G288" s="4"/>
      <c r="H288" s="4"/>
    </row>
    <row r="289" spans="3:8" ht="12.75">
      <c r="C289" s="4"/>
      <c r="D289" s="4"/>
      <c r="E289" s="4"/>
      <c r="F289" s="4"/>
      <c r="G289" s="4"/>
      <c r="H289" s="4"/>
    </row>
    <row r="290" spans="3:8" ht="12.75">
      <c r="C290" s="4"/>
      <c r="D290" s="4"/>
      <c r="E290" s="4"/>
      <c r="F290" s="4"/>
      <c r="G290" s="4"/>
      <c r="H290" s="4"/>
    </row>
    <row r="291" spans="3:8" ht="12.75">
      <c r="C291" s="4"/>
      <c r="D291" s="4"/>
      <c r="E291" s="4"/>
      <c r="F291" s="4"/>
      <c r="G291" s="4"/>
      <c r="H291" s="4"/>
    </row>
    <row r="292" spans="3:8" ht="12.75">
      <c r="C292" s="4"/>
      <c r="D292" s="4"/>
      <c r="E292" s="4"/>
      <c r="F292" s="4"/>
      <c r="G292" s="4"/>
      <c r="H292" s="4"/>
    </row>
    <row r="293" spans="3:8" ht="12.75">
      <c r="C293" s="4"/>
      <c r="D293" s="4"/>
      <c r="E293" s="4"/>
      <c r="F293" s="4"/>
      <c r="G293" s="4"/>
      <c r="H293" s="4"/>
    </row>
    <row r="294" spans="3:8" ht="12.75">
      <c r="C294" s="4"/>
      <c r="D294" s="4"/>
      <c r="E294" s="4"/>
      <c r="F294" s="4"/>
      <c r="G294" s="4"/>
      <c r="H294" s="4"/>
    </row>
    <row r="295" spans="3:8" ht="12.75">
      <c r="C295" s="4"/>
      <c r="D295" s="4"/>
      <c r="E295" s="4"/>
      <c r="F295" s="4"/>
      <c r="G295" s="4"/>
      <c r="H295" s="4"/>
    </row>
    <row r="296" spans="3:8" ht="12.75">
      <c r="C296" s="4"/>
      <c r="D296" s="4"/>
      <c r="E296" s="4"/>
      <c r="F296" s="4"/>
      <c r="G296" s="4"/>
      <c r="H296" s="4"/>
    </row>
    <row r="297" spans="3:8" ht="12.75">
      <c r="C297" s="4"/>
      <c r="D297" s="4"/>
      <c r="E297" s="4"/>
      <c r="F297" s="4"/>
      <c r="G297" s="4"/>
      <c r="H297" s="4"/>
    </row>
    <row r="298" spans="3:8" ht="12.75">
      <c r="C298" s="4"/>
      <c r="D298" s="4"/>
      <c r="E298" s="4"/>
      <c r="F298" s="4"/>
      <c r="G298" s="4"/>
      <c r="H298" s="4"/>
    </row>
    <row r="299" spans="3:8" ht="12.75">
      <c r="C299" s="4"/>
      <c r="D299" s="4"/>
      <c r="E299" s="4"/>
      <c r="F299" s="4"/>
      <c r="G299" s="4"/>
      <c r="H299" s="4"/>
    </row>
    <row r="300" spans="3:8" ht="12.75">
      <c r="C300" s="4"/>
      <c r="D300" s="4"/>
      <c r="E300" s="4"/>
      <c r="F300" s="4"/>
      <c r="G300" s="4"/>
      <c r="H300" s="4"/>
    </row>
    <row r="301" spans="3:8" ht="12.75">
      <c r="C301" s="4"/>
      <c r="D301" s="4"/>
      <c r="E301" s="4"/>
      <c r="F301" s="4"/>
      <c r="G301" s="4"/>
      <c r="H301" s="4"/>
    </row>
    <row r="302" spans="3:8" ht="12.75">
      <c r="C302" s="4"/>
      <c r="D302" s="4"/>
      <c r="E302" s="4"/>
      <c r="F302" s="4"/>
      <c r="G302" s="4"/>
      <c r="H302" s="4"/>
    </row>
    <row r="303" spans="3:8" ht="12.75">
      <c r="C303" s="4"/>
      <c r="D303" s="4"/>
      <c r="E303" s="4"/>
      <c r="F303" s="4"/>
      <c r="G303" s="4"/>
      <c r="H303" s="4"/>
    </row>
    <row r="304" spans="3:8" ht="12.75">
      <c r="C304" s="4"/>
      <c r="D304" s="4"/>
      <c r="E304" s="4"/>
      <c r="F304" s="4"/>
      <c r="G304" s="4"/>
      <c r="H304" s="4"/>
    </row>
    <row r="305" spans="3:8" ht="12.75">
      <c r="C305" s="4"/>
      <c r="D305" s="4"/>
      <c r="E305" s="4"/>
      <c r="F305" s="4"/>
      <c r="G305" s="4"/>
      <c r="H305" s="4"/>
    </row>
    <row r="306" spans="3:8" ht="12.75">
      <c r="C306" s="4"/>
      <c r="D306" s="4"/>
      <c r="E306" s="4"/>
      <c r="F306" s="4"/>
      <c r="G306" s="4"/>
      <c r="H306" s="4"/>
    </row>
    <row r="307" spans="3:8" ht="12.75">
      <c r="C307" s="4"/>
      <c r="D307" s="4"/>
      <c r="E307" s="4"/>
      <c r="F307" s="4"/>
      <c r="G307" s="4"/>
      <c r="H307" s="4"/>
    </row>
    <row r="308" spans="3:8" ht="12.75">
      <c r="C308" s="4"/>
      <c r="D308" s="4"/>
      <c r="E308" s="4"/>
      <c r="F308" s="4"/>
      <c r="G308" s="4"/>
      <c r="H308" s="4"/>
    </row>
    <row r="309" spans="3:8" ht="12.75">
      <c r="C309" s="4"/>
      <c r="D309" s="4"/>
      <c r="E309" s="4"/>
      <c r="F309" s="4"/>
      <c r="G309" s="4"/>
      <c r="H309" s="4"/>
    </row>
    <row r="310" spans="3:8" ht="12.75">
      <c r="C310" s="4"/>
      <c r="D310" s="4"/>
      <c r="E310" s="4"/>
      <c r="F310" s="4"/>
      <c r="G310" s="4"/>
      <c r="H310" s="4"/>
    </row>
    <row r="311" spans="3:8" ht="12.75">
      <c r="C311" s="4"/>
      <c r="D311" s="4"/>
      <c r="E311" s="4"/>
      <c r="F311" s="4"/>
      <c r="G311" s="4"/>
      <c r="H311" s="4"/>
    </row>
    <row r="312" spans="3:8" ht="12.75">
      <c r="C312" s="4"/>
      <c r="D312" s="4"/>
      <c r="E312" s="4"/>
      <c r="F312" s="4"/>
      <c r="G312" s="4"/>
      <c r="H312" s="4"/>
    </row>
    <row r="313" spans="3:8" ht="12.75">
      <c r="C313" s="4"/>
      <c r="D313" s="4"/>
      <c r="E313" s="4"/>
      <c r="F313" s="4"/>
      <c r="G313" s="4"/>
      <c r="H313" s="4"/>
    </row>
    <row r="314" spans="3:8" ht="12.75">
      <c r="C314" s="4"/>
      <c r="D314" s="4"/>
      <c r="E314" s="4"/>
      <c r="F314" s="4"/>
      <c r="G314" s="4"/>
      <c r="H314" s="4"/>
    </row>
    <row r="315" spans="3:8" ht="12.75">
      <c r="C315" s="4"/>
      <c r="D315" s="4"/>
      <c r="E315" s="4"/>
      <c r="F315" s="4"/>
      <c r="G315" s="4"/>
      <c r="H315" s="4"/>
    </row>
    <row r="316" spans="3:8" ht="12.75">
      <c r="C316" s="4"/>
      <c r="D316" s="4"/>
      <c r="E316" s="4"/>
      <c r="F316" s="4"/>
      <c r="G316" s="4"/>
      <c r="H316" s="4"/>
    </row>
    <row r="317" spans="3:8" ht="12.75">
      <c r="C317" s="4"/>
      <c r="D317" s="4"/>
      <c r="E317" s="4"/>
      <c r="F317" s="4"/>
      <c r="G317" s="4"/>
      <c r="H317" s="4"/>
    </row>
    <row r="318" spans="3:8" ht="12.75">
      <c r="C318" s="4"/>
      <c r="D318" s="4"/>
      <c r="E318" s="4"/>
      <c r="F318" s="4"/>
      <c r="G318" s="4"/>
      <c r="H318" s="4"/>
    </row>
    <row r="319" spans="3:8" ht="12.75">
      <c r="C319" s="4"/>
      <c r="D319" s="4"/>
      <c r="E319" s="4"/>
      <c r="F319" s="4"/>
      <c r="G319" s="4"/>
      <c r="H319" s="4"/>
    </row>
    <row r="320" spans="3:8" ht="12.75">
      <c r="C320" s="4"/>
      <c r="D320" s="4"/>
      <c r="E320" s="4"/>
      <c r="F320" s="4"/>
      <c r="G320" s="4"/>
      <c r="H320" s="4"/>
    </row>
    <row r="321" spans="3:8" ht="12.75">
      <c r="C321" s="4"/>
      <c r="D321" s="4"/>
      <c r="E321" s="4"/>
      <c r="F321" s="4"/>
      <c r="G321" s="4"/>
      <c r="H321" s="4"/>
    </row>
    <row r="322" spans="3:8" ht="12.75">
      <c r="C322" s="4"/>
      <c r="D322" s="4"/>
      <c r="E322" s="4"/>
      <c r="F322" s="4"/>
      <c r="G322" s="4"/>
      <c r="H322" s="4"/>
    </row>
    <row r="323" spans="3:8" ht="12.75">
      <c r="C323" s="4"/>
      <c r="D323" s="4"/>
      <c r="E323" s="4"/>
      <c r="F323" s="4"/>
      <c r="G323" s="4"/>
      <c r="H323" s="4"/>
    </row>
    <row r="324" spans="3:8" ht="12.75">
      <c r="C324" s="4"/>
      <c r="D324" s="4"/>
      <c r="E324" s="4"/>
      <c r="F324" s="4"/>
      <c r="G324" s="4"/>
      <c r="H324" s="4"/>
    </row>
    <row r="325" spans="3:8" ht="12.75">
      <c r="C325" s="4"/>
      <c r="D325" s="4"/>
      <c r="E325" s="4"/>
      <c r="F325" s="4"/>
      <c r="G325" s="4"/>
      <c r="H325" s="4"/>
    </row>
    <row r="326" spans="3:8" ht="12.75">
      <c r="C326" s="4"/>
      <c r="D326" s="4"/>
      <c r="E326" s="4"/>
      <c r="F326" s="4"/>
      <c r="G326" s="4"/>
      <c r="H326" s="4"/>
    </row>
    <row r="327" spans="3:8" ht="12.75">
      <c r="C327" s="4"/>
      <c r="D327" s="4"/>
      <c r="E327" s="4"/>
      <c r="F327" s="4"/>
      <c r="G327" s="4"/>
      <c r="H327" s="4"/>
    </row>
    <row r="328" spans="3:8" ht="12.75">
      <c r="C328" s="4"/>
      <c r="D328" s="4"/>
      <c r="E328" s="4"/>
      <c r="F328" s="4"/>
      <c r="G328" s="4"/>
      <c r="H328" s="4"/>
    </row>
    <row r="329" spans="3:8" ht="12.75">
      <c r="C329" s="4"/>
      <c r="D329" s="4"/>
      <c r="E329" s="4"/>
      <c r="F329" s="4"/>
      <c r="G329" s="4"/>
      <c r="H329" s="4"/>
    </row>
    <row r="330" spans="3:8" ht="12.75">
      <c r="C330" s="4"/>
      <c r="D330" s="4"/>
      <c r="E330" s="4"/>
      <c r="F330" s="4"/>
      <c r="G330" s="4"/>
      <c r="H330" s="4"/>
    </row>
    <row r="331" spans="3:8" ht="12.75">
      <c r="C331" s="4"/>
      <c r="D331" s="4"/>
      <c r="E331" s="4"/>
      <c r="F331" s="4"/>
      <c r="G331" s="4"/>
      <c r="H331" s="4"/>
    </row>
    <row r="332" spans="3:8" ht="12.75">
      <c r="C332" s="4"/>
      <c r="D332" s="4"/>
      <c r="E332" s="4"/>
      <c r="F332" s="4"/>
      <c r="G332" s="4"/>
      <c r="H332" s="4"/>
    </row>
    <row r="333" spans="3:8" ht="12.75">
      <c r="C333" s="4"/>
      <c r="D333" s="4"/>
      <c r="E333" s="4"/>
      <c r="F333" s="4"/>
      <c r="G333" s="4"/>
      <c r="H333" s="4"/>
    </row>
    <row r="334" spans="3:8" ht="12.75">
      <c r="C334" s="4"/>
      <c r="D334" s="4"/>
      <c r="E334" s="4"/>
      <c r="F334" s="4"/>
      <c r="G334" s="4"/>
      <c r="H334" s="4"/>
    </row>
    <row r="335" spans="3:8" ht="12.75">
      <c r="C335" s="4"/>
      <c r="D335" s="4"/>
      <c r="E335" s="4"/>
      <c r="F335" s="4"/>
      <c r="G335" s="4"/>
      <c r="H335" s="4"/>
    </row>
    <row r="336" spans="3:8" ht="12.75">
      <c r="C336" s="4"/>
      <c r="D336" s="4"/>
      <c r="E336" s="4"/>
      <c r="F336" s="4"/>
      <c r="G336" s="4"/>
      <c r="H336" s="4"/>
    </row>
    <row r="337" spans="3:8" ht="12.75">
      <c r="C337" s="4"/>
      <c r="D337" s="4"/>
      <c r="E337" s="4"/>
      <c r="F337" s="4"/>
      <c r="G337" s="4"/>
      <c r="H337" s="4"/>
    </row>
    <row r="338" spans="3:8" ht="12.75">
      <c r="C338" s="4"/>
      <c r="D338" s="4"/>
      <c r="E338" s="4"/>
      <c r="F338" s="4"/>
      <c r="G338" s="4"/>
      <c r="H338" s="4"/>
    </row>
    <row r="339" spans="3:8" ht="12.75">
      <c r="C339" s="4"/>
      <c r="D339" s="4"/>
      <c r="E339" s="4"/>
      <c r="F339" s="4"/>
      <c r="G339" s="4"/>
      <c r="H339" s="4"/>
    </row>
    <row r="340" spans="3:8" ht="12.75">
      <c r="C340" s="4"/>
      <c r="D340" s="4"/>
      <c r="E340" s="4"/>
      <c r="F340" s="4"/>
      <c r="G340" s="4"/>
      <c r="H340" s="4"/>
    </row>
    <row r="341" spans="3:8" ht="12.75">
      <c r="C341" s="4"/>
      <c r="D341" s="4"/>
      <c r="E341" s="4"/>
      <c r="F341" s="4"/>
      <c r="G341" s="4"/>
      <c r="H341" s="4"/>
    </row>
    <row r="342" spans="3:8" ht="12.75">
      <c r="C342" s="4"/>
      <c r="D342" s="4"/>
      <c r="E342" s="4"/>
      <c r="F342" s="4"/>
      <c r="G342" s="4"/>
      <c r="H342" s="4"/>
    </row>
    <row r="343" spans="3:8" ht="12.75">
      <c r="C343" s="4"/>
      <c r="D343" s="4"/>
      <c r="E343" s="4"/>
      <c r="F343" s="4"/>
      <c r="G343" s="4"/>
      <c r="H343" s="4"/>
    </row>
    <row r="344" spans="3:8" ht="12.75">
      <c r="C344" s="4"/>
      <c r="D344" s="4"/>
      <c r="E344" s="4"/>
      <c r="F344" s="4"/>
      <c r="G344" s="4"/>
      <c r="H344" s="4"/>
    </row>
    <row r="345" spans="3:8" ht="12.75">
      <c r="C345" s="4"/>
      <c r="D345" s="4"/>
      <c r="E345" s="4"/>
      <c r="F345" s="4"/>
      <c r="G345" s="4"/>
      <c r="H345" s="4"/>
    </row>
    <row r="346" spans="3:8" ht="12.75">
      <c r="C346" s="4"/>
      <c r="D346" s="4"/>
      <c r="E346" s="4"/>
      <c r="F346" s="4"/>
      <c r="G346" s="4"/>
      <c r="H346" s="4"/>
    </row>
    <row r="347" spans="3:8" ht="12.75">
      <c r="C347" s="4"/>
      <c r="D347" s="4"/>
      <c r="E347" s="4"/>
      <c r="F347" s="4"/>
      <c r="G347" s="4"/>
      <c r="H347" s="4"/>
    </row>
    <row r="348" spans="3:8" ht="12.75">
      <c r="C348" s="4"/>
      <c r="D348" s="4"/>
      <c r="E348" s="4"/>
      <c r="F348" s="4"/>
      <c r="G348" s="4"/>
      <c r="H348" s="4"/>
    </row>
    <row r="349" spans="3:8" ht="12.75">
      <c r="C349" s="4"/>
      <c r="D349" s="4"/>
      <c r="E349" s="4"/>
      <c r="F349" s="4"/>
      <c r="G349" s="4"/>
      <c r="H349" s="4"/>
    </row>
    <row r="350" spans="3:8" ht="12.75">
      <c r="C350" s="4"/>
      <c r="D350" s="4"/>
      <c r="E350" s="4"/>
      <c r="F350" s="4"/>
      <c r="G350" s="4"/>
      <c r="H350" s="4"/>
    </row>
    <row r="351" spans="3:8" ht="12.75">
      <c r="C351" s="4"/>
      <c r="D351" s="4"/>
      <c r="E351" s="4"/>
      <c r="F351" s="4"/>
      <c r="G351" s="4"/>
      <c r="H351" s="4"/>
    </row>
    <row r="352" spans="3:8" ht="12.75">
      <c r="C352" s="4"/>
      <c r="D352" s="4"/>
      <c r="E352" s="4"/>
      <c r="F352" s="4"/>
      <c r="G352" s="4"/>
      <c r="H352" s="4"/>
    </row>
    <row r="353" spans="3:8" ht="12.75">
      <c r="C353" s="4"/>
      <c r="D353" s="4"/>
      <c r="E353" s="4"/>
      <c r="F353" s="4"/>
      <c r="G353" s="4"/>
      <c r="H353" s="4"/>
    </row>
    <row r="354" spans="3:8" ht="12.75">
      <c r="C354" s="4"/>
      <c r="D354" s="4"/>
      <c r="E354" s="4"/>
      <c r="F354" s="4"/>
      <c r="G354" s="4"/>
      <c r="H354" s="4"/>
    </row>
    <row r="355" spans="3:8" ht="12.75">
      <c r="C355" s="4"/>
      <c r="D355" s="4"/>
      <c r="E355" s="4"/>
      <c r="F355" s="4"/>
      <c r="G355" s="4"/>
      <c r="H355" s="4"/>
    </row>
    <row r="356" spans="3:8" ht="12.75">
      <c r="C356" s="4"/>
      <c r="D356" s="4"/>
      <c r="E356" s="4"/>
      <c r="F356" s="4"/>
      <c r="G356" s="4"/>
      <c r="H356" s="4"/>
    </row>
    <row r="357" spans="3:8" ht="12.75">
      <c r="C357" s="4"/>
      <c r="D357" s="4"/>
      <c r="E357" s="4"/>
      <c r="F357" s="4"/>
      <c r="G357" s="4"/>
      <c r="H357" s="4"/>
    </row>
    <row r="358" spans="3:8" ht="12.75">
      <c r="C358" s="4"/>
      <c r="D358" s="4"/>
      <c r="E358" s="4"/>
      <c r="F358" s="4"/>
      <c r="G358" s="4"/>
      <c r="H358" s="4"/>
    </row>
    <row r="359" spans="3:8" ht="12.75">
      <c r="C359" s="4"/>
      <c r="D359" s="4"/>
      <c r="E359" s="4"/>
      <c r="F359" s="4"/>
      <c r="G359" s="4"/>
      <c r="H359" s="4"/>
    </row>
    <row r="360" spans="3:8" ht="12.75">
      <c r="C360" s="4"/>
      <c r="D360" s="4"/>
      <c r="E360" s="4"/>
      <c r="F360" s="4"/>
      <c r="G360" s="4"/>
      <c r="H360" s="4"/>
    </row>
    <row r="361" spans="3:8" ht="12.75">
      <c r="C361" s="4"/>
      <c r="D361" s="4"/>
      <c r="E361" s="4"/>
      <c r="F361" s="4"/>
      <c r="G361" s="4"/>
      <c r="H361" s="4"/>
    </row>
    <row r="362" spans="3:8" ht="12.75">
      <c r="C362" s="4"/>
      <c r="D362" s="4"/>
      <c r="E362" s="4"/>
      <c r="F362" s="4"/>
      <c r="G362" s="4"/>
      <c r="H362" s="4"/>
    </row>
    <row r="363" spans="3:8" ht="12.75">
      <c r="C363" s="4"/>
      <c r="D363" s="4"/>
      <c r="E363" s="4"/>
      <c r="F363" s="4"/>
      <c r="G363" s="4"/>
      <c r="H363" s="4"/>
    </row>
    <row r="364" spans="3:8" ht="12.75">
      <c r="C364" s="4"/>
      <c r="D364" s="4"/>
      <c r="E364" s="4"/>
      <c r="F364" s="4"/>
      <c r="G364" s="4"/>
      <c r="H364" s="4"/>
    </row>
    <row r="365" spans="3:8" ht="12.75">
      <c r="C365" s="4"/>
      <c r="D365" s="4"/>
      <c r="E365" s="4"/>
      <c r="F365" s="4"/>
      <c r="G365" s="4"/>
      <c r="H365" s="4"/>
    </row>
    <row r="366" spans="3:8" ht="12.75">
      <c r="C366" s="4"/>
      <c r="D366" s="4"/>
      <c r="E366" s="4"/>
      <c r="F366" s="4"/>
      <c r="G366" s="4"/>
      <c r="H366" s="4"/>
    </row>
    <row r="367" spans="3:8" ht="12.75">
      <c r="C367" s="4"/>
      <c r="D367" s="4"/>
      <c r="E367" s="4"/>
      <c r="F367" s="4"/>
      <c r="G367" s="4"/>
      <c r="H367" s="4"/>
    </row>
    <row r="368" spans="3:8" ht="12.75">
      <c r="C368" s="4"/>
      <c r="D368" s="4"/>
      <c r="E368" s="4"/>
      <c r="F368" s="4"/>
      <c r="G368" s="4"/>
      <c r="H368" s="4"/>
    </row>
    <row r="369" spans="3:8" ht="12.75">
      <c r="C369" s="4"/>
      <c r="D369" s="4"/>
      <c r="E369" s="4"/>
      <c r="F369" s="4"/>
      <c r="G369" s="4"/>
      <c r="H369" s="4"/>
    </row>
    <row r="370" spans="3:8" ht="12.75">
      <c r="C370" s="4"/>
      <c r="D370" s="4"/>
      <c r="E370" s="4"/>
      <c r="F370" s="4"/>
      <c r="G370" s="4"/>
      <c r="H370" s="4"/>
    </row>
    <row r="371" spans="3:8" ht="12.75">
      <c r="C371" s="4"/>
      <c r="D371" s="4"/>
      <c r="E371" s="4"/>
      <c r="F371" s="4"/>
      <c r="G371" s="4"/>
      <c r="H371" s="4"/>
    </row>
    <row r="372" spans="3:8" ht="12.75">
      <c r="C372" s="4"/>
      <c r="D372" s="4"/>
      <c r="E372" s="4"/>
      <c r="F372" s="4"/>
      <c r="G372" s="4"/>
      <c r="H372" s="4"/>
    </row>
    <row r="373" spans="3:8" ht="12.75">
      <c r="C373" s="4"/>
      <c r="D373" s="4"/>
      <c r="E373" s="4"/>
      <c r="F373" s="4"/>
      <c r="G373" s="4"/>
      <c r="H373" s="4"/>
    </row>
    <row r="374" spans="3:8" ht="12.75">
      <c r="C374" s="4"/>
      <c r="D374" s="4"/>
      <c r="E374" s="4"/>
      <c r="F374" s="4"/>
      <c r="G374" s="4"/>
      <c r="H374" s="4"/>
    </row>
    <row r="375" spans="3:8" ht="12.75">
      <c r="C375" s="4"/>
      <c r="D375" s="4"/>
      <c r="E375" s="4"/>
      <c r="F375" s="4"/>
      <c r="G375" s="4"/>
      <c r="H375" s="4"/>
    </row>
    <row r="376" spans="3:8" ht="12.75">
      <c r="C376" s="4"/>
      <c r="D376" s="4"/>
      <c r="E376" s="4"/>
      <c r="F376" s="4"/>
      <c r="G376" s="4"/>
      <c r="H376" s="4"/>
    </row>
    <row r="377" spans="3:8" ht="12.75">
      <c r="C377" s="4"/>
      <c r="D377" s="4"/>
      <c r="E377" s="4"/>
      <c r="F377" s="4"/>
      <c r="G377" s="4"/>
      <c r="H377" s="4"/>
    </row>
    <row r="378" spans="3:8" ht="12.75">
      <c r="C378" s="4"/>
      <c r="D378" s="4"/>
      <c r="E378" s="4"/>
      <c r="F378" s="4"/>
      <c r="G378" s="4"/>
      <c r="H378" s="4"/>
    </row>
    <row r="379" spans="3:8" ht="12.75">
      <c r="C379" s="4"/>
      <c r="D379" s="4"/>
      <c r="E379" s="4"/>
      <c r="F379" s="4"/>
      <c r="G379" s="4"/>
      <c r="H379" s="4"/>
    </row>
    <row r="380" spans="3:8" ht="12.75">
      <c r="C380" s="4"/>
      <c r="D380" s="4"/>
      <c r="E380" s="4"/>
      <c r="F380" s="4"/>
      <c r="G380" s="4"/>
      <c r="H380" s="4"/>
    </row>
    <row r="381" spans="3:8" ht="12.75">
      <c r="C381" s="4"/>
      <c r="D381" s="4"/>
      <c r="E381" s="4"/>
      <c r="F381" s="4"/>
      <c r="G381" s="4"/>
      <c r="H381" s="4"/>
    </row>
    <row r="382" spans="3:8" ht="12.75">
      <c r="C382" s="4"/>
      <c r="D382" s="4"/>
      <c r="E382" s="4"/>
      <c r="F382" s="4"/>
      <c r="G382" s="4"/>
      <c r="H382" s="4"/>
    </row>
    <row r="383" spans="3:8" ht="12.75">
      <c r="C383" s="4"/>
      <c r="D383" s="4"/>
      <c r="E383" s="4"/>
      <c r="F383" s="4"/>
      <c r="G383" s="4"/>
      <c r="H383" s="4"/>
    </row>
    <row r="384" spans="3:8" ht="12.75">
      <c r="C384" s="4"/>
      <c r="D384" s="4"/>
      <c r="E384" s="4"/>
      <c r="F384" s="4"/>
      <c r="G384" s="4"/>
      <c r="H384" s="4"/>
    </row>
    <row r="385" spans="3:8" ht="12.75">
      <c r="C385" s="4"/>
      <c r="D385" s="4"/>
      <c r="E385" s="4"/>
      <c r="F385" s="4"/>
      <c r="G385" s="4"/>
      <c r="H385" s="4"/>
    </row>
    <row r="386" spans="3:8" ht="12.75">
      <c r="C386" s="4"/>
      <c r="D386" s="4"/>
      <c r="E386" s="4"/>
      <c r="F386" s="4"/>
      <c r="G386" s="4"/>
      <c r="H386" s="4"/>
    </row>
    <row r="387" spans="3:8" ht="12.75">
      <c r="C387" s="4"/>
      <c r="D387" s="4"/>
      <c r="E387" s="4"/>
      <c r="F387" s="4"/>
      <c r="G387" s="4"/>
      <c r="H387" s="4"/>
    </row>
    <row r="388" spans="3:8" ht="12.75">
      <c r="C388" s="4"/>
      <c r="D388" s="4"/>
      <c r="E388" s="4"/>
      <c r="F388" s="4"/>
      <c r="G388" s="4"/>
      <c r="H388" s="4"/>
    </row>
    <row r="389" spans="3:8" ht="12.75">
      <c r="C389" s="4"/>
      <c r="D389" s="4"/>
      <c r="E389" s="4"/>
      <c r="F389" s="4"/>
      <c r="G389" s="4"/>
      <c r="H389" s="4"/>
    </row>
    <row r="390" spans="3:8" ht="12.75">
      <c r="C390" s="4"/>
      <c r="D390" s="4"/>
      <c r="E390" s="4"/>
      <c r="F390" s="4"/>
      <c r="G390" s="4"/>
      <c r="H390" s="4"/>
    </row>
    <row r="391" spans="3:8" ht="12.75">
      <c r="C391" s="4"/>
      <c r="D391" s="4"/>
      <c r="E391" s="4"/>
      <c r="F391" s="4"/>
      <c r="G391" s="4"/>
      <c r="H391" s="4"/>
    </row>
    <row r="392" spans="3:8" ht="12.75">
      <c r="C392" s="4"/>
      <c r="D392" s="4"/>
      <c r="E392" s="4"/>
      <c r="F392" s="4"/>
      <c r="G392" s="4"/>
      <c r="H392" s="4"/>
    </row>
    <row r="393" spans="3:8" ht="12.75">
      <c r="C393" s="4"/>
      <c r="D393" s="4"/>
      <c r="E393" s="4"/>
      <c r="F393" s="4"/>
      <c r="G393" s="4"/>
      <c r="H393" s="4"/>
    </row>
    <row r="394" spans="3:8" ht="12.75">
      <c r="C394" s="4"/>
      <c r="D394" s="4"/>
      <c r="E394" s="4"/>
      <c r="F394" s="4"/>
      <c r="G394" s="4"/>
      <c r="H394" s="4"/>
    </row>
    <row r="395" spans="3:8" ht="12.75">
      <c r="C395" s="4"/>
      <c r="D395" s="4"/>
      <c r="E395" s="4"/>
      <c r="F395" s="4"/>
      <c r="G395" s="4"/>
      <c r="H395" s="4"/>
    </row>
    <row r="396" spans="3:8" ht="12.75">
      <c r="C396" s="4"/>
      <c r="D396" s="4"/>
      <c r="E396" s="4"/>
      <c r="F396" s="4"/>
      <c r="G396" s="4"/>
      <c r="H396" s="4"/>
    </row>
    <row r="397" spans="3:8" ht="12.75">
      <c r="C397" s="4"/>
      <c r="D397" s="4"/>
      <c r="E397" s="4"/>
      <c r="F397" s="4"/>
      <c r="G397" s="4"/>
      <c r="H397" s="4"/>
    </row>
    <row r="398" spans="3:8" ht="12.75">
      <c r="C398" s="4"/>
      <c r="D398" s="4"/>
      <c r="E398" s="4"/>
      <c r="F398" s="4"/>
      <c r="G398" s="4"/>
      <c r="H398" s="4"/>
    </row>
    <row r="399" spans="3:8" ht="12.75">
      <c r="C399" s="4"/>
      <c r="D399" s="4"/>
      <c r="E399" s="4"/>
      <c r="F399" s="4"/>
      <c r="G399" s="4"/>
      <c r="H399" s="4"/>
    </row>
    <row r="400" spans="3:8" ht="12.75">
      <c r="C400" s="4"/>
      <c r="D400" s="4"/>
      <c r="E400" s="4"/>
      <c r="F400" s="4"/>
      <c r="G400" s="4"/>
      <c r="H400" s="4"/>
    </row>
    <row r="401" spans="3:8" ht="12.75">
      <c r="C401" s="4"/>
      <c r="D401" s="4"/>
      <c r="E401" s="4"/>
      <c r="F401" s="4"/>
      <c r="G401" s="4"/>
      <c r="H401" s="4"/>
    </row>
    <row r="402" spans="3:8" ht="12.75">
      <c r="C402" s="4"/>
      <c r="D402" s="4"/>
      <c r="E402" s="4"/>
      <c r="F402" s="4"/>
      <c r="G402" s="4"/>
      <c r="H402" s="4"/>
    </row>
    <row r="403" spans="3:8" ht="12.75">
      <c r="C403" s="4"/>
      <c r="D403" s="4"/>
      <c r="E403" s="4"/>
      <c r="F403" s="4"/>
      <c r="G403" s="4"/>
      <c r="H403" s="4"/>
    </row>
    <row r="404" spans="3:8" ht="12.75">
      <c r="C404" s="4"/>
      <c r="D404" s="4"/>
      <c r="E404" s="4"/>
      <c r="F404" s="4"/>
      <c r="G404" s="4"/>
      <c r="H404" s="4"/>
    </row>
    <row r="405" spans="3:8" ht="12.75">
      <c r="C405" s="4"/>
      <c r="D405" s="4"/>
      <c r="E405" s="4"/>
      <c r="F405" s="4"/>
      <c r="G405" s="4"/>
      <c r="H405" s="4"/>
    </row>
    <row r="406" spans="3:8" ht="12.75">
      <c r="C406" s="4"/>
      <c r="D406" s="4"/>
      <c r="E406" s="4"/>
      <c r="F406" s="4"/>
      <c r="G406" s="4"/>
      <c r="H406" s="4"/>
    </row>
    <row r="407" spans="3:8" ht="12.75">
      <c r="C407" s="4"/>
      <c r="D407" s="4"/>
      <c r="E407" s="4"/>
      <c r="F407" s="4"/>
      <c r="G407" s="4"/>
      <c r="H407" s="4"/>
    </row>
    <row r="408" spans="3:8" ht="12.75">
      <c r="C408" s="4"/>
      <c r="D408" s="4"/>
      <c r="E408" s="4"/>
      <c r="F408" s="4"/>
      <c r="G408" s="4"/>
      <c r="H408" s="4"/>
    </row>
    <row r="409" spans="3:8" ht="12.75">
      <c r="C409" s="4"/>
      <c r="D409" s="4"/>
      <c r="E409" s="4"/>
      <c r="F409" s="4"/>
      <c r="G409" s="4"/>
      <c r="H409" s="4"/>
    </row>
    <row r="410" spans="3:8" ht="12.75">
      <c r="C410" s="4"/>
      <c r="D410" s="4"/>
      <c r="E410" s="4"/>
      <c r="F410" s="4"/>
      <c r="G410" s="4"/>
      <c r="H410" s="4"/>
    </row>
    <row r="411" spans="3:8" ht="12.75">
      <c r="C411" s="4"/>
      <c r="D411" s="4"/>
      <c r="E411" s="4"/>
      <c r="F411" s="4"/>
      <c r="G411" s="4"/>
      <c r="H411" s="4"/>
    </row>
    <row r="412" spans="3:8" ht="12.75">
      <c r="C412" s="4"/>
      <c r="D412" s="4"/>
      <c r="E412" s="4"/>
      <c r="F412" s="4"/>
      <c r="G412" s="4"/>
      <c r="H412" s="4"/>
    </row>
    <row r="413" spans="3:8" ht="12.75">
      <c r="C413" s="4"/>
      <c r="D413" s="4"/>
      <c r="E413" s="4"/>
      <c r="F413" s="4"/>
      <c r="G413" s="4"/>
      <c r="H413" s="4"/>
    </row>
    <row r="414" spans="3:8" ht="12.75">
      <c r="C414" s="4"/>
      <c r="D414" s="4"/>
      <c r="E414" s="4"/>
      <c r="F414" s="4"/>
      <c r="G414" s="4"/>
      <c r="H414" s="4"/>
    </row>
    <row r="415" spans="3:8" ht="12.75">
      <c r="C415" s="4"/>
      <c r="D415" s="4"/>
      <c r="E415" s="4"/>
      <c r="F415" s="4"/>
      <c r="G415" s="4"/>
      <c r="H415" s="4"/>
    </row>
    <row r="416" spans="3:8" ht="12.75">
      <c r="C416" s="4"/>
      <c r="D416" s="4"/>
      <c r="E416" s="4"/>
      <c r="F416" s="4"/>
      <c r="G416" s="4"/>
      <c r="H416" s="4"/>
    </row>
    <row r="417" spans="3:8" ht="12.75">
      <c r="C417" s="4"/>
      <c r="D417" s="4"/>
      <c r="E417" s="4"/>
      <c r="F417" s="4"/>
      <c r="G417" s="4"/>
      <c r="H417" s="4"/>
    </row>
    <row r="418" spans="3:8" ht="12.75">
      <c r="C418" s="4"/>
      <c r="D418" s="4"/>
      <c r="E418" s="4"/>
      <c r="F418" s="4"/>
      <c r="G418" s="4"/>
      <c r="H418" s="4"/>
    </row>
    <row r="419" spans="3:8" ht="12.75">
      <c r="C419" s="4"/>
      <c r="D419" s="4"/>
      <c r="E419" s="4"/>
      <c r="F419" s="4"/>
      <c r="G419" s="4"/>
      <c r="H419" s="4"/>
    </row>
    <row r="420" spans="3:8" ht="12.75">
      <c r="C420" s="4"/>
      <c r="D420" s="4"/>
      <c r="E420" s="4"/>
      <c r="F420" s="4"/>
      <c r="G420" s="4"/>
      <c r="H420" s="4"/>
    </row>
    <row r="421" spans="3:8" ht="12.75">
      <c r="C421" s="4"/>
      <c r="D421" s="4"/>
      <c r="E421" s="4"/>
      <c r="F421" s="4"/>
      <c r="G421" s="4"/>
      <c r="H421" s="4"/>
    </row>
    <row r="422" spans="3:8" ht="12.75">
      <c r="C422" s="4"/>
      <c r="D422" s="4"/>
      <c r="E422" s="4"/>
      <c r="F422" s="4"/>
      <c r="G422" s="4"/>
      <c r="H422" s="4"/>
    </row>
    <row r="423" spans="3:8" ht="12.75">
      <c r="C423" s="4"/>
      <c r="D423" s="4"/>
      <c r="E423" s="4"/>
      <c r="F423" s="4"/>
      <c r="G423" s="4"/>
      <c r="H423" s="4"/>
    </row>
    <row r="424" spans="3:8" ht="12.75">
      <c r="C424" s="4"/>
      <c r="D424" s="4"/>
      <c r="E424" s="4"/>
      <c r="F424" s="4"/>
      <c r="G424" s="4"/>
      <c r="H424" s="4"/>
    </row>
    <row r="425" spans="3:8" ht="12.75">
      <c r="C425" s="4"/>
      <c r="D425" s="4"/>
      <c r="E425" s="4"/>
      <c r="F425" s="4"/>
      <c r="G425" s="4"/>
      <c r="H425" s="4"/>
    </row>
    <row r="426" spans="3:8" ht="12.75">
      <c r="C426" s="4"/>
      <c r="D426" s="4"/>
      <c r="E426" s="4"/>
      <c r="F426" s="4"/>
      <c r="G426" s="4"/>
      <c r="H426" s="4"/>
    </row>
    <row r="427" spans="3:8" ht="12.75">
      <c r="C427" s="4"/>
      <c r="D427" s="4"/>
      <c r="E427" s="4"/>
      <c r="F427" s="4"/>
      <c r="G427" s="4"/>
      <c r="H427" s="4"/>
    </row>
    <row r="428" spans="3:8" ht="12.75">
      <c r="C428" s="4"/>
      <c r="D428" s="4"/>
      <c r="E428" s="4"/>
      <c r="F428" s="4"/>
      <c r="G428" s="4"/>
      <c r="H428" s="4"/>
    </row>
    <row r="429" spans="3:8" ht="12.75">
      <c r="C429" s="4"/>
      <c r="D429" s="4"/>
      <c r="E429" s="4"/>
      <c r="F429" s="4"/>
      <c r="G429" s="4"/>
      <c r="H429" s="4"/>
    </row>
    <row r="430" spans="3:8" ht="12.75">
      <c r="C430" s="4"/>
      <c r="D430" s="4"/>
      <c r="E430" s="4"/>
      <c r="F430" s="4"/>
      <c r="G430" s="4"/>
      <c r="H430" s="4"/>
    </row>
    <row r="431" spans="3:8" ht="12.75">
      <c r="C431" s="4"/>
      <c r="D431" s="4"/>
      <c r="E431" s="4"/>
      <c r="F431" s="4"/>
      <c r="G431" s="4"/>
      <c r="H431" s="4"/>
    </row>
    <row r="432" spans="3:8" ht="12.75">
      <c r="C432" s="4"/>
      <c r="D432" s="4"/>
      <c r="E432" s="4"/>
      <c r="F432" s="4"/>
      <c r="G432" s="4"/>
      <c r="H432" s="4"/>
    </row>
    <row r="433" spans="3:8" ht="12.75">
      <c r="C433" s="4"/>
      <c r="D433" s="4"/>
      <c r="E433" s="4"/>
      <c r="F433" s="4"/>
      <c r="G433" s="4"/>
      <c r="H433" s="4"/>
    </row>
    <row r="434" spans="3:8" ht="12.75">
      <c r="C434" s="4"/>
      <c r="D434" s="4"/>
      <c r="E434" s="4"/>
      <c r="F434" s="4"/>
      <c r="G434" s="4"/>
      <c r="H434" s="4"/>
    </row>
    <row r="435" spans="3:8" ht="12.75">
      <c r="C435" s="4"/>
      <c r="D435" s="4"/>
      <c r="E435" s="4"/>
      <c r="F435" s="4"/>
      <c r="G435" s="4"/>
      <c r="H435" s="4"/>
    </row>
    <row r="436" spans="3:8" ht="12.75">
      <c r="C436" s="4"/>
      <c r="D436" s="4"/>
      <c r="E436" s="4"/>
      <c r="F436" s="4"/>
      <c r="G436" s="4"/>
      <c r="H436" s="4"/>
    </row>
    <row r="437" spans="3:8" ht="12.75">
      <c r="C437" s="4"/>
      <c r="D437" s="4"/>
      <c r="E437" s="4"/>
      <c r="F437" s="4"/>
      <c r="G437" s="4"/>
      <c r="H437" s="4"/>
    </row>
    <row r="438" spans="3:8" ht="12.75">
      <c r="C438" s="4"/>
      <c r="D438" s="4"/>
      <c r="E438" s="4"/>
      <c r="F438" s="4"/>
      <c r="G438" s="4"/>
      <c r="H438" s="4"/>
    </row>
    <row r="439" spans="3:8" ht="12.75">
      <c r="C439" s="4"/>
      <c r="D439" s="4"/>
      <c r="E439" s="4"/>
      <c r="F439" s="4"/>
      <c r="G439" s="4"/>
      <c r="H439" s="4"/>
    </row>
    <row r="440" spans="3:8" ht="12.75">
      <c r="C440" s="4"/>
      <c r="D440" s="4"/>
      <c r="E440" s="4"/>
      <c r="F440" s="4"/>
      <c r="G440" s="4"/>
      <c r="H440" s="4"/>
    </row>
    <row r="441" spans="3:8" ht="12.75">
      <c r="C441" s="4"/>
      <c r="D441" s="4"/>
      <c r="E441" s="4"/>
      <c r="F441" s="4"/>
      <c r="G441" s="4"/>
      <c r="H441" s="4"/>
    </row>
    <row r="442" spans="3:8" ht="12.75">
      <c r="C442" s="4"/>
      <c r="D442" s="4"/>
      <c r="E442" s="4"/>
      <c r="F442" s="4"/>
      <c r="G442" s="4"/>
      <c r="H442" s="4"/>
    </row>
    <row r="443" spans="3:8" ht="12.75">
      <c r="C443" s="4"/>
      <c r="D443" s="4"/>
      <c r="E443" s="4"/>
      <c r="F443" s="4"/>
      <c r="G443" s="4"/>
      <c r="H443" s="4"/>
    </row>
    <row r="444" spans="3:8" ht="12.75">
      <c r="C444" s="4"/>
      <c r="D444" s="4"/>
      <c r="E444" s="4"/>
      <c r="F444" s="4"/>
      <c r="G444" s="4"/>
      <c r="H444" s="4"/>
    </row>
    <row r="445" spans="3:8" ht="12.75">
      <c r="C445" s="4"/>
      <c r="D445" s="4"/>
      <c r="E445" s="4"/>
      <c r="F445" s="4"/>
      <c r="G445" s="4"/>
      <c r="H445" s="4"/>
    </row>
    <row r="446" spans="3:8" ht="12.75">
      <c r="C446" s="4"/>
      <c r="D446" s="4"/>
      <c r="E446" s="4"/>
      <c r="F446" s="4"/>
      <c r="G446" s="4"/>
      <c r="H446" s="4"/>
    </row>
    <row r="447" spans="3:8" ht="12.75">
      <c r="C447" s="4"/>
      <c r="D447" s="4"/>
      <c r="E447" s="4"/>
      <c r="F447" s="4"/>
      <c r="G447" s="4"/>
      <c r="H447" s="4"/>
    </row>
    <row r="448" spans="3:8" ht="12.75">
      <c r="C448" s="4"/>
      <c r="D448" s="4"/>
      <c r="E448" s="4"/>
      <c r="F448" s="4"/>
      <c r="G448" s="4"/>
      <c r="H448" s="4"/>
    </row>
    <row r="449" spans="3:8" ht="12.75">
      <c r="C449" s="4"/>
      <c r="D449" s="4"/>
      <c r="E449" s="4"/>
      <c r="F449" s="4"/>
      <c r="G449" s="4"/>
      <c r="H449" s="4"/>
    </row>
    <row r="450" spans="3:8" ht="12.75">
      <c r="C450" s="4"/>
      <c r="D450" s="4"/>
      <c r="E450" s="4"/>
      <c r="F450" s="4"/>
      <c r="G450" s="4"/>
      <c r="H450" s="4"/>
    </row>
    <row r="451" spans="3:8" ht="12.75">
      <c r="C451" s="4"/>
      <c r="D451" s="4"/>
      <c r="E451" s="4"/>
      <c r="F451" s="4"/>
      <c r="G451" s="4"/>
      <c r="H451" s="4"/>
    </row>
    <row r="452" spans="3:8" ht="12.75">
      <c r="C452" s="4"/>
      <c r="D452" s="4"/>
      <c r="E452" s="4"/>
      <c r="F452" s="4"/>
      <c r="G452" s="4"/>
      <c r="H452" s="4"/>
    </row>
    <row r="453" spans="3:8" ht="12.75">
      <c r="C453" s="4"/>
      <c r="D453" s="4"/>
      <c r="E453" s="4"/>
      <c r="F453" s="4"/>
      <c r="G453" s="4"/>
      <c r="H453" s="4"/>
    </row>
    <row r="454" spans="3:8" ht="12.75">
      <c r="C454" s="4"/>
      <c r="D454" s="4"/>
      <c r="E454" s="4"/>
      <c r="F454" s="4"/>
      <c r="G454" s="4"/>
      <c r="H454" s="4"/>
    </row>
    <row r="455" spans="3:8" ht="12.75">
      <c r="C455" s="4"/>
      <c r="D455" s="4"/>
      <c r="E455" s="4"/>
      <c r="F455" s="4"/>
      <c r="G455" s="4"/>
      <c r="H455" s="4"/>
    </row>
    <row r="456" spans="3:8" ht="12.75">
      <c r="C456" s="4"/>
      <c r="D456" s="4"/>
      <c r="E456" s="4"/>
      <c r="F456" s="4"/>
      <c r="G456" s="4"/>
      <c r="H456" s="4"/>
    </row>
    <row r="457" spans="3:8" ht="12.75">
      <c r="C457" s="4"/>
      <c r="D457" s="4"/>
      <c r="E457" s="4"/>
      <c r="F457" s="4"/>
      <c r="G457" s="4"/>
      <c r="H457" s="4"/>
    </row>
    <row r="458" spans="3:8" ht="12.75">
      <c r="C458" s="4"/>
      <c r="D458" s="4"/>
      <c r="E458" s="4"/>
      <c r="F458" s="4"/>
      <c r="G458" s="4"/>
      <c r="H458" s="4"/>
    </row>
    <row r="459" spans="3:8" ht="12.75">
      <c r="C459" s="4"/>
      <c r="D459" s="4"/>
      <c r="E459" s="4"/>
      <c r="F459" s="4"/>
      <c r="G459" s="4"/>
      <c r="H459" s="4"/>
    </row>
    <row r="460" spans="3:8" ht="12.75">
      <c r="C460" s="4"/>
      <c r="D460" s="4"/>
      <c r="E460" s="4"/>
      <c r="F460" s="4"/>
      <c r="G460" s="4"/>
      <c r="H460" s="4"/>
    </row>
    <row r="461" spans="3:8" ht="12.75">
      <c r="C461" s="4"/>
      <c r="D461" s="4"/>
      <c r="E461" s="4"/>
      <c r="F461" s="4"/>
      <c r="G461" s="4"/>
      <c r="H461" s="4"/>
    </row>
    <row r="462" spans="3:8" ht="12.75">
      <c r="C462" s="4"/>
      <c r="D462" s="4"/>
      <c r="E462" s="4"/>
      <c r="F462" s="4"/>
      <c r="G462" s="4"/>
      <c r="H462" s="4"/>
    </row>
    <row r="463" spans="3:8" ht="12.75">
      <c r="C463" s="4"/>
      <c r="D463" s="4"/>
      <c r="E463" s="4"/>
      <c r="F463" s="4"/>
      <c r="G463" s="4"/>
      <c r="H463" s="4"/>
    </row>
    <row r="464" spans="3:8" ht="12.75">
      <c r="C464" s="4"/>
      <c r="D464" s="4"/>
      <c r="E464" s="4"/>
      <c r="F464" s="4"/>
      <c r="G464" s="4"/>
      <c r="H464" s="4"/>
    </row>
    <row r="465" spans="3:8" ht="12.75">
      <c r="C465" s="4"/>
      <c r="D465" s="4"/>
      <c r="E465" s="4"/>
      <c r="F465" s="4"/>
      <c r="G465" s="4"/>
      <c r="H465" s="4"/>
    </row>
    <row r="466" spans="3:8" ht="12.75">
      <c r="C466" s="4"/>
      <c r="D466" s="4"/>
      <c r="E466" s="4"/>
      <c r="F466" s="4"/>
      <c r="G466" s="4"/>
      <c r="H466" s="4"/>
    </row>
    <row r="467" spans="3:8" ht="12.75">
      <c r="C467" s="4"/>
      <c r="D467" s="4"/>
      <c r="E467" s="4"/>
      <c r="F467" s="4"/>
      <c r="G467" s="4"/>
      <c r="H467" s="4"/>
    </row>
    <row r="468" spans="3:8" ht="12.75">
      <c r="C468" s="4"/>
      <c r="D468" s="4"/>
      <c r="E468" s="4"/>
      <c r="F468" s="4"/>
      <c r="G468" s="4"/>
      <c r="H468" s="4"/>
    </row>
    <row r="469" spans="3:8" ht="12.75">
      <c r="C469" s="4"/>
      <c r="D469" s="4"/>
      <c r="E469" s="4"/>
      <c r="F469" s="4"/>
      <c r="G469" s="4"/>
      <c r="H469" s="4"/>
    </row>
    <row r="470" spans="3:8" ht="12.75">
      <c r="C470" s="4"/>
      <c r="D470" s="4"/>
      <c r="E470" s="4"/>
      <c r="F470" s="4"/>
      <c r="G470" s="4"/>
      <c r="H470" s="4"/>
    </row>
    <row r="471" spans="3:8" ht="12.75">
      <c r="C471" s="4"/>
      <c r="D471" s="4"/>
      <c r="E471" s="4"/>
      <c r="F471" s="4"/>
      <c r="G471" s="4"/>
      <c r="H471" s="4"/>
    </row>
    <row r="472" spans="3:8" ht="12.75">
      <c r="C472" s="4"/>
      <c r="D472" s="4"/>
      <c r="E472" s="4"/>
      <c r="F472" s="4"/>
      <c r="G472" s="4"/>
      <c r="H472" s="4"/>
    </row>
    <row r="473" spans="3:8" ht="12.75">
      <c r="C473" s="4"/>
      <c r="D473" s="4"/>
      <c r="E473" s="4"/>
      <c r="F473" s="4"/>
      <c r="G473" s="4"/>
      <c r="H473" s="4"/>
    </row>
    <row r="474" spans="3:8" ht="12.75">
      <c r="C474" s="4"/>
      <c r="D474" s="4"/>
      <c r="E474" s="4"/>
      <c r="F474" s="4"/>
      <c r="G474" s="4"/>
      <c r="H474" s="4"/>
    </row>
    <row r="475" spans="3:8" ht="12.75">
      <c r="C475" s="4"/>
      <c r="D475" s="4"/>
      <c r="E475" s="4"/>
      <c r="F475" s="4"/>
      <c r="G475" s="4"/>
      <c r="H475" s="4"/>
    </row>
    <row r="476" spans="3:8" ht="12.75">
      <c r="C476" s="4"/>
      <c r="D476" s="4"/>
      <c r="E476" s="4"/>
      <c r="F476" s="4"/>
      <c r="G476" s="4"/>
      <c r="H476" s="4"/>
    </row>
    <row r="477" spans="3:8" ht="12.75">
      <c r="C477" s="4"/>
      <c r="D477" s="4"/>
      <c r="E477" s="4"/>
      <c r="F477" s="4"/>
      <c r="G477" s="4"/>
      <c r="H477" s="4"/>
    </row>
    <row r="478" spans="3:8" ht="12.75">
      <c r="C478" s="4"/>
      <c r="D478" s="4"/>
      <c r="E478" s="4"/>
      <c r="F478" s="4"/>
      <c r="G478" s="4"/>
      <c r="H478" s="4"/>
    </row>
    <row r="479" spans="3:8" ht="12.75">
      <c r="C479" s="4"/>
      <c r="D479" s="4"/>
      <c r="E479" s="4"/>
      <c r="F479" s="4"/>
      <c r="G479" s="4"/>
      <c r="H479" s="4"/>
    </row>
    <row r="480" spans="3:8" ht="12.75">
      <c r="C480" s="4"/>
      <c r="D480" s="4"/>
      <c r="E480" s="4"/>
      <c r="F480" s="4"/>
      <c r="G480" s="4"/>
      <c r="H480" s="4"/>
    </row>
    <row r="481" spans="3:8" ht="12.75">
      <c r="C481" s="4"/>
      <c r="D481" s="4"/>
      <c r="E481" s="4"/>
      <c r="F481" s="4"/>
      <c r="G481" s="4"/>
      <c r="H481" s="4"/>
    </row>
    <row r="482" spans="3:8" ht="12.75">
      <c r="C482" s="4"/>
      <c r="D482" s="4"/>
      <c r="E482" s="4"/>
      <c r="F482" s="4"/>
      <c r="G482" s="4"/>
      <c r="H482" s="4"/>
    </row>
    <row r="483" spans="3:8" ht="12.75">
      <c r="C483" s="4"/>
      <c r="D483" s="4"/>
      <c r="E483" s="4"/>
      <c r="F483" s="4"/>
      <c r="G483" s="4"/>
      <c r="H483" s="4"/>
    </row>
    <row r="484" spans="3:8" ht="12.75">
      <c r="C484" s="4"/>
      <c r="D484" s="4"/>
      <c r="E484" s="4"/>
      <c r="F484" s="4"/>
      <c r="G484" s="4"/>
      <c r="H484" s="4"/>
    </row>
    <row r="485" spans="3:8" ht="12.75">
      <c r="C485" s="4"/>
      <c r="D485" s="4"/>
      <c r="E485" s="4"/>
      <c r="F485" s="4"/>
      <c r="G485" s="4"/>
      <c r="H485" s="4"/>
    </row>
    <row r="486" spans="3:8" ht="12.75">
      <c r="C486" s="4"/>
      <c r="D486" s="4"/>
      <c r="E486" s="4"/>
      <c r="F486" s="4"/>
      <c r="G486" s="4"/>
      <c r="H486" s="4"/>
    </row>
    <row r="487" spans="3:8" ht="12.75">
      <c r="C487" s="4"/>
      <c r="D487" s="4"/>
      <c r="E487" s="4"/>
      <c r="F487" s="4"/>
      <c r="G487" s="4"/>
      <c r="H487" s="4"/>
    </row>
    <row r="488" spans="3:8" ht="12.75">
      <c r="C488" s="4"/>
      <c r="D488" s="4"/>
      <c r="E488" s="4"/>
      <c r="F488" s="4"/>
      <c r="G488" s="4"/>
      <c r="H488" s="4"/>
    </row>
    <row r="489" spans="3:8" ht="12.75">
      <c r="C489" s="4"/>
      <c r="D489" s="4"/>
      <c r="E489" s="4"/>
      <c r="F489" s="4"/>
      <c r="G489" s="4"/>
      <c r="H489" s="4"/>
    </row>
    <row r="490" spans="3:8" ht="12.75">
      <c r="C490" s="4"/>
      <c r="D490" s="4"/>
      <c r="E490" s="4"/>
      <c r="F490" s="4"/>
      <c r="G490" s="4"/>
      <c r="H490" s="4"/>
    </row>
    <row r="491" spans="3:8" ht="12.75">
      <c r="C491" s="4"/>
      <c r="D491" s="4"/>
      <c r="E491" s="4"/>
      <c r="F491" s="4"/>
      <c r="G491" s="4"/>
      <c r="H491" s="4"/>
    </row>
    <row r="492" spans="3:8" ht="12.75">
      <c r="C492" s="4"/>
      <c r="D492" s="4"/>
      <c r="E492" s="4"/>
      <c r="F492" s="4"/>
      <c r="G492" s="4"/>
      <c r="H492" s="4"/>
    </row>
    <row r="493" spans="3:8" ht="12.75">
      <c r="C493" s="4"/>
      <c r="D493" s="4"/>
      <c r="E493" s="4"/>
      <c r="F493" s="4"/>
      <c r="G493" s="4"/>
      <c r="H493" s="4"/>
    </row>
    <row r="494" spans="3:8" ht="12.75">
      <c r="C494" s="4"/>
      <c r="D494" s="4"/>
      <c r="E494" s="4"/>
      <c r="F494" s="4"/>
      <c r="G494" s="4"/>
      <c r="H494" s="4"/>
    </row>
    <row r="495" spans="3:8" ht="12.75">
      <c r="C495" s="4"/>
      <c r="D495" s="4"/>
      <c r="E495" s="4"/>
      <c r="F495" s="4"/>
      <c r="G495" s="4"/>
      <c r="H495" s="4"/>
    </row>
    <row r="496" spans="3:8" ht="12.75">
      <c r="C496" s="4"/>
      <c r="D496" s="4"/>
      <c r="E496" s="4"/>
      <c r="F496" s="4"/>
      <c r="G496" s="4"/>
      <c r="H496" s="4"/>
    </row>
    <row r="497" spans="3:8" ht="12.75">
      <c r="C497" s="4"/>
      <c r="D497" s="4"/>
      <c r="E497" s="4"/>
      <c r="F497" s="4"/>
      <c r="G497" s="4"/>
      <c r="H497" s="4"/>
    </row>
    <row r="498" spans="3:8" ht="12.75">
      <c r="C498" s="4"/>
      <c r="D498" s="4"/>
      <c r="E498" s="4"/>
      <c r="F498" s="4"/>
      <c r="G498" s="4"/>
      <c r="H498" s="4"/>
    </row>
    <row r="499" spans="3:8" ht="12.75">
      <c r="C499" s="4"/>
      <c r="D499" s="4"/>
      <c r="E499" s="4"/>
      <c r="F499" s="4"/>
      <c r="G499" s="4"/>
      <c r="H499" s="4"/>
    </row>
    <row r="500" spans="3:8" ht="12.75">
      <c r="C500" s="4"/>
      <c r="D500" s="4"/>
      <c r="E500" s="4"/>
      <c r="F500" s="4"/>
      <c r="G500" s="4"/>
      <c r="H500" s="4"/>
    </row>
    <row r="501" spans="3:8" ht="12.75">
      <c r="C501" s="4"/>
      <c r="D501" s="4"/>
      <c r="E501" s="4"/>
      <c r="F501" s="4"/>
      <c r="G501" s="4"/>
      <c r="H501" s="4"/>
    </row>
    <row r="502" spans="3:8" ht="12.75">
      <c r="C502" s="4"/>
      <c r="D502" s="4"/>
      <c r="E502" s="4"/>
      <c r="F502" s="4"/>
      <c r="G502" s="4"/>
      <c r="H502" s="4"/>
    </row>
    <row r="503" spans="3:8" ht="12.75">
      <c r="C503" s="4"/>
      <c r="D503" s="4"/>
      <c r="E503" s="4"/>
      <c r="F503" s="4"/>
      <c r="G503" s="4"/>
      <c r="H503" s="4"/>
    </row>
    <row r="504" spans="3:8" ht="12.75">
      <c r="C504" s="4"/>
      <c r="D504" s="4"/>
      <c r="E504" s="4"/>
      <c r="F504" s="4"/>
      <c r="G504" s="4"/>
      <c r="H504" s="4"/>
    </row>
    <row r="505" spans="3:8" ht="12.75">
      <c r="C505" s="4"/>
      <c r="D505" s="4"/>
      <c r="E505" s="4"/>
      <c r="F505" s="4"/>
      <c r="G505" s="4"/>
      <c r="H505" s="4"/>
    </row>
    <row r="506" spans="3:8" ht="12.75">
      <c r="C506" s="4"/>
      <c r="D506" s="4"/>
      <c r="E506" s="4"/>
      <c r="F506" s="4"/>
      <c r="G506" s="4"/>
      <c r="H506" s="4"/>
    </row>
    <row r="507" spans="3:8" ht="12.75">
      <c r="C507" s="4"/>
      <c r="D507" s="4"/>
      <c r="E507" s="4"/>
      <c r="F507" s="4"/>
      <c r="G507" s="4"/>
      <c r="H507" s="4"/>
    </row>
    <row r="508" spans="3:8" ht="12.75">
      <c r="C508" s="4"/>
      <c r="D508" s="4"/>
      <c r="E508" s="4"/>
      <c r="F508" s="4"/>
      <c r="G508" s="4"/>
      <c r="H508" s="4"/>
    </row>
    <row r="509" spans="3:8" ht="12.75">
      <c r="C509" s="4"/>
      <c r="D509" s="4"/>
      <c r="E509" s="4"/>
      <c r="F509" s="4"/>
      <c r="G509" s="4"/>
      <c r="H509" s="4"/>
    </row>
    <row r="510" spans="3:8" ht="12.75">
      <c r="C510" s="4"/>
      <c r="D510" s="4"/>
      <c r="E510" s="4"/>
      <c r="F510" s="4"/>
      <c r="G510" s="4"/>
      <c r="H510" s="4"/>
    </row>
    <row r="511" spans="3:8" ht="12.75">
      <c r="C511" s="4"/>
      <c r="D511" s="4"/>
      <c r="E511" s="4"/>
      <c r="F511" s="4"/>
      <c r="G511" s="4"/>
      <c r="H511" s="4"/>
    </row>
    <row r="512" spans="3:8" ht="12.75">
      <c r="C512" s="4"/>
      <c r="D512" s="4"/>
      <c r="E512" s="4"/>
      <c r="F512" s="4"/>
      <c r="G512" s="4"/>
      <c r="H512" s="4"/>
    </row>
    <row r="513" spans="3:8" ht="12.75">
      <c r="C513" s="4"/>
      <c r="D513" s="4"/>
      <c r="E513" s="4"/>
      <c r="F513" s="4"/>
      <c r="G513" s="4"/>
      <c r="H513" s="4"/>
    </row>
    <row r="514" spans="3:8" ht="12.75">
      <c r="C514" s="4"/>
      <c r="D514" s="4"/>
      <c r="E514" s="4"/>
      <c r="F514" s="4"/>
      <c r="G514" s="4"/>
      <c r="H514" s="4"/>
    </row>
    <row r="515" spans="3:8" ht="12.75">
      <c r="C515" s="4"/>
      <c r="D515" s="4"/>
      <c r="E515" s="4"/>
      <c r="F515" s="4"/>
      <c r="G515" s="4"/>
      <c r="H515" s="4"/>
    </row>
    <row r="516" spans="3:8" ht="12.75">
      <c r="C516" s="4"/>
      <c r="D516" s="4"/>
      <c r="E516" s="4"/>
      <c r="F516" s="4"/>
      <c r="G516" s="4"/>
      <c r="H516" s="4"/>
    </row>
    <row r="517" spans="3:8" ht="12.75">
      <c r="C517" s="4"/>
      <c r="D517" s="4"/>
      <c r="E517" s="4"/>
      <c r="F517" s="4"/>
      <c r="G517" s="4"/>
      <c r="H517" s="4"/>
    </row>
    <row r="518" spans="3:8" ht="12.75">
      <c r="C518" s="4"/>
      <c r="D518" s="4"/>
      <c r="E518" s="4"/>
      <c r="F518" s="4"/>
      <c r="G518" s="4"/>
      <c r="H518" s="4"/>
    </row>
    <row r="519" spans="3:8" ht="12.75">
      <c r="C519" s="4"/>
      <c r="D519" s="4"/>
      <c r="E519" s="4"/>
      <c r="F519" s="4"/>
      <c r="G519" s="4"/>
      <c r="H519" s="4"/>
    </row>
    <row r="520" spans="3:8" ht="12.75">
      <c r="C520" s="4"/>
      <c r="D520" s="4"/>
      <c r="E520" s="4"/>
      <c r="F520" s="4"/>
      <c r="G520" s="4"/>
      <c r="H520" s="4"/>
    </row>
    <row r="521" spans="3:8" ht="12.75">
      <c r="C521" s="4"/>
      <c r="D521" s="4"/>
      <c r="E521" s="4"/>
      <c r="F521" s="4"/>
      <c r="G521" s="4"/>
      <c r="H521" s="4"/>
    </row>
    <row r="522" spans="3:8" ht="12.75">
      <c r="C522" s="4"/>
      <c r="D522" s="4"/>
      <c r="E522" s="4"/>
      <c r="F522" s="4"/>
      <c r="G522" s="4"/>
      <c r="H522" s="4"/>
    </row>
    <row r="523" spans="3:8" ht="12.75">
      <c r="C523" s="4"/>
      <c r="D523" s="4"/>
      <c r="E523" s="4"/>
      <c r="F523" s="4"/>
      <c r="G523" s="4"/>
      <c r="H523" s="4"/>
    </row>
    <row r="524" spans="3:8" ht="12.75">
      <c r="C524" s="4"/>
      <c r="D524" s="4"/>
      <c r="E524" s="4"/>
      <c r="F524" s="4"/>
      <c r="G524" s="4"/>
      <c r="H524" s="4"/>
    </row>
    <row r="525" spans="3:8" ht="12.75">
      <c r="C525" s="4"/>
      <c r="D525" s="4"/>
      <c r="E525" s="4"/>
      <c r="F525" s="4"/>
      <c r="G525" s="4"/>
      <c r="H525" s="4"/>
    </row>
    <row r="526" spans="3:8" ht="12.75">
      <c r="C526" s="4"/>
      <c r="D526" s="4"/>
      <c r="E526" s="4"/>
      <c r="F526" s="4"/>
      <c r="G526" s="4"/>
      <c r="H526" s="4"/>
    </row>
    <row r="527" spans="3:8" ht="12.75">
      <c r="C527" s="4"/>
      <c r="D527" s="4"/>
      <c r="E527" s="4"/>
      <c r="F527" s="4"/>
      <c r="G527" s="4"/>
      <c r="H527" s="4"/>
    </row>
    <row r="528" spans="3:8" ht="12.75">
      <c r="C528" s="4"/>
      <c r="D528" s="4"/>
      <c r="E528" s="4"/>
      <c r="F528" s="4"/>
      <c r="G528" s="4"/>
      <c r="H528" s="4"/>
    </row>
    <row r="529" spans="3:8" ht="12.75">
      <c r="C529" s="4"/>
      <c r="D529" s="4"/>
      <c r="E529" s="4"/>
      <c r="F529" s="4"/>
      <c r="G529" s="4"/>
      <c r="H529" s="4"/>
    </row>
    <row r="530" spans="3:8" ht="12.75">
      <c r="C530" s="4"/>
      <c r="D530" s="4"/>
      <c r="E530" s="4"/>
      <c r="F530" s="4"/>
      <c r="G530" s="4"/>
      <c r="H530" s="4"/>
    </row>
    <row r="531" spans="3:8" ht="12.75">
      <c r="C531" s="4"/>
      <c r="D531" s="4"/>
      <c r="E531" s="4"/>
      <c r="F531" s="4"/>
      <c r="G531" s="4"/>
      <c r="H531" s="4"/>
    </row>
    <row r="532" spans="3:8" ht="12.75">
      <c r="C532" s="4"/>
      <c r="D532" s="4"/>
      <c r="E532" s="4"/>
      <c r="F532" s="4"/>
      <c r="G532" s="4"/>
      <c r="H532" s="4"/>
    </row>
    <row r="533" spans="3:8" ht="12.75">
      <c r="C533" s="4"/>
      <c r="D533" s="4"/>
      <c r="E533" s="4"/>
      <c r="F533" s="4"/>
      <c r="G533" s="4"/>
      <c r="H533" s="4"/>
    </row>
    <row r="534" spans="3:8" ht="12.75">
      <c r="C534" s="4"/>
      <c r="D534" s="4"/>
      <c r="E534" s="4"/>
      <c r="F534" s="4"/>
      <c r="G534" s="4"/>
      <c r="H534" s="4"/>
    </row>
    <row r="535" spans="3:8" ht="12.75">
      <c r="C535" s="4"/>
      <c r="D535" s="4"/>
      <c r="E535" s="4"/>
      <c r="F535" s="4"/>
      <c r="G535" s="4"/>
      <c r="H535" s="4"/>
    </row>
    <row r="536" spans="3:8" ht="12.75">
      <c r="C536" s="4"/>
      <c r="D536" s="4"/>
      <c r="E536" s="4"/>
      <c r="F536" s="4"/>
      <c r="G536" s="4"/>
      <c r="H536" s="4"/>
    </row>
    <row r="537" spans="3:8" ht="12.75">
      <c r="C537" s="4"/>
      <c r="D537" s="4"/>
      <c r="E537" s="4"/>
      <c r="F537" s="4"/>
      <c r="G537" s="4"/>
      <c r="H537" s="4"/>
    </row>
    <row r="538" spans="3:8" ht="12.75">
      <c r="C538" s="4"/>
      <c r="D538" s="4"/>
      <c r="E538" s="4"/>
      <c r="F538" s="4"/>
      <c r="G538" s="4"/>
      <c r="H538" s="4"/>
    </row>
    <row r="539" spans="3:8" ht="12.75">
      <c r="C539" s="4"/>
      <c r="D539" s="4"/>
      <c r="E539" s="4"/>
      <c r="F539" s="4"/>
      <c r="G539" s="4"/>
      <c r="H539" s="4"/>
    </row>
    <row r="540" spans="3:8" ht="12.75">
      <c r="C540" s="4"/>
      <c r="D540" s="4"/>
      <c r="E540" s="4"/>
      <c r="F540" s="4"/>
      <c r="G540" s="4"/>
      <c r="H540" s="4"/>
    </row>
    <row r="541" spans="3:8" ht="12.75">
      <c r="C541" s="4"/>
      <c r="D541" s="4"/>
      <c r="E541" s="4"/>
      <c r="F541" s="4"/>
      <c r="G541" s="4"/>
      <c r="H541" s="4"/>
    </row>
    <row r="542" spans="3:8" ht="12.75">
      <c r="C542" s="4"/>
      <c r="D542" s="4"/>
      <c r="E542" s="4"/>
      <c r="F542" s="4"/>
      <c r="G542" s="4"/>
      <c r="H542" s="4"/>
    </row>
    <row r="543" spans="3:8" ht="12.75">
      <c r="C543" s="4"/>
      <c r="D543" s="4"/>
      <c r="E543" s="4"/>
      <c r="F543" s="4"/>
      <c r="G543" s="4"/>
      <c r="H543" s="4"/>
    </row>
    <row r="544" spans="3:8" ht="12.75">
      <c r="C544" s="4"/>
      <c r="D544" s="4"/>
      <c r="E544" s="4"/>
      <c r="F544" s="4"/>
      <c r="G544" s="4"/>
      <c r="H544" s="4"/>
    </row>
    <row r="545" spans="3:8" ht="12.75">
      <c r="C545" s="4"/>
      <c r="D545" s="4"/>
      <c r="E545" s="4"/>
      <c r="F545" s="4"/>
      <c r="G545" s="4"/>
      <c r="H545" s="4"/>
    </row>
    <row r="546" spans="3:8" ht="12.75">
      <c r="C546" s="4"/>
      <c r="D546" s="4"/>
      <c r="E546" s="4"/>
      <c r="F546" s="4"/>
      <c r="G546" s="4"/>
      <c r="H546" s="4"/>
    </row>
    <row r="547" spans="3:8" ht="12.75">
      <c r="C547" s="4"/>
      <c r="D547" s="4"/>
      <c r="E547" s="4"/>
      <c r="F547" s="4"/>
      <c r="G547" s="4"/>
      <c r="H547" s="4"/>
    </row>
    <row r="548" spans="3:8" ht="12.75">
      <c r="C548" s="4"/>
      <c r="D548" s="4"/>
      <c r="E548" s="4"/>
      <c r="F548" s="4"/>
      <c r="G548" s="4"/>
      <c r="H548" s="4"/>
    </row>
    <row r="549" spans="3:8" ht="12.75">
      <c r="C549" s="4"/>
      <c r="D549" s="4"/>
      <c r="E549" s="4"/>
      <c r="F549" s="4"/>
      <c r="G549" s="4"/>
      <c r="H549" s="4"/>
    </row>
    <row r="550" spans="3:8" ht="12.75">
      <c r="C550" s="4"/>
      <c r="D550" s="4"/>
      <c r="E550" s="4"/>
      <c r="F550" s="4"/>
      <c r="G550" s="4"/>
      <c r="H550" s="4"/>
    </row>
    <row r="551" spans="3:8" ht="12.75">
      <c r="C551" s="4"/>
      <c r="D551" s="4"/>
      <c r="E551" s="4"/>
      <c r="F551" s="4"/>
      <c r="G551" s="4"/>
      <c r="H551" s="4"/>
    </row>
    <row r="552" spans="3:8" ht="12.75">
      <c r="C552" s="4"/>
      <c r="D552" s="4"/>
      <c r="E552" s="4"/>
      <c r="F552" s="4"/>
      <c r="G552" s="4"/>
      <c r="H552" s="4"/>
    </row>
    <row r="553" spans="3:8" ht="12.75">
      <c r="C553" s="4"/>
      <c r="D553" s="4"/>
      <c r="E553" s="4"/>
      <c r="F553" s="4"/>
      <c r="G553" s="4"/>
      <c r="H553" s="4"/>
    </row>
    <row r="554" spans="3:8" ht="12.75">
      <c r="C554" s="4"/>
      <c r="D554" s="4"/>
      <c r="E554" s="4"/>
      <c r="F554" s="4"/>
      <c r="G554" s="4"/>
      <c r="H554" s="4"/>
    </row>
    <row r="555" spans="3:8" ht="12.75">
      <c r="C555" s="4"/>
      <c r="D555" s="4"/>
      <c r="E555" s="4"/>
      <c r="F555" s="4"/>
      <c r="G555" s="4"/>
      <c r="H555" s="4"/>
    </row>
    <row r="556" spans="3:8" ht="12.75">
      <c r="C556" s="4"/>
      <c r="D556" s="4"/>
      <c r="E556" s="4"/>
      <c r="F556" s="4"/>
      <c r="G556" s="4"/>
      <c r="H556" s="4"/>
    </row>
    <row r="557" spans="3:8" ht="12.75">
      <c r="C557" s="4"/>
      <c r="D557" s="4"/>
      <c r="E557" s="4"/>
      <c r="F557" s="4"/>
      <c r="G557" s="4"/>
      <c r="H557" s="4"/>
    </row>
    <row r="558" spans="3:8" ht="12.75">
      <c r="C558" s="4"/>
      <c r="D558" s="4"/>
      <c r="E558" s="4"/>
      <c r="F558" s="4"/>
      <c r="G558" s="4"/>
      <c r="H558" s="4"/>
    </row>
    <row r="559" spans="3:8" ht="12.75">
      <c r="C559" s="4"/>
      <c r="D559" s="4"/>
      <c r="E559" s="4"/>
      <c r="F559" s="4"/>
      <c r="G559" s="4"/>
      <c r="H559" s="4"/>
    </row>
    <row r="560" spans="3:8" ht="12.75">
      <c r="C560" s="4"/>
      <c r="D560" s="4"/>
      <c r="E560" s="4"/>
      <c r="F560" s="4"/>
      <c r="G560" s="4"/>
      <c r="H560" s="4"/>
    </row>
    <row r="561" spans="3:8" ht="12.75">
      <c r="C561" s="4"/>
      <c r="D561" s="4"/>
      <c r="E561" s="4"/>
      <c r="F561" s="4"/>
      <c r="G561" s="4"/>
      <c r="H561" s="4"/>
    </row>
    <row r="562" spans="3:8" ht="12.75">
      <c r="C562" s="4"/>
      <c r="D562" s="4"/>
      <c r="E562" s="4"/>
      <c r="F562" s="4"/>
      <c r="G562" s="4"/>
      <c r="H562" s="4"/>
    </row>
    <row r="563" spans="3:8" ht="12.75">
      <c r="C563" s="4"/>
      <c r="D563" s="4"/>
      <c r="E563" s="4"/>
      <c r="F563" s="4"/>
      <c r="G563" s="4"/>
      <c r="H563" s="4"/>
    </row>
    <row r="564" spans="3:8" ht="12.75">
      <c r="C564" s="4"/>
      <c r="D564" s="4"/>
      <c r="E564" s="4"/>
      <c r="F564" s="4"/>
      <c r="G564" s="4"/>
      <c r="H564" s="4"/>
    </row>
    <row r="565" spans="3:8" ht="12.75">
      <c r="C565" s="4"/>
      <c r="D565" s="4"/>
      <c r="E565" s="4"/>
      <c r="F565" s="4"/>
      <c r="G565" s="4"/>
      <c r="H565" s="4"/>
    </row>
    <row r="566" spans="3:8" ht="12.75">
      <c r="C566" s="4"/>
      <c r="D566" s="4"/>
      <c r="E566" s="4"/>
      <c r="F566" s="4"/>
      <c r="G566" s="4"/>
      <c r="H566" s="4"/>
    </row>
    <row r="567" spans="3:8" ht="12.75">
      <c r="C567" s="4"/>
      <c r="D567" s="4"/>
      <c r="E567" s="4"/>
      <c r="F567" s="4"/>
      <c r="G567" s="4"/>
      <c r="H567" s="4"/>
    </row>
    <row r="568" spans="3:8" ht="12.75">
      <c r="C568" s="4"/>
      <c r="D568" s="4"/>
      <c r="E568" s="4"/>
      <c r="F568" s="4"/>
      <c r="G568" s="4"/>
      <c r="H568" s="4"/>
    </row>
    <row r="569" spans="3:8" ht="12.75">
      <c r="C569" s="4"/>
      <c r="D569" s="4"/>
      <c r="E569" s="4"/>
      <c r="F569" s="4"/>
      <c r="G569" s="4"/>
      <c r="H569" s="4"/>
    </row>
    <row r="570" spans="3:8" ht="12.75">
      <c r="C570" s="4"/>
      <c r="D570" s="4"/>
      <c r="E570" s="4"/>
      <c r="F570" s="4"/>
      <c r="G570" s="4"/>
      <c r="H570" s="4"/>
    </row>
    <row r="571" spans="3:8" ht="12.75">
      <c r="C571" s="4"/>
      <c r="D571" s="4"/>
      <c r="E571" s="4"/>
      <c r="F571" s="4"/>
      <c r="G571" s="4"/>
      <c r="H571" s="4"/>
    </row>
    <row r="572" spans="3:8" ht="12.75">
      <c r="C572" s="4"/>
      <c r="D572" s="4"/>
      <c r="E572" s="4"/>
      <c r="F572" s="4"/>
      <c r="G572" s="4"/>
      <c r="H572" s="4"/>
    </row>
    <row r="573" spans="3:8" ht="12.75">
      <c r="C573" s="4"/>
      <c r="D573" s="4"/>
      <c r="E573" s="4"/>
      <c r="F573" s="4"/>
      <c r="G573" s="4"/>
      <c r="H573" s="4"/>
    </row>
    <row r="574" spans="3:8" ht="12.75">
      <c r="C574" s="4"/>
      <c r="D574" s="4"/>
      <c r="E574" s="4"/>
      <c r="F574" s="4"/>
      <c r="G574" s="4"/>
      <c r="H574" s="4"/>
    </row>
    <row r="575" spans="3:8" ht="12.75">
      <c r="C575" s="4"/>
      <c r="D575" s="4"/>
      <c r="E575" s="4"/>
      <c r="F575" s="4"/>
      <c r="G575" s="4"/>
      <c r="H575" s="4"/>
    </row>
    <row r="576" spans="3:8" ht="12.75">
      <c r="C576" s="4"/>
      <c r="D576" s="4"/>
      <c r="E576" s="4"/>
      <c r="F576" s="4"/>
      <c r="G576" s="4"/>
      <c r="H576" s="4"/>
    </row>
    <row r="577" spans="3:8" ht="12.75">
      <c r="C577" s="4"/>
      <c r="D577" s="4"/>
      <c r="E577" s="4"/>
      <c r="F577" s="4"/>
      <c r="G577" s="4"/>
      <c r="H577" s="4"/>
    </row>
    <row r="578" spans="3:8" ht="12.75">
      <c r="C578" s="4"/>
      <c r="D578" s="4"/>
      <c r="E578" s="4"/>
      <c r="F578" s="4"/>
      <c r="G578" s="4"/>
      <c r="H578" s="4"/>
    </row>
    <row r="579" spans="3:8" ht="12.75">
      <c r="C579" s="4"/>
      <c r="D579" s="4"/>
      <c r="E579" s="4"/>
      <c r="F579" s="4"/>
      <c r="G579" s="4"/>
      <c r="H579" s="4"/>
    </row>
    <row r="580" spans="3:8" ht="12.75">
      <c r="C580" s="4"/>
      <c r="D580" s="4"/>
      <c r="E580" s="4"/>
      <c r="F580" s="4"/>
      <c r="G580" s="4"/>
      <c r="H580" s="4"/>
    </row>
    <row r="581" spans="3:8" ht="12.75">
      <c r="C581" s="4"/>
      <c r="D581" s="4"/>
      <c r="E581" s="4"/>
      <c r="F581" s="4"/>
      <c r="G581" s="4"/>
      <c r="H581" s="4"/>
    </row>
    <row r="582" spans="3:8" ht="12.75">
      <c r="C582" s="4"/>
      <c r="D582" s="4"/>
      <c r="E582" s="4"/>
      <c r="F582" s="4"/>
      <c r="G582" s="4"/>
      <c r="H582" s="4"/>
    </row>
    <row r="583" spans="3:8" ht="12.75">
      <c r="C583" s="4"/>
      <c r="D583" s="4"/>
      <c r="E583" s="4"/>
      <c r="F583" s="4"/>
      <c r="G583" s="4"/>
      <c r="H583" s="4"/>
    </row>
    <row r="584" spans="3:8" ht="12.75">
      <c r="C584" s="4"/>
      <c r="D584" s="4"/>
      <c r="E584" s="4"/>
      <c r="F584" s="4"/>
      <c r="G584" s="4"/>
      <c r="H584" s="4"/>
    </row>
    <row r="585" spans="3:8" ht="12.75">
      <c r="C585" s="4"/>
      <c r="D585" s="4"/>
      <c r="E585" s="4"/>
      <c r="F585" s="4"/>
      <c r="G585" s="4"/>
      <c r="H585" s="4"/>
    </row>
    <row r="586" spans="3:8" ht="12.75">
      <c r="C586" s="4"/>
      <c r="D586" s="4"/>
      <c r="E586" s="4"/>
      <c r="F586" s="4"/>
      <c r="G586" s="4"/>
      <c r="H586" s="4"/>
    </row>
    <row r="587" spans="3:8" ht="12.75">
      <c r="C587" s="4"/>
      <c r="D587" s="4"/>
      <c r="E587" s="4"/>
      <c r="F587" s="4"/>
      <c r="G587" s="4"/>
      <c r="H587" s="4"/>
    </row>
    <row r="588" spans="3:8" ht="12.75">
      <c r="C588" s="4"/>
      <c r="D588" s="4"/>
      <c r="E588" s="4"/>
      <c r="F588" s="4"/>
      <c r="G588" s="4"/>
      <c r="H588" s="4"/>
    </row>
    <row r="589" spans="3:8" ht="12.75">
      <c r="C589" s="4"/>
      <c r="D589" s="4"/>
      <c r="E589" s="4"/>
      <c r="F589" s="4"/>
      <c r="G589" s="4"/>
      <c r="H589" s="4"/>
    </row>
    <row r="590" spans="3:8" ht="12.75">
      <c r="C590" s="4"/>
      <c r="D590" s="4"/>
      <c r="E590" s="4"/>
      <c r="F590" s="4"/>
      <c r="G590" s="4"/>
      <c r="H590" s="4"/>
    </row>
    <row r="591" spans="3:8" ht="12.75">
      <c r="C591" s="4"/>
      <c r="D591" s="4"/>
      <c r="E591" s="4"/>
      <c r="F591" s="4"/>
      <c r="G591" s="4"/>
      <c r="H591" s="4"/>
    </row>
    <row r="592" spans="3:8" ht="12.75">
      <c r="C592" s="4"/>
      <c r="D592" s="4"/>
      <c r="E592" s="4"/>
      <c r="F592" s="4"/>
      <c r="G592" s="4"/>
      <c r="H592" s="4"/>
    </row>
    <row r="593" spans="3:8" ht="12.75">
      <c r="C593" s="4"/>
      <c r="D593" s="4"/>
      <c r="E593" s="4"/>
      <c r="F593" s="4"/>
      <c r="G593" s="4"/>
      <c r="H593" s="4"/>
    </row>
    <row r="594" spans="3:8" ht="12.75">
      <c r="C594" s="4"/>
      <c r="D594" s="4"/>
      <c r="E594" s="4"/>
      <c r="F594" s="4"/>
      <c r="G594" s="4"/>
      <c r="H594" s="4"/>
    </row>
    <row r="595" spans="3:8" ht="12.75">
      <c r="C595" s="4"/>
      <c r="D595" s="4"/>
      <c r="E595" s="4"/>
      <c r="F595" s="4"/>
      <c r="G595" s="4"/>
      <c r="H595" s="4"/>
    </row>
    <row r="596" spans="3:8" ht="12.75">
      <c r="C596" s="4"/>
      <c r="D596" s="4"/>
      <c r="E596" s="4"/>
      <c r="F596" s="4"/>
      <c r="G596" s="4"/>
      <c r="H596" s="4"/>
    </row>
    <row r="597" spans="3:8" ht="12.75">
      <c r="C597" s="4"/>
      <c r="D597" s="4"/>
      <c r="E597" s="4"/>
      <c r="F597" s="4"/>
      <c r="G597" s="4"/>
      <c r="H597" s="4"/>
    </row>
    <row r="598" spans="3:8" ht="12.75">
      <c r="C598" s="4"/>
      <c r="D598" s="4"/>
      <c r="E598" s="4"/>
      <c r="F598" s="4"/>
      <c r="G598" s="4"/>
      <c r="H598" s="4"/>
    </row>
    <row r="599" spans="3:8" ht="12.75">
      <c r="C599" s="4"/>
      <c r="D599" s="4"/>
      <c r="E599" s="4"/>
      <c r="F599" s="4"/>
      <c r="G599" s="4"/>
      <c r="H599" s="4"/>
    </row>
    <row r="600" spans="3:8" ht="12.75">
      <c r="C600" s="4"/>
      <c r="D600" s="4"/>
      <c r="E600" s="4"/>
      <c r="F600" s="4"/>
      <c r="G600" s="4"/>
      <c r="H600" s="4"/>
    </row>
    <row r="601" spans="3:8" ht="12.75">
      <c r="C601" s="4"/>
      <c r="D601" s="4"/>
      <c r="E601" s="4"/>
      <c r="F601" s="4"/>
      <c r="G601" s="4"/>
      <c r="H601" s="4"/>
    </row>
    <row r="602" spans="3:8" ht="12.75">
      <c r="C602" s="4"/>
      <c r="D602" s="4"/>
      <c r="E602" s="4"/>
      <c r="F602" s="4"/>
      <c r="G602" s="4"/>
      <c r="H602" s="4"/>
    </row>
    <row r="603" spans="3:8" ht="12.75">
      <c r="C603" s="4"/>
      <c r="D603" s="4"/>
      <c r="E603" s="4"/>
      <c r="F603" s="4"/>
      <c r="G603" s="4"/>
      <c r="H603" s="4"/>
    </row>
    <row r="604" spans="3:8" ht="12.75">
      <c r="C604" s="4"/>
      <c r="D604" s="4"/>
      <c r="E604" s="4"/>
      <c r="F604" s="4"/>
      <c r="G604" s="4"/>
      <c r="H604" s="4"/>
    </row>
    <row r="605" spans="3:8" ht="12.75">
      <c r="C605" s="4"/>
      <c r="D605" s="4"/>
      <c r="E605" s="4"/>
      <c r="F605" s="4"/>
      <c r="G605" s="4"/>
      <c r="H605" s="4"/>
    </row>
    <row r="606" spans="3:8" ht="12.75">
      <c r="C606" s="4"/>
      <c r="D606" s="4"/>
      <c r="E606" s="4"/>
      <c r="F606" s="4"/>
      <c r="G606" s="4"/>
      <c r="H606" s="4"/>
    </row>
    <row r="607" spans="3:8" ht="12.75">
      <c r="C607" s="4"/>
      <c r="D607" s="4"/>
      <c r="E607" s="4"/>
      <c r="F607" s="4"/>
      <c r="G607" s="4"/>
      <c r="H607" s="4"/>
    </row>
    <row r="608" spans="3:8" ht="12.75">
      <c r="C608" s="4"/>
      <c r="D608" s="4"/>
      <c r="E608" s="4"/>
      <c r="F608" s="4"/>
      <c r="G608" s="4"/>
      <c r="H608" s="4"/>
    </row>
    <row r="609" spans="3:8" ht="12.75">
      <c r="C609" s="4"/>
      <c r="D609" s="4"/>
      <c r="E609" s="4"/>
      <c r="F609" s="4"/>
      <c r="G609" s="4"/>
      <c r="H609" s="4"/>
    </row>
    <row r="610" spans="3:8" ht="12.75">
      <c r="C610" s="4"/>
      <c r="D610" s="4"/>
      <c r="E610" s="4"/>
      <c r="F610" s="4"/>
      <c r="G610" s="4"/>
      <c r="H610" s="4"/>
    </row>
    <row r="611" spans="3:8" ht="12.75">
      <c r="C611" s="4"/>
      <c r="D611" s="4"/>
      <c r="E611" s="4"/>
      <c r="F611" s="4"/>
      <c r="G611" s="4"/>
      <c r="H611" s="4"/>
    </row>
    <row r="612" spans="3:8" ht="12.75">
      <c r="C612" s="4"/>
      <c r="D612" s="4"/>
      <c r="E612" s="4"/>
      <c r="F612" s="4"/>
      <c r="G612" s="4"/>
      <c r="H612" s="4"/>
    </row>
    <row r="613" spans="3:8" ht="12.75">
      <c r="C613" s="4"/>
      <c r="D613" s="4"/>
      <c r="E613" s="4"/>
      <c r="F613" s="4"/>
      <c r="G613" s="4"/>
      <c r="H613" s="4"/>
    </row>
    <row r="614" spans="3:8" ht="12.75">
      <c r="C614" s="4"/>
      <c r="D614" s="4"/>
      <c r="E614" s="4"/>
      <c r="F614" s="4"/>
      <c r="G614" s="4"/>
      <c r="H614" s="4"/>
    </row>
    <row r="615" spans="3:8" ht="12.75">
      <c r="C615" s="4"/>
      <c r="D615" s="4"/>
      <c r="E615" s="4"/>
      <c r="F615" s="4"/>
      <c r="G615" s="4"/>
      <c r="H615" s="4"/>
    </row>
    <row r="616" spans="3:8" ht="12.75">
      <c r="C616" s="4"/>
      <c r="D616" s="4"/>
      <c r="E616" s="4"/>
      <c r="F616" s="4"/>
      <c r="G616" s="4"/>
      <c r="H616" s="4"/>
    </row>
    <row r="617" spans="3:8" ht="12.75">
      <c r="C617" s="4"/>
      <c r="D617" s="4"/>
      <c r="E617" s="4"/>
      <c r="F617" s="4"/>
      <c r="G617" s="4"/>
      <c r="H617" s="4"/>
    </row>
    <row r="618" spans="3:8" ht="12.75">
      <c r="C618" s="4"/>
      <c r="D618" s="4"/>
      <c r="E618" s="4"/>
      <c r="F618" s="4"/>
      <c r="G618" s="4"/>
      <c r="H618" s="4"/>
    </row>
    <row r="619" spans="3:8" ht="12.75">
      <c r="C619" s="4"/>
      <c r="D619" s="4"/>
      <c r="E619" s="4"/>
      <c r="F619" s="4"/>
      <c r="G619" s="4"/>
      <c r="H619" s="4"/>
    </row>
    <row r="620" spans="3:8" ht="12.75">
      <c r="C620" s="4"/>
      <c r="D620" s="4"/>
      <c r="E620" s="4"/>
      <c r="F620" s="4"/>
      <c r="G620" s="4"/>
      <c r="H620" s="4"/>
    </row>
    <row r="621" spans="3:8" ht="12.75">
      <c r="C621" s="4"/>
      <c r="D621" s="4"/>
      <c r="E621" s="4"/>
      <c r="F621" s="4"/>
      <c r="G621" s="4"/>
      <c r="H621" s="4"/>
    </row>
    <row r="622" spans="3:8" ht="12.75">
      <c r="C622" s="4"/>
      <c r="D622" s="4"/>
      <c r="E622" s="4"/>
      <c r="F622" s="4"/>
      <c r="G622" s="4"/>
      <c r="H622" s="4"/>
    </row>
    <row r="623" spans="3:8" ht="12.75">
      <c r="C623" s="4"/>
      <c r="D623" s="4"/>
      <c r="E623" s="4"/>
      <c r="F623" s="4"/>
      <c r="G623" s="4"/>
      <c r="H623" s="4"/>
    </row>
    <row r="624" spans="3:8" ht="12.75">
      <c r="C624" s="4"/>
      <c r="D624" s="4"/>
      <c r="E624" s="4"/>
      <c r="F624" s="4"/>
      <c r="G624" s="4"/>
      <c r="H624" s="4"/>
    </row>
    <row r="625" spans="3:8" ht="12.75">
      <c r="C625" s="4"/>
      <c r="D625" s="4"/>
      <c r="E625" s="4"/>
      <c r="F625" s="4"/>
      <c r="G625" s="4"/>
      <c r="H625" s="4"/>
    </row>
    <row r="626" spans="3:8" ht="12.75">
      <c r="C626" s="4"/>
      <c r="D626" s="4"/>
      <c r="E626" s="4"/>
      <c r="F626" s="4"/>
      <c r="G626" s="4"/>
      <c r="H626" s="4"/>
    </row>
    <row r="627" spans="3:8" ht="12.75">
      <c r="C627" s="4"/>
      <c r="D627" s="4"/>
      <c r="E627" s="4"/>
      <c r="F627" s="4"/>
      <c r="G627" s="4"/>
      <c r="H627" s="4"/>
    </row>
    <row r="628" spans="3:8" ht="12.75">
      <c r="C628" s="4"/>
      <c r="D628" s="4"/>
      <c r="E628" s="4"/>
      <c r="F628" s="4"/>
      <c r="G628" s="4"/>
      <c r="H628" s="4"/>
    </row>
    <row r="629" spans="3:8" ht="12.75">
      <c r="C629" s="4"/>
      <c r="D629" s="4"/>
      <c r="E629" s="4"/>
      <c r="F629" s="4"/>
      <c r="G629" s="4"/>
      <c r="H629" s="4"/>
    </row>
    <row r="630" spans="3:8" ht="12.75">
      <c r="C630" s="4"/>
      <c r="D630" s="4"/>
      <c r="E630" s="4"/>
      <c r="F630" s="4"/>
      <c r="G630" s="4"/>
      <c r="H630" s="4"/>
    </row>
    <row r="631" spans="3:8" ht="12.75">
      <c r="C631" s="4"/>
      <c r="D631" s="4"/>
      <c r="E631" s="4"/>
      <c r="F631" s="4"/>
      <c r="G631" s="4"/>
      <c r="H631" s="4"/>
    </row>
    <row r="632" spans="3:8" ht="12.75">
      <c r="C632" s="4"/>
      <c r="D632" s="4"/>
      <c r="E632" s="4"/>
      <c r="F632" s="4"/>
      <c r="G632" s="4"/>
      <c r="H632" s="4"/>
    </row>
    <row r="633" spans="3:8" ht="12.75">
      <c r="C633" s="4"/>
      <c r="D633" s="4"/>
      <c r="E633" s="4"/>
      <c r="F633" s="4"/>
      <c r="G633" s="4"/>
      <c r="H633" s="4"/>
    </row>
    <row r="634" spans="3:8" ht="12.75">
      <c r="C634" s="4"/>
      <c r="D634" s="4"/>
      <c r="E634" s="4"/>
      <c r="F634" s="4"/>
      <c r="G634" s="4"/>
      <c r="H634" s="4"/>
    </row>
    <row r="635" spans="3:8" ht="12.75">
      <c r="C635" s="4"/>
      <c r="D635" s="4"/>
      <c r="E635" s="4"/>
      <c r="F635" s="4"/>
      <c r="G635" s="4"/>
      <c r="H635" s="4"/>
    </row>
    <row r="636" spans="3:8" ht="12.75">
      <c r="C636" s="4"/>
      <c r="D636" s="4"/>
      <c r="E636" s="4"/>
      <c r="F636" s="4"/>
      <c r="G636" s="4"/>
      <c r="H636" s="4"/>
    </row>
    <row r="637" spans="3:8" ht="12.75">
      <c r="C637" s="4"/>
      <c r="D637" s="4"/>
      <c r="E637" s="4"/>
      <c r="F637" s="4"/>
      <c r="G637" s="4"/>
      <c r="H637" s="4"/>
    </row>
    <row r="638" spans="3:8" ht="12.75">
      <c r="C638" s="4"/>
      <c r="D638" s="4"/>
      <c r="E638" s="4"/>
      <c r="F638" s="4"/>
      <c r="G638" s="4"/>
      <c r="H638" s="4"/>
    </row>
    <row r="639" spans="3:8" ht="12.75">
      <c r="C639" s="4"/>
      <c r="D639" s="4"/>
      <c r="E639" s="4"/>
      <c r="F639" s="4"/>
      <c r="G639" s="4"/>
      <c r="H639" s="4"/>
    </row>
    <row r="640" spans="3:8" ht="12.75">
      <c r="C640" s="4"/>
      <c r="D640" s="4"/>
      <c r="E640" s="4"/>
      <c r="F640" s="4"/>
      <c r="G640" s="4"/>
      <c r="H640" s="4"/>
    </row>
    <row r="641" spans="3:8" ht="12.75">
      <c r="C641" s="4"/>
      <c r="D641" s="4"/>
      <c r="E641" s="4"/>
      <c r="F641" s="4"/>
      <c r="G641" s="4"/>
      <c r="H641" s="4"/>
    </row>
    <row r="642" spans="3:8" ht="12.75">
      <c r="C642" s="4"/>
      <c r="D642" s="4"/>
      <c r="E642" s="4"/>
      <c r="F642" s="4"/>
      <c r="G642" s="4"/>
      <c r="H642" s="4"/>
    </row>
    <row r="643" spans="3:8" ht="12.75">
      <c r="C643" s="4"/>
      <c r="D643" s="4"/>
      <c r="E643" s="4"/>
      <c r="F643" s="4"/>
      <c r="G643" s="4"/>
      <c r="H643" s="4"/>
    </row>
    <row r="644" spans="3:8" ht="12.75">
      <c r="C644" s="4"/>
      <c r="D644" s="4"/>
      <c r="E644" s="4"/>
      <c r="F644" s="4"/>
      <c r="G644" s="4"/>
      <c r="H644" s="4"/>
    </row>
    <row r="645" spans="3:8" ht="12.75">
      <c r="C645" s="4"/>
      <c r="D645" s="4"/>
      <c r="E645" s="4"/>
      <c r="F645" s="4"/>
      <c r="G645" s="4"/>
      <c r="H645" s="4"/>
    </row>
    <row r="646" spans="3:8" ht="12.75">
      <c r="C646" s="4"/>
      <c r="D646" s="4"/>
      <c r="E646" s="4"/>
      <c r="F646" s="4"/>
      <c r="G646" s="4"/>
      <c r="H646" s="4"/>
    </row>
    <row r="647" spans="3:8" ht="12.75">
      <c r="C647" s="4"/>
      <c r="D647" s="4"/>
      <c r="E647" s="4"/>
      <c r="F647" s="4"/>
      <c r="G647" s="4"/>
      <c r="H647" s="4"/>
    </row>
    <row r="648" spans="3:8" ht="12.75">
      <c r="C648" s="4"/>
      <c r="D648" s="4"/>
      <c r="E648" s="4"/>
      <c r="F648" s="4"/>
      <c r="G648" s="4"/>
      <c r="H648" s="4"/>
    </row>
    <row r="649" spans="3:8" ht="12.75">
      <c r="C649" s="4"/>
      <c r="D649" s="4"/>
      <c r="E649" s="4"/>
      <c r="F649" s="4"/>
      <c r="G649" s="4"/>
      <c r="H649" s="4"/>
    </row>
    <row r="650" spans="3:8" ht="12.75">
      <c r="C650" s="4"/>
      <c r="D650" s="4"/>
      <c r="E650" s="4"/>
      <c r="F650" s="4"/>
      <c r="G650" s="4"/>
      <c r="H650" s="4"/>
    </row>
    <row r="651" spans="3:8" ht="12.75">
      <c r="C651" s="4"/>
      <c r="D651" s="4"/>
      <c r="E651" s="4"/>
      <c r="F651" s="4"/>
      <c r="G651" s="4"/>
      <c r="H651" s="4"/>
    </row>
    <row r="652" spans="3:8" ht="12.75">
      <c r="C652" s="4"/>
      <c r="D652" s="4"/>
      <c r="E652" s="4"/>
      <c r="F652" s="4"/>
      <c r="G652" s="4"/>
      <c r="H652" s="4"/>
    </row>
    <row r="653" spans="3:8" ht="12.75">
      <c r="C653" s="4"/>
      <c r="D653" s="4"/>
      <c r="E653" s="4"/>
      <c r="F653" s="4"/>
      <c r="G653" s="4"/>
      <c r="H653" s="4"/>
    </row>
    <row r="654" spans="3:8" ht="12.75">
      <c r="C654" s="4"/>
      <c r="D654" s="4"/>
      <c r="E654" s="4"/>
      <c r="F654" s="4"/>
      <c r="G654" s="4"/>
      <c r="H654" s="4"/>
    </row>
    <row r="655" spans="3:8" ht="12.75">
      <c r="C655" s="4"/>
      <c r="D655" s="4"/>
      <c r="E655" s="4"/>
      <c r="F655" s="4"/>
      <c r="G655" s="4"/>
      <c r="H655" s="4"/>
    </row>
    <row r="656" spans="3:8" ht="12.75">
      <c r="C656" s="4"/>
      <c r="D656" s="4"/>
      <c r="E656" s="4"/>
      <c r="F656" s="4"/>
      <c r="G656" s="4"/>
      <c r="H656" s="4"/>
    </row>
    <row r="657" spans="3:8" ht="12.75">
      <c r="C657" s="4"/>
      <c r="D657" s="4"/>
      <c r="E657" s="4"/>
      <c r="F657" s="4"/>
      <c r="G657" s="4"/>
      <c r="H657" s="4"/>
    </row>
    <row r="658" spans="3:8" ht="12.75">
      <c r="C658" s="4"/>
      <c r="D658" s="4"/>
      <c r="E658" s="4"/>
      <c r="F658" s="4"/>
      <c r="G658" s="4"/>
      <c r="H658" s="4"/>
    </row>
    <row r="659" spans="3:8" ht="12.75">
      <c r="C659" s="4"/>
      <c r="D659" s="4"/>
      <c r="E659" s="4"/>
      <c r="F659" s="4"/>
      <c r="G659" s="4"/>
      <c r="H659" s="4"/>
    </row>
    <row r="660" spans="3:8" ht="12.75">
      <c r="C660" s="4"/>
      <c r="D660" s="4"/>
      <c r="E660" s="4"/>
      <c r="F660" s="4"/>
      <c r="G660" s="4"/>
      <c r="H660" s="4"/>
    </row>
    <row r="661" spans="3:8" ht="12.75">
      <c r="C661" s="4"/>
      <c r="D661" s="4"/>
      <c r="E661" s="4"/>
      <c r="F661" s="4"/>
      <c r="G661" s="4"/>
      <c r="H661" s="4"/>
    </row>
    <row r="662" spans="3:8" ht="12.75">
      <c r="C662" s="4"/>
      <c r="D662" s="4"/>
      <c r="E662" s="4"/>
      <c r="F662" s="4"/>
      <c r="G662" s="4"/>
      <c r="H662" s="4"/>
    </row>
    <row r="663" spans="3:8" ht="12.75">
      <c r="C663" s="4"/>
      <c r="D663" s="4"/>
      <c r="E663" s="4"/>
      <c r="F663" s="4"/>
      <c r="G663" s="4"/>
      <c r="H663" s="4"/>
    </row>
    <row r="664" spans="3:8" ht="12.75">
      <c r="C664" s="4"/>
      <c r="D664" s="4"/>
      <c r="E664" s="4"/>
      <c r="F664" s="4"/>
      <c r="G664" s="4"/>
      <c r="H664" s="4"/>
    </row>
    <row r="665" spans="3:8" ht="12.75">
      <c r="C665" s="4"/>
      <c r="D665" s="4"/>
      <c r="E665" s="4"/>
      <c r="F665" s="4"/>
      <c r="G665" s="4"/>
      <c r="H665" s="4"/>
    </row>
    <row r="666" spans="3:8" ht="12.75">
      <c r="C666" s="4"/>
      <c r="D666" s="4"/>
      <c r="E666" s="4"/>
      <c r="F666" s="4"/>
      <c r="G666" s="4"/>
      <c r="H666" s="4"/>
    </row>
    <row r="667" spans="3:8" ht="12.75">
      <c r="C667" s="4"/>
      <c r="D667" s="4"/>
      <c r="E667" s="4"/>
      <c r="F667" s="4"/>
      <c r="G667" s="4"/>
      <c r="H667" s="4"/>
    </row>
    <row r="668" spans="3:8" ht="12.75">
      <c r="C668" s="4"/>
      <c r="D668" s="4"/>
      <c r="E668" s="4"/>
      <c r="F668" s="4"/>
      <c r="G668" s="4"/>
      <c r="H668" s="4"/>
    </row>
    <row r="669" spans="3:8" ht="12.75">
      <c r="C669" s="4"/>
      <c r="D669" s="4"/>
      <c r="E669" s="4"/>
      <c r="F669" s="4"/>
      <c r="G669" s="4"/>
      <c r="H669" s="4"/>
    </row>
    <row r="670" spans="3:8" ht="12.75">
      <c r="C670" s="4"/>
      <c r="D670" s="4"/>
      <c r="E670" s="4"/>
      <c r="F670" s="4"/>
      <c r="G670" s="4"/>
      <c r="H670" s="4"/>
    </row>
    <row r="671" spans="3:8" ht="12.75">
      <c r="C671" s="4"/>
      <c r="D671" s="4"/>
      <c r="E671" s="4"/>
      <c r="F671" s="4"/>
      <c r="G671" s="4"/>
      <c r="H671" s="4"/>
    </row>
    <row r="672" spans="3:8" ht="12.75">
      <c r="C672" s="4"/>
      <c r="D672" s="4"/>
      <c r="E672" s="4"/>
      <c r="F672" s="4"/>
      <c r="G672" s="4"/>
      <c r="H672" s="4"/>
    </row>
    <row r="673" spans="3:8" ht="12.75">
      <c r="C673" s="4"/>
      <c r="D673" s="4"/>
      <c r="E673" s="4"/>
      <c r="F673" s="4"/>
      <c r="G673" s="4"/>
      <c r="H673" s="4"/>
    </row>
    <row r="674" spans="3:8" ht="12.75">
      <c r="C674" s="4"/>
      <c r="D674" s="4"/>
      <c r="E674" s="4"/>
      <c r="F674" s="4"/>
      <c r="G674" s="4"/>
      <c r="H674" s="4"/>
    </row>
    <row r="675" spans="3:8" ht="12.75">
      <c r="C675" s="4"/>
      <c r="D675" s="4"/>
      <c r="E675" s="4"/>
      <c r="F675" s="4"/>
      <c r="G675" s="4"/>
      <c r="H675" s="4"/>
    </row>
    <row r="676" spans="3:8" ht="12.75">
      <c r="C676" s="4"/>
      <c r="D676" s="4"/>
      <c r="E676" s="4"/>
      <c r="F676" s="4"/>
      <c r="G676" s="4"/>
      <c r="H676" s="4"/>
    </row>
    <row r="677" spans="3:8" ht="12.75">
      <c r="C677" s="4"/>
      <c r="D677" s="4"/>
      <c r="E677" s="4"/>
      <c r="F677" s="4"/>
      <c r="G677" s="4"/>
      <c r="H677" s="4"/>
    </row>
    <row r="678" spans="3:8" ht="12.75">
      <c r="C678" s="4"/>
      <c r="D678" s="4"/>
      <c r="E678" s="4"/>
      <c r="F678" s="4"/>
      <c r="G678" s="4"/>
      <c r="H678" s="4"/>
    </row>
    <row r="679" spans="3:8" ht="12.75">
      <c r="C679" s="4"/>
      <c r="D679" s="4"/>
      <c r="E679" s="4"/>
      <c r="F679" s="4"/>
      <c r="G679" s="4"/>
      <c r="H679" s="4"/>
    </row>
    <row r="680" spans="3:8" ht="12.75">
      <c r="C680" s="4"/>
      <c r="D680" s="4"/>
      <c r="E680" s="4"/>
      <c r="F680" s="4"/>
      <c r="G680" s="4"/>
      <c r="H680" s="4"/>
    </row>
    <row r="681" spans="3:8" ht="12.75">
      <c r="C681" s="4"/>
      <c r="D681" s="4"/>
      <c r="E681" s="4"/>
      <c r="F681" s="4"/>
      <c r="G681" s="4"/>
      <c r="H681" s="4"/>
    </row>
    <row r="682" spans="3:8" ht="12.75">
      <c r="C682" s="4"/>
      <c r="D682" s="4"/>
      <c r="E682" s="4"/>
      <c r="F682" s="4"/>
      <c r="G682" s="4"/>
      <c r="H682" s="4"/>
    </row>
    <row r="683" spans="3:8" ht="12.75">
      <c r="C683" s="4"/>
      <c r="D683" s="4"/>
      <c r="E683" s="4"/>
      <c r="F683" s="4"/>
      <c r="G683" s="4"/>
      <c r="H683" s="4"/>
    </row>
    <row r="684" spans="3:8" ht="12.75">
      <c r="C684" s="4"/>
      <c r="D684" s="4"/>
      <c r="E684" s="4"/>
      <c r="F684" s="4"/>
      <c r="G684" s="4"/>
      <c r="H684" s="4"/>
    </row>
    <row r="685" spans="3:8" ht="12.75">
      <c r="C685" s="4"/>
      <c r="D685" s="4"/>
      <c r="E685" s="4"/>
      <c r="F685" s="4"/>
      <c r="G685" s="4"/>
      <c r="H685" s="4"/>
    </row>
    <row r="686" spans="3:8" ht="12.75">
      <c r="C686" s="4"/>
      <c r="D686" s="4"/>
      <c r="E686" s="4"/>
      <c r="F686" s="4"/>
      <c r="G686" s="4"/>
      <c r="H686" s="4"/>
    </row>
    <row r="687" spans="3:8" ht="12.75">
      <c r="C687" s="4"/>
      <c r="D687" s="4"/>
      <c r="E687" s="4"/>
      <c r="F687" s="4"/>
      <c r="G687" s="4"/>
      <c r="H687" s="4"/>
    </row>
    <row r="688" spans="3:8" ht="12.75">
      <c r="C688" s="4"/>
      <c r="D688" s="4"/>
      <c r="E688" s="4"/>
      <c r="F688" s="4"/>
      <c r="G688" s="4"/>
      <c r="H688" s="4"/>
    </row>
    <row r="689" spans="3:8" ht="12.75">
      <c r="C689" s="4"/>
      <c r="D689" s="4"/>
      <c r="E689" s="4"/>
      <c r="F689" s="4"/>
      <c r="G689" s="4"/>
      <c r="H689" s="4"/>
    </row>
    <row r="690" spans="3:8" ht="12.75">
      <c r="C690" s="4"/>
      <c r="D690" s="4"/>
      <c r="E690" s="4"/>
      <c r="F690" s="4"/>
      <c r="G690" s="4"/>
      <c r="H690" s="4"/>
    </row>
    <row r="691" spans="3:8" ht="12.75">
      <c r="C691" s="4"/>
      <c r="D691" s="4"/>
      <c r="E691" s="4"/>
      <c r="F691" s="4"/>
      <c r="G691" s="4"/>
      <c r="H691" s="4"/>
    </row>
    <row r="692" spans="3:8" ht="12.75">
      <c r="C692" s="4"/>
      <c r="D692" s="4"/>
      <c r="E692" s="4"/>
      <c r="F692" s="4"/>
      <c r="G692" s="4"/>
      <c r="H692" s="4"/>
    </row>
    <row r="693" spans="3:8" ht="12.75">
      <c r="C693" s="4"/>
      <c r="D693" s="4"/>
      <c r="E693" s="4"/>
      <c r="F693" s="4"/>
      <c r="G693" s="4"/>
      <c r="H693" s="4"/>
    </row>
    <row r="694" spans="3:8" ht="12.75">
      <c r="C694" s="4"/>
      <c r="D694" s="4"/>
      <c r="E694" s="4"/>
      <c r="F694" s="4"/>
      <c r="G694" s="4"/>
      <c r="H694" s="4"/>
    </row>
    <row r="695" spans="3:8" ht="12.75">
      <c r="C695" s="4"/>
      <c r="D695" s="4"/>
      <c r="E695" s="4"/>
      <c r="F695" s="4"/>
      <c r="G695" s="4"/>
      <c r="H695" s="4"/>
    </row>
    <row r="696" spans="3:8" ht="12.75">
      <c r="C696" s="4"/>
      <c r="D696" s="4"/>
      <c r="E696" s="4"/>
      <c r="F696" s="4"/>
      <c r="G696" s="4"/>
      <c r="H696" s="4"/>
    </row>
    <row r="697" spans="3:8" ht="12.75">
      <c r="C697" s="4"/>
      <c r="D697" s="4"/>
      <c r="E697" s="4"/>
      <c r="F697" s="4"/>
      <c r="G697" s="4"/>
      <c r="H697" s="4"/>
    </row>
    <row r="698" spans="3:8" ht="12.75">
      <c r="C698" s="4"/>
      <c r="D698" s="4"/>
      <c r="E698" s="4"/>
      <c r="F698" s="4"/>
      <c r="G698" s="4"/>
      <c r="H698" s="4"/>
    </row>
    <row r="699" spans="3:8" ht="12.75">
      <c r="C699" s="4"/>
      <c r="D699" s="4"/>
      <c r="E699" s="4"/>
      <c r="F699" s="4"/>
      <c r="G699" s="4"/>
      <c r="H699" s="4"/>
    </row>
    <row r="700" spans="3:8" ht="12.75">
      <c r="C700" s="4"/>
      <c r="D700" s="4"/>
      <c r="E700" s="4"/>
      <c r="F700" s="4"/>
      <c r="G700" s="4"/>
      <c r="H700" s="4"/>
    </row>
    <row r="701" spans="3:8" ht="12.75">
      <c r="C701" s="4"/>
      <c r="D701" s="4"/>
      <c r="E701" s="4"/>
      <c r="F701" s="4"/>
      <c r="G701" s="4"/>
      <c r="H701" s="4"/>
    </row>
    <row r="702" spans="3:8" ht="12.75">
      <c r="C702" s="4"/>
      <c r="D702" s="4"/>
      <c r="E702" s="4"/>
      <c r="F702" s="4"/>
      <c r="G702" s="4"/>
      <c r="H702" s="4"/>
    </row>
    <row r="703" spans="3:8" ht="12.75">
      <c r="C703" s="4"/>
      <c r="D703" s="4"/>
      <c r="E703" s="4"/>
      <c r="F703" s="4"/>
      <c r="G703" s="4"/>
      <c r="H703" s="4"/>
    </row>
    <row r="704" spans="3:8" ht="12.75">
      <c r="C704" s="4"/>
      <c r="D704" s="4"/>
      <c r="E704" s="4"/>
      <c r="F704" s="4"/>
      <c r="G704" s="4"/>
      <c r="H704" s="4"/>
    </row>
    <row r="705" spans="3:8" ht="12.75">
      <c r="C705" s="4"/>
      <c r="D705" s="4"/>
      <c r="E705" s="4"/>
      <c r="F705" s="4"/>
      <c r="G705" s="4"/>
      <c r="H705" s="4"/>
    </row>
    <row r="706" spans="3:8" ht="12.75">
      <c r="C706" s="4"/>
      <c r="D706" s="4"/>
      <c r="E706" s="4"/>
      <c r="F706" s="4"/>
      <c r="G706" s="4"/>
      <c r="H706" s="4"/>
    </row>
    <row r="707" spans="3:8" ht="12.75">
      <c r="C707" s="4"/>
      <c r="D707" s="4"/>
      <c r="E707" s="4"/>
      <c r="F707" s="4"/>
      <c r="G707" s="4"/>
      <c r="H707" s="4"/>
    </row>
    <row r="708" spans="3:8" ht="12.75">
      <c r="C708" s="4"/>
      <c r="D708" s="4"/>
      <c r="E708" s="4"/>
      <c r="F708" s="4"/>
      <c r="G708" s="4"/>
      <c r="H708" s="4"/>
    </row>
    <row r="709" spans="3:8" ht="12.75">
      <c r="C709" s="4"/>
      <c r="D709" s="4"/>
      <c r="E709" s="4"/>
      <c r="F709" s="4"/>
      <c r="G709" s="4"/>
      <c r="H709" s="4"/>
    </row>
    <row r="710" spans="3:8" ht="12.75">
      <c r="C710" s="4"/>
      <c r="D710" s="4"/>
      <c r="E710" s="4"/>
      <c r="F710" s="4"/>
      <c r="G710" s="4"/>
      <c r="H710" s="4"/>
    </row>
    <row r="711" spans="3:8" ht="12.75">
      <c r="C711" s="4"/>
      <c r="D711" s="4"/>
      <c r="E711" s="4"/>
      <c r="F711" s="4"/>
      <c r="G711" s="4"/>
      <c r="H711" s="4"/>
    </row>
    <row r="712" spans="3:8" ht="12.75">
      <c r="C712" s="4"/>
      <c r="D712" s="4"/>
      <c r="E712" s="4"/>
      <c r="F712" s="4"/>
      <c r="G712" s="4"/>
      <c r="H712" s="4"/>
    </row>
    <row r="713" spans="3:8" ht="12.75">
      <c r="C713" s="4"/>
      <c r="D713" s="4"/>
      <c r="E713" s="4"/>
      <c r="F713" s="4"/>
      <c r="G713" s="4"/>
      <c r="H713" s="4"/>
    </row>
    <row r="714" spans="3:8" ht="12.75">
      <c r="C714" s="4"/>
      <c r="D714" s="4"/>
      <c r="E714" s="4"/>
      <c r="F714" s="4"/>
      <c r="G714" s="4"/>
      <c r="H714" s="4"/>
    </row>
    <row r="715" spans="3:8" ht="12.75">
      <c r="C715" s="4"/>
      <c r="D715" s="4"/>
      <c r="E715" s="4"/>
      <c r="F715" s="4"/>
      <c r="G715" s="4"/>
      <c r="H715" s="4"/>
    </row>
    <row r="716" spans="3:8" ht="12.75">
      <c r="C716" s="4"/>
      <c r="D716" s="4"/>
      <c r="E716" s="4"/>
      <c r="F716" s="4"/>
      <c r="G716" s="4"/>
      <c r="H716" s="4"/>
    </row>
    <row r="717" spans="3:8" ht="12.75">
      <c r="C717" s="4"/>
      <c r="D717" s="4"/>
      <c r="E717" s="4"/>
      <c r="F717" s="4"/>
      <c r="G717" s="4"/>
      <c r="H717" s="4"/>
    </row>
    <row r="718" spans="3:8" ht="12.75">
      <c r="C718" s="4"/>
      <c r="D718" s="4"/>
      <c r="E718" s="4"/>
      <c r="F718" s="4"/>
      <c r="G718" s="4"/>
      <c r="H718" s="4"/>
    </row>
    <row r="719" spans="3:8" ht="12.75">
      <c r="C719" s="4"/>
      <c r="D719" s="4"/>
      <c r="E719" s="4"/>
      <c r="F719" s="4"/>
      <c r="G719" s="4"/>
      <c r="H719" s="4"/>
    </row>
    <row r="720" spans="3:8" ht="12.75">
      <c r="C720" s="4"/>
      <c r="D720" s="4"/>
      <c r="E720" s="4"/>
      <c r="F720" s="4"/>
      <c r="G720" s="4"/>
      <c r="H720" s="4"/>
    </row>
    <row r="721" spans="3:8" ht="12.75">
      <c r="C721" s="4"/>
      <c r="D721" s="4"/>
      <c r="E721" s="4"/>
      <c r="F721" s="4"/>
      <c r="G721" s="4"/>
      <c r="H721" s="4"/>
    </row>
    <row r="722" spans="3:8" ht="12.75">
      <c r="C722" s="4"/>
      <c r="D722" s="4"/>
      <c r="E722" s="4"/>
      <c r="F722" s="4"/>
      <c r="G722" s="4"/>
      <c r="H722" s="4"/>
    </row>
    <row r="723" spans="3:8" ht="12.75">
      <c r="C723" s="4"/>
      <c r="D723" s="4"/>
      <c r="E723" s="4"/>
      <c r="F723" s="4"/>
      <c r="G723" s="4"/>
      <c r="H723" s="4"/>
    </row>
    <row r="724" spans="3:8" ht="12.75">
      <c r="C724" s="4"/>
      <c r="D724" s="4"/>
      <c r="E724" s="4"/>
      <c r="F724" s="4"/>
      <c r="G724" s="4"/>
      <c r="H724" s="4"/>
    </row>
    <row r="725" spans="3:8" ht="12.75">
      <c r="C725" s="4"/>
      <c r="D725" s="4"/>
      <c r="E725" s="4"/>
      <c r="F725" s="4"/>
      <c r="G725" s="4"/>
      <c r="H725" s="4"/>
    </row>
    <row r="726" spans="3:8" ht="12.75">
      <c r="C726" s="4"/>
      <c r="D726" s="4"/>
      <c r="E726" s="4"/>
      <c r="F726" s="4"/>
      <c r="G726" s="4"/>
      <c r="H726" s="4"/>
    </row>
    <row r="727" spans="3:8" ht="12.75">
      <c r="C727" s="4"/>
      <c r="D727" s="4"/>
      <c r="E727" s="4"/>
      <c r="F727" s="4"/>
      <c r="G727" s="4"/>
      <c r="H727" s="4"/>
    </row>
    <row r="728" spans="3:8" ht="12.75">
      <c r="C728" s="4"/>
      <c r="D728" s="4"/>
      <c r="E728" s="4"/>
      <c r="F728" s="4"/>
      <c r="G728" s="4"/>
      <c r="H728" s="4"/>
    </row>
    <row r="729" spans="3:8" ht="12.75">
      <c r="C729" s="4"/>
      <c r="D729" s="4"/>
      <c r="E729" s="4"/>
      <c r="F729" s="4"/>
      <c r="G729" s="4"/>
      <c r="H729" s="4"/>
    </row>
    <row r="730" spans="3:8" ht="12.75">
      <c r="C730" s="4"/>
      <c r="D730" s="4"/>
      <c r="E730" s="4"/>
      <c r="F730" s="4"/>
      <c r="G730" s="4"/>
      <c r="H730" s="4"/>
    </row>
    <row r="731" spans="3:8" ht="12.75">
      <c r="C731" s="4"/>
      <c r="D731" s="4"/>
      <c r="E731" s="4"/>
      <c r="F731" s="4"/>
      <c r="G731" s="4"/>
      <c r="H731" s="4"/>
    </row>
    <row r="732" spans="3:8" ht="12.75">
      <c r="C732" s="4"/>
      <c r="D732" s="4"/>
      <c r="E732" s="4"/>
      <c r="F732" s="4"/>
      <c r="G732" s="4"/>
      <c r="H732" s="4"/>
    </row>
    <row r="733" spans="3:8" ht="12.75">
      <c r="C733" s="4"/>
      <c r="D733" s="4"/>
      <c r="E733" s="4"/>
      <c r="F733" s="4"/>
      <c r="G733" s="4"/>
      <c r="H733" s="4"/>
    </row>
    <row r="734" spans="3:8" ht="12.75">
      <c r="C734" s="4"/>
      <c r="D734" s="4"/>
      <c r="E734" s="4"/>
      <c r="F734" s="4"/>
      <c r="G734" s="4"/>
      <c r="H734" s="4"/>
    </row>
    <row r="735" spans="3:8" ht="12.75">
      <c r="C735" s="4"/>
      <c r="D735" s="4"/>
      <c r="E735" s="4"/>
      <c r="F735" s="4"/>
      <c r="G735" s="4"/>
      <c r="H735" s="4"/>
    </row>
    <row r="736" spans="3:8" ht="12.75">
      <c r="C736" s="4"/>
      <c r="D736" s="4"/>
      <c r="E736" s="4"/>
      <c r="F736" s="4"/>
      <c r="G736" s="4"/>
      <c r="H736" s="4"/>
    </row>
    <row r="737" spans="3:8" ht="12.75">
      <c r="C737" s="4"/>
      <c r="D737" s="4"/>
      <c r="E737" s="4"/>
      <c r="F737" s="4"/>
      <c r="G737" s="4"/>
      <c r="H737" s="4"/>
    </row>
    <row r="738" spans="3:8" ht="12.75">
      <c r="C738" s="4"/>
      <c r="D738" s="4"/>
      <c r="E738" s="4"/>
      <c r="F738" s="4"/>
      <c r="G738" s="4"/>
      <c r="H738" s="4"/>
    </row>
    <row r="739" spans="3:8" ht="12.75">
      <c r="C739" s="4"/>
      <c r="D739" s="4"/>
      <c r="E739" s="4"/>
      <c r="F739" s="4"/>
      <c r="G739" s="4"/>
      <c r="H739" s="4"/>
    </row>
    <row r="740" spans="3:8" ht="12.75">
      <c r="C740" s="4"/>
      <c r="D740" s="4"/>
      <c r="E740" s="4"/>
      <c r="F740" s="4"/>
      <c r="G740" s="4"/>
      <c r="H740" s="4"/>
    </row>
    <row r="741" spans="3:8" ht="12.75">
      <c r="C741" s="4"/>
      <c r="D741" s="4"/>
      <c r="E741" s="4"/>
      <c r="F741" s="4"/>
      <c r="G741" s="4"/>
      <c r="H741" s="4"/>
    </row>
    <row r="742" spans="3:8" ht="12.75">
      <c r="C742" s="4"/>
      <c r="D742" s="4"/>
      <c r="E742" s="4"/>
      <c r="F742" s="4"/>
      <c r="G742" s="4"/>
      <c r="H742" s="4"/>
    </row>
    <row r="743" spans="3:8" ht="12.75">
      <c r="C743" s="4"/>
      <c r="D743" s="4"/>
      <c r="E743" s="4"/>
      <c r="F743" s="4"/>
      <c r="G743" s="4"/>
      <c r="H743" s="4"/>
    </row>
    <row r="744" spans="3:8" ht="12.75">
      <c r="C744" s="4"/>
      <c r="D744" s="4"/>
      <c r="E744" s="4"/>
      <c r="F744" s="4"/>
      <c r="G744" s="4"/>
      <c r="H744" s="4"/>
    </row>
    <row r="745" spans="3:8" ht="12.75">
      <c r="C745" s="4"/>
      <c r="D745" s="4"/>
      <c r="E745" s="4"/>
      <c r="F745" s="4"/>
      <c r="G745" s="4"/>
      <c r="H745" s="4"/>
    </row>
    <row r="746" spans="3:8" ht="12.75">
      <c r="C746" s="4"/>
      <c r="D746" s="4"/>
      <c r="E746" s="4"/>
      <c r="F746" s="4"/>
      <c r="G746" s="4"/>
      <c r="H746" s="4"/>
    </row>
    <row r="747" spans="3:8" ht="12.75">
      <c r="C747" s="4"/>
      <c r="D747" s="4"/>
      <c r="E747" s="4"/>
      <c r="F747" s="4"/>
      <c r="G747" s="4"/>
      <c r="H747" s="4"/>
    </row>
    <row r="748" spans="3:8" ht="12.75">
      <c r="C748" s="4"/>
      <c r="D748" s="4"/>
      <c r="E748" s="4"/>
      <c r="F748" s="4"/>
      <c r="G748" s="4"/>
      <c r="H748" s="4"/>
    </row>
    <row r="749" spans="3:8" ht="12.75">
      <c r="C749" s="4"/>
      <c r="D749" s="4"/>
      <c r="E749" s="4"/>
      <c r="F749" s="4"/>
      <c r="G749" s="4"/>
      <c r="H749" s="4"/>
    </row>
    <row r="750" spans="3:8" ht="12.75">
      <c r="C750" s="4"/>
      <c r="D750" s="4"/>
      <c r="E750" s="4"/>
      <c r="F750" s="4"/>
      <c r="G750" s="4"/>
      <c r="H750" s="4"/>
    </row>
    <row r="751" spans="3:8" ht="12.75">
      <c r="C751" s="4"/>
      <c r="D751" s="4"/>
      <c r="E751" s="4"/>
      <c r="F751" s="4"/>
      <c r="G751" s="4"/>
      <c r="H751" s="4"/>
    </row>
    <row r="752" spans="3:8" ht="12.75">
      <c r="C752" s="4"/>
      <c r="D752" s="4"/>
      <c r="E752" s="4"/>
      <c r="F752" s="4"/>
      <c r="G752" s="4"/>
      <c r="H752" s="4"/>
    </row>
    <row r="753" spans="3:8" ht="12.75">
      <c r="C753" s="4"/>
      <c r="D753" s="4"/>
      <c r="E753" s="4"/>
      <c r="F753" s="4"/>
      <c r="G753" s="4"/>
      <c r="H753" s="4"/>
    </row>
    <row r="754" spans="3:8" ht="12.75">
      <c r="C754" s="4"/>
      <c r="D754" s="4"/>
      <c r="E754" s="4"/>
      <c r="F754" s="4"/>
      <c r="G754" s="4"/>
      <c r="H754" s="4"/>
    </row>
    <row r="755" spans="3:8" ht="12.75">
      <c r="C755" s="4"/>
      <c r="D755" s="4"/>
      <c r="E755" s="4"/>
      <c r="F755" s="4"/>
      <c r="G755" s="4"/>
      <c r="H755" s="4"/>
    </row>
    <row r="756" spans="3:8" ht="12.75">
      <c r="C756" s="4"/>
      <c r="D756" s="4"/>
      <c r="E756" s="4"/>
      <c r="F756" s="4"/>
      <c r="G756" s="4"/>
      <c r="H756" s="4"/>
    </row>
    <row r="757" spans="3:8" ht="12.75">
      <c r="C757" s="4"/>
      <c r="D757" s="4"/>
      <c r="E757" s="4"/>
      <c r="F757" s="4"/>
      <c r="G757" s="4"/>
      <c r="H757" s="4"/>
    </row>
    <row r="758" spans="3:8" ht="12.75">
      <c r="C758" s="4"/>
      <c r="D758" s="4"/>
      <c r="E758" s="4"/>
      <c r="F758" s="4"/>
      <c r="G758" s="4"/>
      <c r="H758" s="4"/>
    </row>
    <row r="759" spans="3:8" ht="12.75">
      <c r="C759" s="4"/>
      <c r="D759" s="4"/>
      <c r="E759" s="4"/>
      <c r="F759" s="4"/>
      <c r="G759" s="4"/>
      <c r="H759" s="4"/>
    </row>
    <row r="760" spans="3:8" ht="12.75">
      <c r="C760" s="4"/>
      <c r="D760" s="4"/>
      <c r="E760" s="4"/>
      <c r="F760" s="4"/>
      <c r="G760" s="4"/>
      <c r="H760" s="4"/>
    </row>
    <row r="761" spans="3:8" ht="12.75">
      <c r="C761" s="4"/>
      <c r="D761" s="4"/>
      <c r="E761" s="4"/>
      <c r="F761" s="4"/>
      <c r="G761" s="4"/>
      <c r="H761" s="4"/>
    </row>
    <row r="762" spans="3:8" ht="12.75">
      <c r="C762" s="4"/>
      <c r="D762" s="4"/>
      <c r="E762" s="4"/>
      <c r="F762" s="4"/>
      <c r="G762" s="4"/>
      <c r="H762" s="4"/>
    </row>
    <row r="763" spans="3:8" ht="12.75">
      <c r="C763" s="4"/>
      <c r="D763" s="4"/>
      <c r="E763" s="4"/>
      <c r="F763" s="4"/>
      <c r="G763" s="4"/>
      <c r="H763" s="4"/>
    </row>
    <row r="764" spans="3:8" ht="12.75">
      <c r="C764" s="4"/>
      <c r="D764" s="4"/>
      <c r="E764" s="4"/>
      <c r="F764" s="4"/>
      <c r="G764" s="4"/>
      <c r="H764" s="4"/>
    </row>
    <row r="765" spans="3:8" ht="12.75">
      <c r="C765" s="4"/>
      <c r="D765" s="4"/>
      <c r="E765" s="4"/>
      <c r="F765" s="4"/>
      <c r="G765" s="4"/>
      <c r="H765" s="4"/>
    </row>
    <row r="766" spans="3:8" ht="12.75">
      <c r="C766" s="4"/>
      <c r="D766" s="4"/>
      <c r="E766" s="4"/>
      <c r="F766" s="4"/>
      <c r="G766" s="4"/>
      <c r="H766" s="4"/>
    </row>
    <row r="767" spans="3:8" ht="12.75">
      <c r="C767" s="4"/>
      <c r="D767" s="4"/>
      <c r="E767" s="4"/>
      <c r="F767" s="4"/>
      <c r="G767" s="4"/>
      <c r="H767" s="4"/>
    </row>
    <row r="768" spans="3:8" ht="12.75">
      <c r="C768" s="4"/>
      <c r="D768" s="4"/>
      <c r="E768" s="4"/>
      <c r="F768" s="4"/>
      <c r="G768" s="4"/>
      <c r="H768" s="4"/>
    </row>
    <row r="769" spans="3:8" ht="12.75">
      <c r="C769" s="4"/>
      <c r="D769" s="4"/>
      <c r="E769" s="4"/>
      <c r="F769" s="4"/>
      <c r="G769" s="4"/>
      <c r="H769" s="4"/>
    </row>
    <row r="770" spans="3:8" ht="12.75">
      <c r="C770" s="4"/>
      <c r="D770" s="4"/>
      <c r="E770" s="4"/>
      <c r="F770" s="4"/>
      <c r="G770" s="4"/>
      <c r="H770" s="4"/>
    </row>
    <row r="771" spans="3:8" ht="12.75">
      <c r="C771" s="4"/>
      <c r="D771" s="4"/>
      <c r="E771" s="4"/>
      <c r="F771" s="4"/>
      <c r="G771" s="4"/>
      <c r="H771" s="4"/>
    </row>
    <row r="772" spans="3:8" ht="12.75">
      <c r="C772" s="4"/>
      <c r="D772" s="4"/>
      <c r="E772" s="4"/>
      <c r="F772" s="4"/>
      <c r="G772" s="4"/>
      <c r="H772" s="4"/>
    </row>
    <row r="773" spans="3:8" ht="12.75">
      <c r="C773" s="4"/>
      <c r="D773" s="4"/>
      <c r="E773" s="4"/>
      <c r="F773" s="4"/>
      <c r="G773" s="4"/>
      <c r="H773" s="4"/>
    </row>
    <row r="774" spans="3:8" ht="12.75">
      <c r="C774" s="4"/>
      <c r="D774" s="4"/>
      <c r="E774" s="4"/>
      <c r="F774" s="4"/>
      <c r="G774" s="4"/>
      <c r="H774" s="4"/>
    </row>
    <row r="775" spans="3:8" ht="12.75">
      <c r="C775" s="4"/>
      <c r="D775" s="4"/>
      <c r="E775" s="4"/>
      <c r="F775" s="4"/>
      <c r="G775" s="4"/>
      <c r="H775" s="4"/>
    </row>
    <row r="776" spans="3:8" ht="12.75">
      <c r="C776" s="4"/>
      <c r="D776" s="4"/>
      <c r="E776" s="4"/>
      <c r="F776" s="4"/>
      <c r="G776" s="4"/>
      <c r="H776" s="4"/>
    </row>
    <row r="777" spans="3:8" ht="12.75">
      <c r="C777" s="4"/>
      <c r="D777" s="4"/>
      <c r="E777" s="4"/>
      <c r="F777" s="4"/>
      <c r="G777" s="4"/>
      <c r="H777" s="4"/>
    </row>
    <row r="778" spans="3:8" ht="12.75">
      <c r="C778" s="4"/>
      <c r="D778" s="4"/>
      <c r="E778" s="4"/>
      <c r="F778" s="4"/>
      <c r="G778" s="4"/>
      <c r="H778" s="4"/>
    </row>
    <row r="779" spans="3:8" ht="12.75">
      <c r="C779" s="4"/>
      <c r="D779" s="4"/>
      <c r="E779" s="4"/>
      <c r="F779" s="4"/>
      <c r="G779" s="4"/>
      <c r="H779" s="4"/>
    </row>
    <row r="780" spans="3:8" ht="12.75">
      <c r="C780" s="4"/>
      <c r="D780" s="4"/>
      <c r="E780" s="4"/>
      <c r="F780" s="4"/>
      <c r="G780" s="4"/>
      <c r="H780" s="4"/>
    </row>
    <row r="781" spans="3:8" ht="12.75">
      <c r="C781" s="4"/>
      <c r="D781" s="4"/>
      <c r="E781" s="4"/>
      <c r="F781" s="4"/>
      <c r="G781" s="4"/>
      <c r="H781" s="4"/>
    </row>
    <row r="782" spans="3:8" ht="12.75">
      <c r="C782" s="4"/>
      <c r="D782" s="4"/>
      <c r="E782" s="4"/>
      <c r="F782" s="4"/>
      <c r="G782" s="4"/>
      <c r="H782" s="4"/>
    </row>
    <row r="783" spans="3:8" ht="12.75">
      <c r="C783" s="4"/>
      <c r="D783" s="4"/>
      <c r="E783" s="4"/>
      <c r="F783" s="4"/>
      <c r="G783" s="4"/>
      <c r="H783" s="4"/>
    </row>
    <row r="784" spans="3:8" ht="12.75">
      <c r="C784" s="4"/>
      <c r="D784" s="4"/>
      <c r="E784" s="4"/>
      <c r="F784" s="4"/>
      <c r="G784" s="4"/>
      <c r="H784" s="4"/>
    </row>
    <row r="785" spans="3:8" ht="12.75">
      <c r="C785" s="4"/>
      <c r="D785" s="4"/>
      <c r="E785" s="4"/>
      <c r="F785" s="4"/>
      <c r="G785" s="4"/>
      <c r="H785" s="4"/>
    </row>
    <row r="786" spans="3:8" ht="12.75">
      <c r="C786" s="4"/>
      <c r="D786" s="4"/>
      <c r="E786" s="4"/>
      <c r="F786" s="4"/>
      <c r="G786" s="4"/>
      <c r="H786" s="4"/>
    </row>
    <row r="787" spans="3:8" ht="12.75">
      <c r="C787" s="4"/>
      <c r="D787" s="4"/>
      <c r="E787" s="4"/>
      <c r="F787" s="4"/>
      <c r="G787" s="4"/>
      <c r="H787" s="4"/>
    </row>
    <row r="788" spans="3:8" ht="12.75">
      <c r="C788" s="4"/>
      <c r="D788" s="4"/>
      <c r="E788" s="4"/>
      <c r="F788" s="4"/>
      <c r="G788" s="4"/>
      <c r="H788" s="4"/>
    </row>
    <row r="789" spans="3:8" ht="12.75">
      <c r="C789" s="4"/>
      <c r="D789" s="4"/>
      <c r="E789" s="4"/>
      <c r="F789" s="4"/>
      <c r="G789" s="4"/>
      <c r="H789" s="4"/>
    </row>
    <row r="790" spans="3:8" ht="12.75">
      <c r="C790" s="4"/>
      <c r="D790" s="4"/>
      <c r="E790" s="4"/>
      <c r="F790" s="4"/>
      <c r="G790" s="4"/>
      <c r="H790" s="4"/>
    </row>
    <row r="791" spans="3:8" ht="12.75">
      <c r="C791" s="4"/>
      <c r="D791" s="4"/>
      <c r="E791" s="4"/>
      <c r="F791" s="4"/>
      <c r="G791" s="4"/>
      <c r="H791" s="4"/>
    </row>
    <row r="792" spans="3:8" ht="12.75">
      <c r="C792" s="4"/>
      <c r="D792" s="4"/>
      <c r="E792" s="4"/>
      <c r="F792" s="4"/>
      <c r="G792" s="4"/>
      <c r="H792" s="4"/>
    </row>
    <row r="793" spans="3:8" ht="12.75">
      <c r="C793" s="4"/>
      <c r="D793" s="4"/>
      <c r="E793" s="4"/>
      <c r="F793" s="4"/>
      <c r="G793" s="4"/>
      <c r="H793" s="4"/>
    </row>
    <row r="794" spans="3:8" ht="12.75">
      <c r="C794" s="4"/>
      <c r="D794" s="4"/>
      <c r="E794" s="4"/>
      <c r="F794" s="4"/>
      <c r="G794" s="4"/>
      <c r="H794" s="4"/>
    </row>
    <row r="795" spans="3:8" ht="12.75">
      <c r="C795" s="4"/>
      <c r="D795" s="4"/>
      <c r="E795" s="4"/>
      <c r="F795" s="4"/>
      <c r="G795" s="4"/>
      <c r="H795" s="4"/>
    </row>
    <row r="796" spans="3:8" ht="12.75">
      <c r="C796" s="4"/>
      <c r="D796" s="4"/>
      <c r="E796" s="4"/>
      <c r="F796" s="4"/>
      <c r="G796" s="4"/>
      <c r="H796" s="4"/>
    </row>
    <row r="797" spans="3:8" ht="12.75">
      <c r="C797" s="4"/>
      <c r="D797" s="4"/>
      <c r="E797" s="4"/>
      <c r="F797" s="4"/>
      <c r="G797" s="4"/>
      <c r="H797" s="4"/>
    </row>
    <row r="798" spans="3:8" ht="12.75">
      <c r="C798" s="4"/>
      <c r="D798" s="4"/>
      <c r="E798" s="4"/>
      <c r="F798" s="4"/>
      <c r="G798" s="4"/>
      <c r="H798" s="4"/>
    </row>
    <row r="799" spans="3:8" ht="12.75">
      <c r="C799" s="4"/>
      <c r="D799" s="4"/>
      <c r="E799" s="4"/>
      <c r="F799" s="4"/>
      <c r="G799" s="4"/>
      <c r="H799" s="4"/>
    </row>
    <row r="800" spans="3:8" ht="12.75">
      <c r="C800" s="4"/>
      <c r="D800" s="4"/>
      <c r="E800" s="4"/>
      <c r="F800" s="4"/>
      <c r="G800" s="4"/>
      <c r="H800" s="4"/>
    </row>
    <row r="801" spans="3:8" ht="12.75">
      <c r="C801" s="4"/>
      <c r="D801" s="4"/>
      <c r="E801" s="4"/>
      <c r="F801" s="4"/>
      <c r="G801" s="4"/>
      <c r="H801" s="4"/>
    </row>
    <row r="802" spans="3:8" ht="12.75">
      <c r="C802" s="4"/>
      <c r="D802" s="4"/>
      <c r="E802" s="4"/>
      <c r="F802" s="4"/>
      <c r="G802" s="4"/>
      <c r="H802" s="4"/>
    </row>
    <row r="803" spans="3:8" ht="12.75">
      <c r="C803" s="4"/>
      <c r="D803" s="4"/>
      <c r="E803" s="4"/>
      <c r="F803" s="4"/>
      <c r="G803" s="4"/>
      <c r="H803" s="4"/>
    </row>
    <row r="804" spans="3:8" ht="12.75">
      <c r="C804" s="4"/>
      <c r="D804" s="4"/>
      <c r="E804" s="4"/>
      <c r="F804" s="4"/>
      <c r="G804" s="4"/>
      <c r="H804" s="4"/>
    </row>
    <row r="805" spans="3:8" ht="12.75">
      <c r="C805" s="4"/>
      <c r="D805" s="4"/>
      <c r="E805" s="4"/>
      <c r="F805" s="4"/>
      <c r="G805" s="4"/>
      <c r="H805" s="4"/>
    </row>
    <row r="806" spans="3:8" ht="12.75">
      <c r="C806" s="4"/>
      <c r="D806" s="4"/>
      <c r="E806" s="4"/>
      <c r="F806" s="4"/>
      <c r="G806" s="4"/>
      <c r="H806" s="4"/>
    </row>
    <row r="807" spans="3:8" ht="12.75">
      <c r="C807" s="4"/>
      <c r="D807" s="4"/>
      <c r="E807" s="4"/>
      <c r="F807" s="4"/>
      <c r="G807" s="4"/>
      <c r="H807" s="4"/>
    </row>
    <row r="808" spans="3:8" ht="12.75">
      <c r="C808" s="4"/>
      <c r="D808" s="4"/>
      <c r="E808" s="4"/>
      <c r="F808" s="4"/>
      <c r="G808" s="4"/>
      <c r="H808" s="4"/>
    </row>
    <row r="809" spans="3:8" ht="12.75">
      <c r="C809" s="4"/>
      <c r="D809" s="4"/>
      <c r="E809" s="4"/>
      <c r="F809" s="4"/>
      <c r="G809" s="4"/>
      <c r="H809" s="4"/>
    </row>
    <row r="810" spans="3:8" ht="12.75">
      <c r="C810" s="4"/>
      <c r="D810" s="4"/>
      <c r="E810" s="4"/>
      <c r="F810" s="4"/>
      <c r="G810" s="4"/>
      <c r="H810" s="4"/>
    </row>
    <row r="811" spans="3:8" ht="12.75">
      <c r="C811" s="4"/>
      <c r="D811" s="4"/>
      <c r="E811" s="4"/>
      <c r="F811" s="4"/>
      <c r="G811" s="4"/>
      <c r="H811" s="4"/>
    </row>
    <row r="812" spans="3:8" ht="12.75">
      <c r="C812" s="4"/>
      <c r="D812" s="4"/>
      <c r="E812" s="4"/>
      <c r="F812" s="4"/>
      <c r="G812" s="4"/>
      <c r="H812" s="4"/>
    </row>
    <row r="813" spans="3:8" ht="12.75">
      <c r="C813" s="4"/>
      <c r="D813" s="4"/>
      <c r="E813" s="4"/>
      <c r="F813" s="4"/>
      <c r="G813" s="4"/>
      <c r="H813" s="4"/>
    </row>
    <row r="814" spans="3:8" ht="12.75">
      <c r="C814" s="4"/>
      <c r="D814" s="4"/>
      <c r="E814" s="4"/>
      <c r="F814" s="4"/>
      <c r="G814" s="4"/>
      <c r="H814" s="4"/>
    </row>
    <row r="815" spans="3:8" ht="12.75">
      <c r="C815" s="4"/>
      <c r="D815" s="4"/>
      <c r="E815" s="4"/>
      <c r="F815" s="4"/>
      <c r="G815" s="4"/>
      <c r="H815" s="4"/>
    </row>
    <row r="816" spans="3:8" ht="12.75">
      <c r="C816" s="4"/>
      <c r="D816" s="4"/>
      <c r="E816" s="4"/>
      <c r="F816" s="4"/>
      <c r="G816" s="4"/>
      <c r="H816" s="4"/>
    </row>
    <row r="817" spans="3:8" ht="12.75">
      <c r="C817" s="4"/>
      <c r="D817" s="4"/>
      <c r="E817" s="4"/>
      <c r="F817" s="4"/>
      <c r="G817" s="4"/>
      <c r="H817" s="4"/>
    </row>
    <row r="818" spans="3:8" ht="12.75">
      <c r="C818" s="4"/>
      <c r="D818" s="4"/>
      <c r="E818" s="4"/>
      <c r="F818" s="4"/>
      <c r="G818" s="4"/>
      <c r="H818" s="4"/>
    </row>
    <row r="819" spans="3:8" ht="12.75">
      <c r="C819" s="4"/>
      <c r="D819" s="4"/>
      <c r="E819" s="4"/>
      <c r="F819" s="4"/>
      <c r="G819" s="4"/>
      <c r="H819" s="4"/>
    </row>
    <row r="820" spans="3:8" ht="12.75">
      <c r="C820" s="4"/>
      <c r="D820" s="4"/>
      <c r="E820" s="4"/>
      <c r="F820" s="4"/>
      <c r="G820" s="4"/>
      <c r="H820" s="4"/>
    </row>
    <row r="821" spans="3:8" ht="12.75">
      <c r="C821" s="4"/>
      <c r="D821" s="4"/>
      <c r="E821" s="4"/>
      <c r="F821" s="4"/>
      <c r="G821" s="4"/>
      <c r="H821" s="4"/>
    </row>
    <row r="822" spans="3:8" ht="12.75">
      <c r="C822" s="4"/>
      <c r="D822" s="4"/>
      <c r="E822" s="4"/>
      <c r="F822" s="4"/>
      <c r="G822" s="4"/>
      <c r="H822" s="4"/>
    </row>
    <row r="823" spans="3:8" ht="12.75">
      <c r="C823" s="4"/>
      <c r="D823" s="4"/>
      <c r="E823" s="4"/>
      <c r="F823" s="4"/>
      <c r="G823" s="4"/>
      <c r="H823" s="4"/>
    </row>
    <row r="824" spans="3:8" ht="12.75">
      <c r="C824" s="4"/>
      <c r="D824" s="4"/>
      <c r="E824" s="4"/>
      <c r="F824" s="4"/>
      <c r="G824" s="4"/>
      <c r="H824" s="4"/>
    </row>
    <row r="825" spans="3:8" ht="12.75">
      <c r="C825" s="4"/>
      <c r="D825" s="4"/>
      <c r="E825" s="4"/>
      <c r="F825" s="4"/>
      <c r="G825" s="4"/>
      <c r="H825" s="4"/>
    </row>
    <row r="826" spans="3:8" ht="12.75">
      <c r="C826" s="4"/>
      <c r="D826" s="4"/>
      <c r="E826" s="4"/>
      <c r="F826" s="4"/>
      <c r="G826" s="4"/>
      <c r="H826" s="4"/>
    </row>
    <row r="827" spans="3:8" ht="12.75">
      <c r="C827" s="4"/>
      <c r="D827" s="4"/>
      <c r="E827" s="4"/>
      <c r="F827" s="4"/>
      <c r="G827" s="4"/>
      <c r="H827" s="4"/>
    </row>
    <row r="828" spans="3:8" ht="12.75">
      <c r="C828" s="4"/>
      <c r="D828" s="4"/>
      <c r="E828" s="4"/>
      <c r="F828" s="4"/>
      <c r="G828" s="4"/>
      <c r="H828" s="4"/>
    </row>
    <row r="829" spans="3:8" ht="12.75">
      <c r="C829" s="4"/>
      <c r="D829" s="4"/>
      <c r="E829" s="4"/>
      <c r="F829" s="4"/>
      <c r="G829" s="4"/>
      <c r="H829" s="4"/>
    </row>
    <row r="830" spans="3:8" ht="12.75">
      <c r="C830" s="4"/>
      <c r="D830" s="4"/>
      <c r="E830" s="4"/>
      <c r="F830" s="4"/>
      <c r="G830" s="4"/>
      <c r="H830" s="4"/>
    </row>
    <row r="831" spans="3:8" ht="12.75">
      <c r="C831" s="4"/>
      <c r="D831" s="4"/>
      <c r="E831" s="4"/>
      <c r="F831" s="4"/>
      <c r="G831" s="4"/>
      <c r="H831" s="4"/>
    </row>
    <row r="832" spans="3:8" ht="12.75">
      <c r="C832" s="4"/>
      <c r="D832" s="4"/>
      <c r="E832" s="4"/>
      <c r="F832" s="4"/>
      <c r="G832" s="4"/>
      <c r="H832" s="4"/>
    </row>
    <row r="833" spans="3:8" ht="12.75">
      <c r="C833" s="4"/>
      <c r="D833" s="4"/>
      <c r="E833" s="4"/>
      <c r="F833" s="4"/>
      <c r="G833" s="4"/>
      <c r="H833" s="4"/>
    </row>
    <row r="834" spans="3:8" ht="12.75">
      <c r="C834" s="4"/>
      <c r="D834" s="4"/>
      <c r="E834" s="4"/>
      <c r="F834" s="4"/>
      <c r="G834" s="4"/>
      <c r="H834" s="4"/>
    </row>
    <row r="835" spans="3:8" ht="12.75">
      <c r="C835" s="4"/>
      <c r="D835" s="4"/>
      <c r="E835" s="4"/>
      <c r="F835" s="4"/>
      <c r="G835" s="4"/>
      <c r="H835" s="4"/>
    </row>
    <row r="836" spans="3:8" ht="12.75">
      <c r="C836" s="4"/>
      <c r="D836" s="4"/>
      <c r="E836" s="4"/>
      <c r="F836" s="4"/>
      <c r="G836" s="4"/>
      <c r="H836" s="4"/>
    </row>
    <row r="837" spans="3:8" ht="12.75">
      <c r="C837" s="4"/>
      <c r="D837" s="4"/>
      <c r="E837" s="4"/>
      <c r="F837" s="4"/>
      <c r="G837" s="4"/>
      <c r="H837" s="4"/>
    </row>
    <row r="838" spans="3:8" ht="12.75">
      <c r="C838" s="4"/>
      <c r="D838" s="4"/>
      <c r="E838" s="4"/>
      <c r="F838" s="4"/>
      <c r="G838" s="4"/>
      <c r="H838" s="4"/>
    </row>
    <row r="839" spans="3:8" ht="12.75">
      <c r="C839" s="4"/>
      <c r="D839" s="4"/>
      <c r="E839" s="4"/>
      <c r="F839" s="4"/>
      <c r="G839" s="4"/>
      <c r="H839" s="4"/>
    </row>
    <row r="840" spans="3:8" ht="12.75">
      <c r="C840" s="4"/>
      <c r="D840" s="4"/>
      <c r="E840" s="4"/>
      <c r="F840" s="4"/>
      <c r="G840" s="4"/>
      <c r="H840" s="4"/>
    </row>
    <row r="841" spans="3:8" ht="12.75">
      <c r="C841" s="4"/>
      <c r="D841" s="4"/>
      <c r="E841" s="4"/>
      <c r="F841" s="4"/>
      <c r="G841" s="4"/>
      <c r="H841" s="4"/>
    </row>
    <row r="842" spans="3:8" ht="12.75">
      <c r="C842" s="4"/>
      <c r="D842" s="4"/>
      <c r="E842" s="4"/>
      <c r="F842" s="4"/>
      <c r="G842" s="4"/>
      <c r="H842" s="4"/>
    </row>
    <row r="843" spans="3:8" ht="12.75">
      <c r="C843" s="4"/>
      <c r="D843" s="4"/>
      <c r="E843" s="4"/>
      <c r="F843" s="4"/>
      <c r="G843" s="4"/>
      <c r="H843" s="4"/>
    </row>
    <row r="844" spans="3:8" ht="12.75">
      <c r="C844" s="4"/>
      <c r="D844" s="4"/>
      <c r="E844" s="4"/>
      <c r="F844" s="4"/>
      <c r="G844" s="4"/>
      <c r="H844" s="4"/>
    </row>
    <row r="845" spans="3:8" ht="12.75">
      <c r="C845" s="4"/>
      <c r="D845" s="4"/>
      <c r="E845" s="4"/>
      <c r="F845" s="4"/>
      <c r="G845" s="4"/>
      <c r="H845" s="4"/>
    </row>
    <row r="846" spans="3:8" ht="12.75">
      <c r="C846" s="4"/>
      <c r="D846" s="4"/>
      <c r="E846" s="4"/>
      <c r="F846" s="4"/>
      <c r="G846" s="4"/>
      <c r="H846" s="4"/>
    </row>
    <row r="847" spans="3:8" ht="12.75">
      <c r="C847" s="4"/>
      <c r="D847" s="4"/>
      <c r="E847" s="4"/>
      <c r="F847" s="4"/>
      <c r="G847" s="4"/>
      <c r="H847" s="4"/>
    </row>
    <row r="848" spans="3:8" ht="12.75">
      <c r="C848" s="4"/>
      <c r="D848" s="4"/>
      <c r="E848" s="4"/>
      <c r="F848" s="4"/>
      <c r="G848" s="4"/>
      <c r="H848" s="4"/>
    </row>
    <row r="849" spans="3:8" ht="12.75">
      <c r="C849" s="4"/>
      <c r="D849" s="4"/>
      <c r="E849" s="4"/>
      <c r="F849" s="4"/>
      <c r="G849" s="4"/>
      <c r="H849" s="4"/>
    </row>
    <row r="850" spans="3:8" ht="12.75">
      <c r="C850" s="4"/>
      <c r="D850" s="4"/>
      <c r="E850" s="4"/>
      <c r="F850" s="4"/>
      <c r="G850" s="4"/>
      <c r="H850" s="4"/>
    </row>
    <row r="851" spans="3:8" ht="12.75">
      <c r="C851" s="4"/>
      <c r="D851" s="4"/>
      <c r="E851" s="4"/>
      <c r="F851" s="4"/>
      <c r="G851" s="4"/>
      <c r="H851" s="4"/>
    </row>
    <row r="852" spans="3:8" ht="12.75">
      <c r="C852" s="4"/>
      <c r="D852" s="4"/>
      <c r="E852" s="4"/>
      <c r="F852" s="4"/>
      <c r="G852" s="4"/>
      <c r="H852" s="4"/>
    </row>
    <row r="853" spans="3:8" ht="12.75">
      <c r="C853" s="4"/>
      <c r="D853" s="4"/>
      <c r="E853" s="4"/>
      <c r="F853" s="4"/>
      <c r="G853" s="4"/>
      <c r="H853" s="4"/>
    </row>
    <row r="854" spans="3:8" ht="12.75">
      <c r="C854" s="4"/>
      <c r="D854" s="4"/>
      <c r="E854" s="4"/>
      <c r="F854" s="4"/>
      <c r="G854" s="4"/>
      <c r="H854" s="4"/>
    </row>
    <row r="855" spans="3:8" ht="12.75">
      <c r="C855" s="4"/>
      <c r="D855" s="4"/>
      <c r="E855" s="4"/>
      <c r="F855" s="4"/>
      <c r="G855" s="4"/>
      <c r="H855" s="4"/>
    </row>
    <row r="856" spans="3:8" ht="12.75">
      <c r="C856" s="4"/>
      <c r="D856" s="4"/>
      <c r="E856" s="4"/>
      <c r="F856" s="4"/>
      <c r="G856" s="4"/>
      <c r="H856" s="4"/>
    </row>
    <row r="857" spans="3:8" ht="12.75">
      <c r="C857" s="4"/>
      <c r="D857" s="4"/>
      <c r="E857" s="4"/>
      <c r="F857" s="4"/>
      <c r="G857" s="4"/>
      <c r="H857" s="4"/>
    </row>
    <row r="858" spans="3:8" ht="12.75">
      <c r="C858" s="4"/>
      <c r="D858" s="4"/>
      <c r="E858" s="4"/>
      <c r="F858" s="4"/>
      <c r="G858" s="4"/>
      <c r="H858" s="4"/>
    </row>
    <row r="859" spans="3:8" ht="12.75">
      <c r="C859" s="4"/>
      <c r="D859" s="4"/>
      <c r="E859" s="4"/>
      <c r="F859" s="4"/>
      <c r="G859" s="4"/>
      <c r="H859" s="4"/>
    </row>
    <row r="860" spans="3:8" ht="12.75">
      <c r="C860" s="4"/>
      <c r="D860" s="4"/>
      <c r="E860" s="4"/>
      <c r="F860" s="4"/>
      <c r="G860" s="4"/>
      <c r="H860" s="4"/>
    </row>
    <row r="861" spans="3:8" ht="12.75">
      <c r="C861" s="4"/>
      <c r="D861" s="4"/>
      <c r="E861" s="4"/>
      <c r="F861" s="4"/>
      <c r="G861" s="4"/>
      <c r="H861" s="4"/>
    </row>
    <row r="862" spans="3:8" ht="12.75">
      <c r="C862" s="4"/>
      <c r="D862" s="4"/>
      <c r="E862" s="4"/>
      <c r="F862" s="4"/>
      <c r="G862" s="4"/>
      <c r="H862" s="4"/>
    </row>
    <row r="863" spans="3:8" ht="12.75">
      <c r="C863" s="4"/>
      <c r="D863" s="4"/>
      <c r="E863" s="4"/>
      <c r="F863" s="4"/>
      <c r="G863" s="4"/>
      <c r="H863" s="4"/>
    </row>
    <row r="864" spans="3:8" ht="12.75">
      <c r="C864" s="4"/>
      <c r="D864" s="4"/>
      <c r="E864" s="4"/>
      <c r="F864" s="4"/>
      <c r="G864" s="4"/>
      <c r="H864" s="4"/>
    </row>
    <row r="865" spans="3:8" ht="12.75">
      <c r="C865" s="4"/>
      <c r="D865" s="4"/>
      <c r="E865" s="4"/>
      <c r="F865" s="4"/>
      <c r="G865" s="4"/>
      <c r="H865" s="4"/>
    </row>
    <row r="866" spans="3:8" ht="12.75">
      <c r="C866" s="4"/>
      <c r="D866" s="4"/>
      <c r="E866" s="4"/>
      <c r="F866" s="4"/>
      <c r="G866" s="4"/>
      <c r="H866" s="4"/>
    </row>
    <row r="867" spans="3:8" ht="12.75">
      <c r="C867" s="4"/>
      <c r="D867" s="4"/>
      <c r="E867" s="4"/>
      <c r="F867" s="4"/>
      <c r="G867" s="4"/>
      <c r="H867" s="4"/>
    </row>
    <row r="868" spans="3:8" ht="12.75">
      <c r="C868" s="4"/>
      <c r="D868" s="4"/>
      <c r="E868" s="4"/>
      <c r="F868" s="4"/>
      <c r="G868" s="4"/>
      <c r="H868" s="4"/>
    </row>
    <row r="869" spans="3:8" ht="12.75">
      <c r="C869" s="4"/>
      <c r="D869" s="4"/>
      <c r="E869" s="4"/>
      <c r="F869" s="4"/>
      <c r="G869" s="4"/>
      <c r="H869" s="4"/>
    </row>
    <row r="870" spans="3:8" ht="12.75">
      <c r="C870" s="4"/>
      <c r="D870" s="4"/>
      <c r="E870" s="4"/>
      <c r="F870" s="4"/>
      <c r="G870" s="4"/>
      <c r="H870" s="4"/>
    </row>
    <row r="871" spans="3:8" ht="12.75">
      <c r="C871" s="4"/>
      <c r="D871" s="4"/>
      <c r="E871" s="4"/>
      <c r="F871" s="4"/>
      <c r="G871" s="4"/>
      <c r="H871" s="4"/>
    </row>
    <row r="872" spans="3:8" ht="12.75">
      <c r="C872" s="4"/>
      <c r="D872" s="4"/>
      <c r="E872" s="4"/>
      <c r="F872" s="4"/>
      <c r="G872" s="4"/>
      <c r="H872" s="4"/>
    </row>
    <row r="873" spans="3:8" ht="12.75">
      <c r="C873" s="4"/>
      <c r="D873" s="4"/>
      <c r="E873" s="4"/>
      <c r="F873" s="4"/>
      <c r="G873" s="4"/>
      <c r="H873" s="4"/>
    </row>
    <row r="874" spans="3:8" ht="12.75">
      <c r="C874" s="4"/>
      <c r="D874" s="4"/>
      <c r="E874" s="4"/>
      <c r="F874" s="4"/>
      <c r="G874" s="4"/>
      <c r="H874" s="4"/>
    </row>
    <row r="875" spans="3:8" ht="12.75">
      <c r="C875" s="4"/>
      <c r="D875" s="4"/>
      <c r="E875" s="4"/>
      <c r="F875" s="4"/>
      <c r="G875" s="4"/>
      <c r="H875" s="4"/>
    </row>
    <row r="876" spans="3:8" ht="12.75">
      <c r="C876" s="4"/>
      <c r="D876" s="4"/>
      <c r="E876" s="4"/>
      <c r="F876" s="4"/>
      <c r="G876" s="4"/>
      <c r="H876" s="4"/>
    </row>
    <row r="877" spans="3:8" ht="12.75">
      <c r="C877" s="4"/>
      <c r="D877" s="4"/>
      <c r="E877" s="4"/>
      <c r="F877" s="4"/>
      <c r="G877" s="4"/>
      <c r="H877" s="4"/>
    </row>
    <row r="878" spans="3:8" ht="12.75">
      <c r="C878" s="4"/>
      <c r="D878" s="4"/>
      <c r="E878" s="4"/>
      <c r="F878" s="4"/>
      <c r="G878" s="4"/>
      <c r="H878" s="4"/>
    </row>
    <row r="879" spans="3:8" ht="12.75">
      <c r="C879" s="4"/>
      <c r="D879" s="4"/>
      <c r="E879" s="4"/>
      <c r="F879" s="4"/>
      <c r="G879" s="4"/>
      <c r="H879" s="4"/>
    </row>
    <row r="880" spans="3:8" ht="12.75">
      <c r="C880" s="4"/>
      <c r="D880" s="4"/>
      <c r="E880" s="4"/>
      <c r="F880" s="4"/>
      <c r="G880" s="4"/>
      <c r="H880" s="4"/>
    </row>
    <row r="881" spans="3:8" ht="12.75">
      <c r="C881" s="4"/>
      <c r="D881" s="4"/>
      <c r="E881" s="4"/>
      <c r="F881" s="4"/>
      <c r="G881" s="4"/>
      <c r="H881" s="4"/>
    </row>
    <row r="882" spans="3:8" ht="12.75">
      <c r="C882" s="4"/>
      <c r="D882" s="4"/>
      <c r="E882" s="4"/>
      <c r="F882" s="4"/>
      <c r="G882" s="4"/>
      <c r="H882" s="4"/>
    </row>
    <row r="883" spans="3:8" ht="12.75">
      <c r="C883" s="4"/>
      <c r="D883" s="4"/>
      <c r="E883" s="4"/>
      <c r="F883" s="4"/>
      <c r="G883" s="4"/>
      <c r="H883" s="4"/>
    </row>
    <row r="884" spans="3:8" ht="12.75">
      <c r="C884" s="4"/>
      <c r="D884" s="4"/>
      <c r="E884" s="4"/>
      <c r="F884" s="4"/>
      <c r="G884" s="4"/>
      <c r="H884" s="4"/>
    </row>
    <row r="885" spans="3:8" ht="12.75">
      <c r="C885" s="4"/>
      <c r="D885" s="4"/>
      <c r="E885" s="4"/>
      <c r="F885" s="4"/>
      <c r="G885" s="4"/>
      <c r="H885" s="4"/>
    </row>
    <row r="886" spans="3:8" ht="12.75">
      <c r="C886" s="4"/>
      <c r="D886" s="4"/>
      <c r="E886" s="4"/>
      <c r="F886" s="4"/>
      <c r="G886" s="4"/>
      <c r="H886" s="4"/>
    </row>
    <row r="887" spans="3:8" ht="12.75">
      <c r="C887" s="4"/>
      <c r="D887" s="4"/>
      <c r="E887" s="4"/>
      <c r="F887" s="4"/>
      <c r="G887" s="4"/>
      <c r="H887" s="4"/>
    </row>
    <row r="888" spans="3:8" ht="12.75">
      <c r="C888" s="4"/>
      <c r="D888" s="4"/>
      <c r="E888" s="4"/>
      <c r="F888" s="4"/>
      <c r="G888" s="4"/>
      <c r="H888" s="4"/>
    </row>
    <row r="889" spans="3:8" ht="12.75">
      <c r="C889" s="4"/>
      <c r="D889" s="4"/>
      <c r="E889" s="4"/>
      <c r="F889" s="4"/>
      <c r="G889" s="4"/>
      <c r="H889" s="4"/>
    </row>
    <row r="890" spans="3:8" ht="12.75">
      <c r="C890" s="4"/>
      <c r="D890" s="4"/>
      <c r="E890" s="4"/>
      <c r="F890" s="4"/>
      <c r="G890" s="4"/>
      <c r="H890" s="4"/>
    </row>
    <row r="891" spans="3:8" ht="12.75">
      <c r="C891" s="4"/>
      <c r="D891" s="4"/>
      <c r="E891" s="4"/>
      <c r="F891" s="4"/>
      <c r="G891" s="4"/>
      <c r="H891" s="4"/>
    </row>
    <row r="892" spans="3:8" ht="12.75">
      <c r="C892" s="4"/>
      <c r="D892" s="4"/>
      <c r="E892" s="4"/>
      <c r="F892" s="4"/>
      <c r="G892" s="4"/>
      <c r="H892" s="4"/>
    </row>
    <row r="893" spans="3:8" ht="12.75">
      <c r="C893" s="4"/>
      <c r="D893" s="4"/>
      <c r="E893" s="4"/>
      <c r="F893" s="4"/>
      <c r="G893" s="4"/>
      <c r="H893" s="4"/>
    </row>
    <row r="894" spans="3:8" ht="12.75">
      <c r="C894" s="4"/>
      <c r="D894" s="4"/>
      <c r="E894" s="4"/>
      <c r="F894" s="4"/>
      <c r="G894" s="4"/>
      <c r="H894" s="4"/>
    </row>
    <row r="895" spans="3:8" ht="12.75">
      <c r="C895" s="4"/>
      <c r="D895" s="4"/>
      <c r="E895" s="4"/>
      <c r="F895" s="4"/>
      <c r="G895" s="4"/>
      <c r="H895" s="4"/>
    </row>
    <row r="896" spans="3:8" ht="12.75">
      <c r="C896" s="4"/>
      <c r="D896" s="4"/>
      <c r="E896" s="4"/>
      <c r="F896" s="4"/>
      <c r="G896" s="4"/>
      <c r="H896" s="4"/>
    </row>
    <row r="897" spans="3:8" ht="12.75">
      <c r="C897" s="4"/>
      <c r="D897" s="4"/>
      <c r="E897" s="4"/>
      <c r="F897" s="4"/>
      <c r="G897" s="4"/>
      <c r="H897" s="4"/>
    </row>
    <row r="898" spans="3:8" ht="12.75">
      <c r="C898" s="4"/>
      <c r="D898" s="4"/>
      <c r="E898" s="4"/>
      <c r="F898" s="4"/>
      <c r="G898" s="4"/>
      <c r="H898" s="4"/>
    </row>
    <row r="899" spans="3:8" ht="12.75">
      <c r="C899" s="4"/>
      <c r="D899" s="4"/>
      <c r="E899" s="4"/>
      <c r="F899" s="4"/>
      <c r="G899" s="4"/>
      <c r="H899" s="4"/>
    </row>
    <row r="900" spans="3:8" ht="12.75">
      <c r="C900" s="4"/>
      <c r="D900" s="4"/>
      <c r="E900" s="4"/>
      <c r="F900" s="4"/>
      <c r="G900" s="4"/>
      <c r="H900" s="4"/>
    </row>
    <row r="901" spans="3:8" ht="12.75">
      <c r="C901" s="4"/>
      <c r="D901" s="4"/>
      <c r="E901" s="4"/>
      <c r="F901" s="4"/>
      <c r="G901" s="4"/>
      <c r="H901" s="4"/>
    </row>
    <row r="902" spans="3:8" ht="12.75">
      <c r="C902" s="4"/>
      <c r="D902" s="4"/>
      <c r="E902" s="4"/>
      <c r="F902" s="4"/>
      <c r="G902" s="4"/>
      <c r="H902" s="4"/>
    </row>
    <row r="903" spans="3:8" ht="12.75">
      <c r="C903" s="4"/>
      <c r="D903" s="4"/>
      <c r="E903" s="4"/>
      <c r="F903" s="4"/>
      <c r="G903" s="4"/>
      <c r="H903" s="4"/>
    </row>
    <row r="904" spans="3:8" ht="12.75">
      <c r="C904" s="4"/>
      <c r="D904" s="4"/>
      <c r="E904" s="4"/>
      <c r="F904" s="4"/>
      <c r="G904" s="4"/>
      <c r="H904" s="4"/>
    </row>
    <row r="905" spans="3:8" ht="12.75">
      <c r="C905" s="4"/>
      <c r="D905" s="4"/>
      <c r="E905" s="4"/>
      <c r="F905" s="4"/>
      <c r="G905" s="4"/>
      <c r="H905" s="4"/>
    </row>
    <row r="906" spans="3:8" ht="12.75">
      <c r="C906" s="4"/>
      <c r="D906" s="4"/>
      <c r="E906" s="4"/>
      <c r="F906" s="4"/>
      <c r="G906" s="4"/>
      <c r="H906" s="4"/>
    </row>
    <row r="907" spans="3:8" ht="12.75">
      <c r="C907" s="4"/>
      <c r="D907" s="4"/>
      <c r="E907" s="4"/>
      <c r="F907" s="4"/>
      <c r="G907" s="4"/>
      <c r="H907" s="4"/>
    </row>
    <row r="908" spans="3:8" ht="12.75">
      <c r="C908" s="4"/>
      <c r="D908" s="4"/>
      <c r="E908" s="4"/>
      <c r="F908" s="4"/>
      <c r="G908" s="4"/>
      <c r="H908" s="4"/>
    </row>
    <row r="909" spans="3:8" ht="12.75">
      <c r="C909" s="4"/>
      <c r="D909" s="4"/>
      <c r="E909" s="4"/>
      <c r="F909" s="4"/>
      <c r="G909" s="4"/>
      <c r="H909" s="4"/>
    </row>
    <row r="910" spans="3:8" ht="12.75">
      <c r="C910" s="4"/>
      <c r="D910" s="4"/>
      <c r="E910" s="4"/>
      <c r="F910" s="4"/>
      <c r="G910" s="4"/>
      <c r="H910" s="4"/>
    </row>
    <row r="911" spans="3:8" ht="12.75">
      <c r="C911" s="4"/>
      <c r="D911" s="4"/>
      <c r="E911" s="4"/>
      <c r="F911" s="4"/>
      <c r="G911" s="4"/>
      <c r="H911" s="4"/>
    </row>
    <row r="912" spans="3:8" ht="12.75">
      <c r="C912" s="4"/>
      <c r="D912" s="4"/>
      <c r="E912" s="4"/>
      <c r="F912" s="4"/>
      <c r="G912" s="4"/>
      <c r="H912" s="4"/>
    </row>
    <row r="913" spans="3:8" ht="12.75">
      <c r="C913" s="4"/>
      <c r="D913" s="4"/>
      <c r="E913" s="4"/>
      <c r="F913" s="4"/>
      <c r="G913" s="4"/>
      <c r="H913" s="4"/>
    </row>
    <row r="914" spans="3:8" ht="12.75">
      <c r="C914" s="4"/>
      <c r="D914" s="4"/>
      <c r="E914" s="4"/>
      <c r="F914" s="4"/>
      <c r="G914" s="4"/>
      <c r="H914" s="4"/>
    </row>
    <row r="915" spans="3:8" ht="12.75">
      <c r="C915" s="4"/>
      <c r="D915" s="4"/>
      <c r="E915" s="4"/>
      <c r="F915" s="4"/>
      <c r="G915" s="4"/>
      <c r="H915" s="4"/>
    </row>
    <row r="916" spans="3:8" ht="12.75">
      <c r="C916" s="4"/>
      <c r="D916" s="4"/>
      <c r="E916" s="4"/>
      <c r="F916" s="4"/>
      <c r="G916" s="4"/>
      <c r="H916" s="4"/>
    </row>
    <row r="917" spans="3:8" ht="12.75">
      <c r="C917" s="4"/>
      <c r="D917" s="4"/>
      <c r="E917" s="4"/>
      <c r="F917" s="4"/>
      <c r="G917" s="4"/>
      <c r="H917" s="4"/>
    </row>
    <row r="918" spans="3:8" ht="12.75">
      <c r="C918" s="4"/>
      <c r="D918" s="4"/>
      <c r="E918" s="4"/>
      <c r="F918" s="4"/>
      <c r="G918" s="4"/>
      <c r="H918" s="4"/>
    </row>
    <row r="919" spans="3:8" ht="12.75">
      <c r="C919" s="4"/>
      <c r="D919" s="4"/>
      <c r="E919" s="4"/>
      <c r="F919" s="4"/>
      <c r="G919" s="4"/>
      <c r="H919" s="4"/>
    </row>
    <row r="920" spans="3:8" ht="12.75">
      <c r="C920" s="4"/>
      <c r="D920" s="4"/>
      <c r="E920" s="4"/>
      <c r="F920" s="4"/>
      <c r="G920" s="4"/>
      <c r="H920" s="4"/>
    </row>
    <row r="921" spans="3:8" ht="12.75">
      <c r="C921" s="4"/>
      <c r="D921" s="4"/>
      <c r="E921" s="4"/>
      <c r="F921" s="4"/>
      <c r="G921" s="4"/>
      <c r="H921" s="4"/>
    </row>
    <row r="922" spans="3:8" ht="12.75">
      <c r="C922" s="4"/>
      <c r="D922" s="4"/>
      <c r="E922" s="4"/>
      <c r="F922" s="4"/>
      <c r="G922" s="4"/>
      <c r="H922" s="4"/>
    </row>
    <row r="923" spans="3:8" ht="12.75">
      <c r="C923" s="4"/>
      <c r="D923" s="4"/>
      <c r="E923" s="4"/>
      <c r="F923" s="4"/>
      <c r="G923" s="4"/>
      <c r="H923" s="4"/>
    </row>
    <row r="924" spans="3:8" ht="12.75">
      <c r="C924" s="4"/>
      <c r="D924" s="4"/>
      <c r="E924" s="4"/>
      <c r="F924" s="4"/>
      <c r="G924" s="4"/>
      <c r="H924" s="4"/>
    </row>
    <row r="925" spans="3:8" ht="12.75">
      <c r="C925" s="4"/>
      <c r="D925" s="4"/>
      <c r="E925" s="4"/>
      <c r="F925" s="4"/>
      <c r="G925" s="4"/>
      <c r="H925" s="4"/>
    </row>
    <row r="926" spans="3:8" ht="12.75">
      <c r="C926" s="4"/>
      <c r="D926" s="4"/>
      <c r="E926" s="4"/>
      <c r="F926" s="4"/>
      <c r="G926" s="4"/>
      <c r="H926" s="4"/>
    </row>
    <row r="927" spans="3:8" ht="12.75">
      <c r="C927" s="4"/>
      <c r="D927" s="4"/>
      <c r="E927" s="4"/>
      <c r="F927" s="4"/>
      <c r="G927" s="4"/>
      <c r="H927" s="4"/>
    </row>
    <row r="928" spans="3:8" ht="12.75">
      <c r="C928" s="4"/>
      <c r="D928" s="4"/>
      <c r="E928" s="4"/>
      <c r="F928" s="4"/>
      <c r="G928" s="4"/>
      <c r="H928" s="4"/>
    </row>
    <row r="929" spans="3:8" ht="12.75">
      <c r="C929" s="4"/>
      <c r="D929" s="4"/>
      <c r="E929" s="4"/>
      <c r="F929" s="4"/>
      <c r="G929" s="4"/>
      <c r="H929" s="4"/>
    </row>
    <row r="930" spans="3:8" ht="12.75">
      <c r="C930" s="4"/>
      <c r="D930" s="4"/>
      <c r="E930" s="4"/>
      <c r="F930" s="4"/>
      <c r="G930" s="4"/>
      <c r="H930" s="4"/>
    </row>
    <row r="931" spans="3:8" ht="12.75">
      <c r="C931" s="4"/>
      <c r="D931" s="4"/>
      <c r="E931" s="4"/>
      <c r="F931" s="4"/>
      <c r="G931" s="4"/>
      <c r="H931" s="4"/>
    </row>
    <row r="932" spans="3:8" ht="12.75">
      <c r="C932" s="4"/>
      <c r="D932" s="4"/>
      <c r="E932" s="4"/>
      <c r="F932" s="4"/>
      <c r="G932" s="4"/>
      <c r="H932" s="4"/>
    </row>
    <row r="933" spans="3:8" ht="12.75">
      <c r="C933" s="4"/>
      <c r="D933" s="4"/>
      <c r="E933" s="4"/>
      <c r="F933" s="4"/>
      <c r="G933" s="4"/>
      <c r="H933" s="4"/>
    </row>
    <row r="934" spans="3:8" ht="12.75">
      <c r="C934" s="4"/>
      <c r="D934" s="4"/>
      <c r="E934" s="4"/>
      <c r="F934" s="4"/>
      <c r="G934" s="4"/>
      <c r="H934" s="4"/>
    </row>
    <row r="935" spans="3:8" ht="12.75">
      <c r="C935" s="4"/>
      <c r="D935" s="4"/>
      <c r="E935" s="4"/>
      <c r="F935" s="4"/>
      <c r="G935" s="4"/>
      <c r="H935" s="4"/>
    </row>
    <row r="936" spans="3:8" ht="12.75">
      <c r="C936" s="4"/>
      <c r="D936" s="4"/>
      <c r="E936" s="4"/>
      <c r="F936" s="4"/>
      <c r="G936" s="4"/>
      <c r="H936" s="4"/>
    </row>
    <row r="937" spans="3:8" ht="12.75">
      <c r="C937" s="4"/>
      <c r="D937" s="4"/>
      <c r="E937" s="4"/>
      <c r="F937" s="4"/>
      <c r="G937" s="4"/>
      <c r="H937" s="4"/>
    </row>
    <row r="938" spans="3:8" ht="12.75">
      <c r="C938" s="4"/>
      <c r="D938" s="4"/>
      <c r="E938" s="4"/>
      <c r="F938" s="4"/>
      <c r="G938" s="4"/>
      <c r="H938" s="4"/>
    </row>
    <row r="939" spans="3:8" ht="12.75">
      <c r="C939" s="4"/>
      <c r="D939" s="4"/>
      <c r="E939" s="4"/>
      <c r="F939" s="4"/>
      <c r="G939" s="4"/>
      <c r="H939" s="4"/>
    </row>
    <row r="940" spans="3:8" ht="12.75">
      <c r="C940" s="4"/>
      <c r="D940" s="4"/>
      <c r="E940" s="4"/>
      <c r="F940" s="4"/>
      <c r="G940" s="4"/>
      <c r="H940" s="4"/>
    </row>
    <row r="941" spans="3:8" ht="12.75">
      <c r="C941" s="4"/>
      <c r="D941" s="4"/>
      <c r="E941" s="4"/>
      <c r="F941" s="4"/>
      <c r="G941" s="4"/>
      <c r="H941" s="4"/>
    </row>
    <row r="942" spans="3:8" ht="12.75">
      <c r="C942" s="4"/>
      <c r="D942" s="4"/>
      <c r="E942" s="4"/>
      <c r="F942" s="4"/>
      <c r="G942" s="4"/>
      <c r="H942" s="4"/>
    </row>
    <row r="943" spans="3:8" ht="12.75">
      <c r="C943" s="4"/>
      <c r="D943" s="4"/>
      <c r="E943" s="4"/>
      <c r="F943" s="4"/>
      <c r="G943" s="4"/>
      <c r="H943" s="4"/>
    </row>
    <row r="944" spans="3:8" ht="12.75">
      <c r="C944" s="4"/>
      <c r="D944" s="4"/>
      <c r="E944" s="4"/>
      <c r="F944" s="4"/>
      <c r="G944" s="4"/>
      <c r="H944" s="4"/>
    </row>
    <row r="945" spans="3:8" ht="12.75">
      <c r="C945" s="4"/>
      <c r="D945" s="4"/>
      <c r="E945" s="4"/>
      <c r="F945" s="4"/>
      <c r="G945" s="4"/>
      <c r="H945" s="4"/>
    </row>
    <row r="946" spans="3:8" ht="12.75">
      <c r="C946" s="4"/>
      <c r="D946" s="4"/>
      <c r="E946" s="4"/>
      <c r="F946" s="4"/>
      <c r="G946" s="4"/>
      <c r="H946" s="4"/>
    </row>
    <row r="947" spans="3:8" ht="12.75">
      <c r="C947" s="4"/>
      <c r="D947" s="4"/>
      <c r="E947" s="4"/>
      <c r="F947" s="4"/>
      <c r="G947" s="4"/>
      <c r="H947" s="4"/>
    </row>
    <row r="948" spans="3:8" ht="12.75">
      <c r="C948" s="4"/>
      <c r="D948" s="4"/>
      <c r="E948" s="4"/>
      <c r="F948" s="4"/>
      <c r="G948" s="4"/>
      <c r="H948" s="4"/>
    </row>
    <row r="949" spans="3:8" ht="12.75">
      <c r="C949" s="4"/>
      <c r="D949" s="4"/>
      <c r="E949" s="4"/>
      <c r="F949" s="4"/>
      <c r="G949" s="4"/>
      <c r="H949" s="4"/>
    </row>
    <row r="950" spans="3:8" ht="12.75">
      <c r="C950" s="4"/>
      <c r="D950" s="4"/>
      <c r="E950" s="4"/>
      <c r="F950" s="4"/>
      <c r="G950" s="4"/>
      <c r="H950" s="4"/>
    </row>
    <row r="951" spans="3:8" ht="12.75">
      <c r="C951" s="4"/>
      <c r="D951" s="4"/>
      <c r="E951" s="4"/>
      <c r="F951" s="4"/>
      <c r="G951" s="4"/>
      <c r="H951" s="4"/>
    </row>
    <row r="952" spans="3:8" ht="12.75">
      <c r="C952" s="4"/>
      <c r="D952" s="4"/>
      <c r="E952" s="4"/>
      <c r="F952" s="4"/>
      <c r="G952" s="4"/>
      <c r="H952" s="4"/>
    </row>
    <row r="953" spans="3:8" ht="12.75">
      <c r="C953" s="4"/>
      <c r="D953" s="4"/>
      <c r="E953" s="4"/>
      <c r="F953" s="4"/>
      <c r="G953" s="4"/>
      <c r="H953" s="4"/>
    </row>
    <row r="954" spans="3:8" ht="12.75">
      <c r="C954" s="4"/>
      <c r="D954" s="4"/>
      <c r="E954" s="4"/>
      <c r="F954" s="4"/>
      <c r="G954" s="4"/>
      <c r="H954" s="4"/>
    </row>
    <row r="955" spans="3:8" ht="12.75">
      <c r="C955" s="4"/>
      <c r="D955" s="4"/>
      <c r="E955" s="4"/>
      <c r="F955" s="4"/>
      <c r="G955" s="4"/>
      <c r="H955" s="4"/>
    </row>
    <row r="956" spans="3:8" ht="12.75">
      <c r="C956" s="4"/>
      <c r="D956" s="4"/>
      <c r="E956" s="4"/>
      <c r="F956" s="4"/>
      <c r="G956" s="4"/>
      <c r="H956" s="4"/>
    </row>
    <row r="957" spans="3:8" ht="12.75">
      <c r="C957" s="4"/>
      <c r="D957" s="4"/>
      <c r="E957" s="4"/>
      <c r="F957" s="4"/>
      <c r="G957" s="4"/>
      <c r="H957" s="4"/>
    </row>
    <row r="958" spans="3:8" ht="12.75">
      <c r="C958" s="4"/>
      <c r="D958" s="4"/>
      <c r="E958" s="4"/>
      <c r="F958" s="4"/>
      <c r="G958" s="4"/>
      <c r="H958" s="4"/>
    </row>
    <row r="959" spans="3:8" ht="12.75">
      <c r="C959" s="4"/>
      <c r="D959" s="4"/>
      <c r="E959" s="4"/>
      <c r="F959" s="4"/>
      <c r="G959" s="4"/>
      <c r="H959" s="4"/>
    </row>
    <row r="960" spans="3:8" ht="12.75">
      <c r="C960" s="4"/>
      <c r="D960" s="4"/>
      <c r="E960" s="4"/>
      <c r="F960" s="4"/>
      <c r="G960" s="4"/>
      <c r="H960" s="4"/>
    </row>
    <row r="961" spans="3:8" ht="12.75">
      <c r="C961" s="4"/>
      <c r="D961" s="4"/>
      <c r="E961" s="4"/>
      <c r="F961" s="4"/>
      <c r="G961" s="4"/>
      <c r="H961" s="4"/>
    </row>
    <row r="962" spans="3:8" ht="12.75">
      <c r="C962" s="4"/>
      <c r="D962" s="4"/>
      <c r="E962" s="4"/>
      <c r="F962" s="4"/>
      <c r="G962" s="4"/>
      <c r="H962" s="4"/>
    </row>
    <row r="963" spans="3:8" ht="12.75">
      <c r="C963" s="4"/>
      <c r="D963" s="4"/>
      <c r="E963" s="4"/>
      <c r="F963" s="4"/>
      <c r="G963" s="4"/>
      <c r="H963" s="4"/>
    </row>
    <row r="964" spans="3:8" ht="12.75">
      <c r="C964" s="4"/>
      <c r="D964" s="4"/>
      <c r="E964" s="4"/>
      <c r="F964" s="4"/>
      <c r="G964" s="4"/>
      <c r="H964" s="4"/>
    </row>
    <row r="965" spans="3:8" ht="12.75">
      <c r="C965" s="4"/>
      <c r="D965" s="4"/>
      <c r="E965" s="4"/>
      <c r="F965" s="4"/>
      <c r="G965" s="4"/>
      <c r="H965" s="4"/>
    </row>
    <row r="966" spans="3:8" ht="12.75">
      <c r="C966" s="4"/>
      <c r="D966" s="4"/>
      <c r="E966" s="4"/>
      <c r="F966" s="4"/>
      <c r="G966" s="4"/>
      <c r="H966" s="4"/>
    </row>
    <row r="967" spans="3:8" ht="12.75">
      <c r="C967" s="4"/>
      <c r="D967" s="4"/>
      <c r="E967" s="4"/>
      <c r="F967" s="4"/>
      <c r="G967" s="4"/>
      <c r="H967" s="4"/>
    </row>
    <row r="968" spans="3:8" ht="12.75">
      <c r="C968" s="4"/>
      <c r="D968" s="4"/>
      <c r="E968" s="4"/>
      <c r="F968" s="4"/>
      <c r="G968" s="4"/>
      <c r="H968" s="4"/>
    </row>
    <row r="969" spans="3:8" ht="12.75">
      <c r="C969" s="4"/>
      <c r="D969" s="4"/>
      <c r="E969" s="4"/>
      <c r="F969" s="4"/>
      <c r="G969" s="4"/>
      <c r="H969" s="4"/>
    </row>
    <row r="970" spans="3:8" ht="12.75">
      <c r="C970" s="4"/>
      <c r="D970" s="4"/>
      <c r="E970" s="4"/>
      <c r="F970" s="4"/>
      <c r="G970" s="4"/>
      <c r="H970" s="4"/>
    </row>
    <row r="971" spans="3:8" ht="12.75">
      <c r="C971" s="4"/>
      <c r="D971" s="4"/>
      <c r="E971" s="4"/>
      <c r="F971" s="4"/>
      <c r="G971" s="4"/>
      <c r="H971" s="4"/>
    </row>
    <row r="972" spans="3:8" ht="12.75">
      <c r="C972" s="4"/>
      <c r="D972" s="4"/>
      <c r="E972" s="4"/>
      <c r="F972" s="4"/>
      <c r="G972" s="4"/>
      <c r="H972" s="4"/>
    </row>
    <row r="973" spans="3:8" ht="12.75">
      <c r="C973" s="4"/>
      <c r="D973" s="4"/>
      <c r="E973" s="4"/>
      <c r="F973" s="4"/>
      <c r="G973" s="4"/>
      <c r="H973" s="4"/>
    </row>
    <row r="974" spans="3:8" ht="12.75">
      <c r="C974" s="4"/>
      <c r="D974" s="4"/>
      <c r="E974" s="4"/>
      <c r="F974" s="4"/>
      <c r="G974" s="4"/>
      <c r="H974" s="4"/>
    </row>
    <row r="975" spans="3:8" ht="12.75">
      <c r="C975" s="4"/>
      <c r="D975" s="4"/>
      <c r="E975" s="4"/>
      <c r="F975" s="4"/>
      <c r="G975" s="4"/>
      <c r="H975" s="4"/>
    </row>
    <row r="976" spans="3:8" ht="12.75">
      <c r="C976" s="4"/>
      <c r="D976" s="4"/>
      <c r="E976" s="4"/>
      <c r="F976" s="4"/>
      <c r="G976" s="4"/>
      <c r="H976" s="4"/>
    </row>
    <row r="977" spans="3:8" ht="12.75">
      <c r="C977" s="4"/>
      <c r="D977" s="4"/>
      <c r="E977" s="4"/>
      <c r="F977" s="4"/>
      <c r="G977" s="4"/>
      <c r="H977" s="4"/>
    </row>
    <row r="978" spans="3:8" ht="12.75">
      <c r="C978" s="4"/>
      <c r="D978" s="4"/>
      <c r="E978" s="4"/>
      <c r="F978" s="4"/>
      <c r="G978" s="4"/>
      <c r="H978" s="4"/>
    </row>
    <row r="979" spans="3:8" ht="12.75">
      <c r="C979" s="4"/>
      <c r="D979" s="4"/>
      <c r="E979" s="4"/>
      <c r="F979" s="4"/>
      <c r="G979" s="4"/>
      <c r="H979" s="4"/>
    </row>
    <row r="980" spans="3:8" ht="12.75">
      <c r="C980" s="4"/>
      <c r="D980" s="4"/>
      <c r="E980" s="4"/>
      <c r="F980" s="4"/>
      <c r="G980" s="4"/>
      <c r="H980" s="4"/>
    </row>
    <row r="981" spans="3:8" ht="12.75">
      <c r="C981" s="4"/>
      <c r="D981" s="4"/>
      <c r="E981" s="4"/>
      <c r="F981" s="4"/>
      <c r="G981" s="4"/>
      <c r="H981" s="4"/>
    </row>
    <row r="982" spans="3:8" ht="12.75">
      <c r="C982" s="4"/>
      <c r="D982" s="4"/>
      <c r="E982" s="4"/>
      <c r="F982" s="4"/>
      <c r="G982" s="4"/>
      <c r="H982" s="4"/>
    </row>
    <row r="983" spans="3:8" ht="12.75">
      <c r="C983" s="4"/>
      <c r="D983" s="4"/>
      <c r="E983" s="4"/>
      <c r="F983" s="4"/>
      <c r="G983" s="4"/>
      <c r="H983" s="4"/>
    </row>
    <row r="984" spans="3:8" ht="12.75">
      <c r="C984" s="4"/>
      <c r="D984" s="4"/>
      <c r="E984" s="4"/>
      <c r="F984" s="4"/>
      <c r="G984" s="4"/>
      <c r="H984" s="4"/>
    </row>
    <row r="985" spans="3:8" ht="12.75">
      <c r="C985" s="4"/>
      <c r="D985" s="4"/>
      <c r="E985" s="4"/>
      <c r="F985" s="4"/>
      <c r="G985" s="4"/>
      <c r="H985" s="4"/>
    </row>
    <row r="986" spans="3:8" ht="12.75">
      <c r="C986" s="4"/>
      <c r="D986" s="4"/>
      <c r="E986" s="4"/>
      <c r="F986" s="4"/>
      <c r="G986" s="4"/>
      <c r="H986" s="4"/>
    </row>
    <row r="987" spans="3:8" ht="12.75">
      <c r="C987" s="4"/>
      <c r="D987" s="4"/>
      <c r="E987" s="4"/>
      <c r="F987" s="4"/>
      <c r="G987" s="4"/>
      <c r="H987" s="4"/>
    </row>
    <row r="988" spans="3:8" ht="12.75">
      <c r="C988" s="4"/>
      <c r="D988" s="4"/>
      <c r="E988" s="4"/>
      <c r="F988" s="4"/>
      <c r="G988" s="4"/>
      <c r="H988" s="4"/>
    </row>
    <row r="989" spans="3:8" ht="12.75">
      <c r="C989" s="4"/>
      <c r="D989" s="4"/>
      <c r="E989" s="4"/>
      <c r="F989" s="4"/>
      <c r="G989" s="4"/>
      <c r="H989" s="4"/>
    </row>
    <row r="990" spans="3:8" ht="12.75">
      <c r="C990" s="4"/>
      <c r="D990" s="4"/>
      <c r="E990" s="4"/>
      <c r="F990" s="4"/>
      <c r="G990" s="4"/>
      <c r="H990" s="4"/>
    </row>
    <row r="991" spans="3:8" ht="12.75">
      <c r="C991" s="4"/>
      <c r="D991" s="4"/>
      <c r="E991" s="4"/>
      <c r="F991" s="4"/>
      <c r="G991" s="4"/>
      <c r="H991" s="4"/>
    </row>
    <row r="992" spans="3:8" ht="12.75">
      <c r="C992" s="4"/>
      <c r="D992" s="4"/>
      <c r="E992" s="4"/>
      <c r="F992" s="4"/>
      <c r="G992" s="4"/>
      <c r="H992" s="4"/>
    </row>
    <row r="993" spans="3:8" ht="12.75">
      <c r="C993" s="4"/>
      <c r="D993" s="4"/>
      <c r="E993" s="4"/>
      <c r="F993" s="4"/>
      <c r="G993" s="4"/>
      <c r="H993" s="4"/>
    </row>
    <row r="994" spans="3:8" ht="12.75">
      <c r="C994" s="4"/>
      <c r="D994" s="4"/>
      <c r="E994" s="4"/>
      <c r="F994" s="4"/>
      <c r="G994" s="4"/>
      <c r="H994" s="4"/>
    </row>
    <row r="995" spans="3:8" ht="12.75">
      <c r="C995" s="4"/>
      <c r="D995" s="4"/>
      <c r="E995" s="4"/>
      <c r="F995" s="4"/>
      <c r="G995" s="4"/>
      <c r="H995" s="4"/>
    </row>
    <row r="996" spans="3:8" ht="12.75">
      <c r="C996" s="4"/>
      <c r="D996" s="4"/>
      <c r="E996" s="4"/>
      <c r="F996" s="4"/>
      <c r="G996" s="4"/>
      <c r="H996" s="4"/>
    </row>
    <row r="997" spans="3:8" ht="12.75">
      <c r="C997" s="4"/>
      <c r="D997" s="4"/>
      <c r="E997" s="4"/>
      <c r="F997" s="4"/>
      <c r="G997" s="4"/>
      <c r="H997" s="4"/>
    </row>
    <row r="998" spans="3:8" ht="12.75">
      <c r="C998" s="4"/>
      <c r="D998" s="4"/>
      <c r="E998" s="4"/>
      <c r="F998" s="4"/>
      <c r="G998" s="4"/>
      <c r="H998" s="4"/>
    </row>
    <row r="999" spans="3:8" ht="12.75">
      <c r="C999" s="4"/>
      <c r="D999" s="4"/>
      <c r="E999" s="4"/>
      <c r="F999" s="4"/>
      <c r="G999" s="4"/>
      <c r="H999" s="4"/>
    </row>
    <row r="1000" spans="3:8" ht="12.75">
      <c r="C1000" s="4"/>
      <c r="D1000" s="4"/>
      <c r="E1000" s="4"/>
      <c r="F1000" s="4"/>
      <c r="G1000" s="4"/>
      <c r="H1000" s="4"/>
    </row>
    <row r="1001" spans="3:8" ht="12.75">
      <c r="C1001" s="4"/>
      <c r="D1001" s="4"/>
      <c r="E1001" s="4"/>
      <c r="F1001" s="4"/>
      <c r="G1001" s="4"/>
      <c r="H1001" s="4"/>
    </row>
    <row r="1002" spans="3:8" ht="12.75">
      <c r="C1002" s="4"/>
      <c r="D1002" s="4"/>
      <c r="E1002" s="4"/>
      <c r="F1002" s="4"/>
      <c r="G1002" s="4"/>
      <c r="H1002" s="4"/>
    </row>
    <row r="1003" spans="3:8" ht="12.75">
      <c r="C1003" s="4"/>
      <c r="D1003" s="4"/>
      <c r="E1003" s="4"/>
      <c r="F1003" s="4"/>
      <c r="G1003" s="4"/>
      <c r="H1003" s="4"/>
    </row>
    <row r="1004" spans="3:8" ht="12.75">
      <c r="C1004" s="4"/>
      <c r="D1004" s="4"/>
      <c r="E1004" s="4"/>
      <c r="F1004" s="4"/>
      <c r="G1004" s="4"/>
      <c r="H1004" s="4"/>
    </row>
  </sheetData>
  <mergeCells count="37">
    <mergeCell ref="C4:H4"/>
    <mergeCell ref="C6:H6"/>
    <mergeCell ref="C7:H7"/>
    <mergeCell ref="C8:H8"/>
    <mergeCell ref="C9:H9"/>
    <mergeCell ref="C10:H10"/>
    <mergeCell ref="C11:H11"/>
    <mergeCell ref="C12:H12"/>
    <mergeCell ref="C13:H13"/>
    <mergeCell ref="C14:H14"/>
    <mergeCell ref="C15:H15"/>
    <mergeCell ref="C16:H16"/>
    <mergeCell ref="C17:H17"/>
    <mergeCell ref="C18:H18"/>
    <mergeCell ref="C19:H19"/>
    <mergeCell ref="C20:H20"/>
    <mergeCell ref="C21:H21"/>
    <mergeCell ref="C22:H22"/>
    <mergeCell ref="C25:H25"/>
    <mergeCell ref="C26:H26"/>
    <mergeCell ref="C27:H27"/>
    <mergeCell ref="C28:H28"/>
    <mergeCell ref="C29:H29"/>
    <mergeCell ref="C30:H30"/>
    <mergeCell ref="C34:H34"/>
    <mergeCell ref="C35:H35"/>
    <mergeCell ref="C36:H36"/>
    <mergeCell ref="C37:H37"/>
    <mergeCell ref="C45:H45"/>
    <mergeCell ref="C46:H46"/>
    <mergeCell ref="C38:H38"/>
    <mergeCell ref="C39:H39"/>
    <mergeCell ref="C40:H40"/>
    <mergeCell ref="C41:H41"/>
    <mergeCell ref="C42:H42"/>
    <mergeCell ref="C43:H43"/>
    <mergeCell ref="C44:H44"/>
  </mergeCells>
  <hyperlinks>
    <hyperlink ref="C5" r:id="rId1" xr:uid="{00000000-0004-0000-0400-000000000000}"/>
    <hyperlink ref="C6" r:id="rId2" xr:uid="{00000000-0004-0000-0400-000001000000}"/>
    <hyperlink ref="C8" r:id="rId3" xr:uid="{00000000-0004-0000-0400-000002000000}"/>
    <hyperlink ref="C9" r:id="rId4" xr:uid="{00000000-0004-0000-0400-000003000000}"/>
    <hyperlink ref="C10" r:id="rId5" xr:uid="{00000000-0004-0000-0400-000004000000}"/>
    <hyperlink ref="C11" r:id="rId6" xr:uid="{00000000-0004-0000-0400-000005000000}"/>
    <hyperlink ref="C15" r:id="rId7" xr:uid="{00000000-0004-0000-0400-000006000000}"/>
    <hyperlink ref="C16" r:id="rId8" xr:uid="{00000000-0004-0000-0400-000007000000}"/>
    <hyperlink ref="C28" r:id="rId9" location="page=79" display="Fish oil not used for livestock: https://www.goucher.edu/learn/documents/Econ-Report-All.pdf#page=79" xr:uid="{00000000-0004-0000-0400-000009000000}"/>
    <hyperlink ref="C39" r:id="rId10" location="page=79" xr:uid="{00000000-0004-0000-0400-00000D000000}"/>
    <hyperlink ref="C27" r:id="rId11" xr:uid="{891A7ACB-005A-4C09-864E-F7BDB3B01CD1}"/>
    <hyperlink ref="C7" r:id="rId12" xr:uid="{A00B117C-9FF2-47DF-A558-7EC7A4549013}"/>
    <hyperlink ref="C35" r:id="rId13" location="data/QCL, accessed Nov. 29, 2022" xr:uid="{E3468A63-2412-41C7-9B36-61CADB84FADA}"/>
    <hyperlink ref="C36" r:id="rId14" location="data/QCL, accessed Nov. 29, 2022" xr:uid="{E0912520-322D-44FC-885F-7EC25D1910D8}"/>
    <hyperlink ref="C37" r:id="rId15" location="data/QCL, accessed Nov. 29, 2022" xr:uid="{A7AD4699-F45B-4242-93D2-BF3CF8F1CD18}"/>
    <hyperlink ref="C26" r:id="rId16" location="data/QCL, accessed Nov. 29, 2022" xr:uid="{E8880728-8044-47D7-8A89-056DDD31AE78}"/>
  </hyperlinks>
  <pageMargins left="0.7" right="0.7" top="0.75" bottom="0.75" header="0.3" footer="0.3"/>
  <pageSetup orientation="portrait" horizontalDpi="0" verticalDpi="0" r:id="rId17"/>
  <legacyDrawing r:id="rId18"/>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52"/>
  <sheetViews>
    <sheetView workbookViewId="0">
      <selection activeCell="D12" sqref="D12"/>
    </sheetView>
  </sheetViews>
  <sheetFormatPr defaultColWidth="14.42578125" defaultRowHeight="15" customHeight="1"/>
  <cols>
    <col min="1" max="1" width="27.85546875" customWidth="1"/>
    <col min="2" max="2" width="17.85546875" customWidth="1"/>
    <col min="3" max="3" width="15.85546875" customWidth="1"/>
  </cols>
  <sheetData>
    <row r="1" spans="1:26" ht="15" customHeight="1">
      <c r="A1" s="8" t="s">
        <v>166</v>
      </c>
      <c r="B1" s="9"/>
      <c r="C1" s="9"/>
      <c r="D1" s="9"/>
      <c r="E1" s="9"/>
      <c r="F1" s="10"/>
      <c r="G1" s="10"/>
      <c r="H1" s="10"/>
      <c r="I1" s="10"/>
      <c r="J1" s="10"/>
      <c r="K1" s="10"/>
      <c r="L1" s="10"/>
      <c r="M1" s="10"/>
      <c r="N1" s="10"/>
      <c r="O1" s="10"/>
      <c r="P1" s="10"/>
      <c r="Q1" s="10"/>
      <c r="R1" s="10"/>
      <c r="S1" s="10"/>
      <c r="T1" s="10"/>
      <c r="U1" s="10"/>
      <c r="V1" s="10"/>
      <c r="W1" s="10"/>
      <c r="X1" s="10"/>
      <c r="Y1" s="10"/>
      <c r="Z1" s="10"/>
    </row>
    <row r="2" spans="1:26" ht="12.75">
      <c r="A2" s="9"/>
      <c r="B2" s="9"/>
      <c r="C2" s="9"/>
      <c r="D2" s="9"/>
      <c r="E2" s="9"/>
      <c r="F2" s="10"/>
      <c r="G2" s="10"/>
      <c r="H2" s="10"/>
      <c r="I2" s="10"/>
      <c r="J2" s="10"/>
      <c r="K2" s="10"/>
      <c r="L2" s="10"/>
      <c r="M2" s="10"/>
      <c r="N2" s="10"/>
      <c r="O2" s="10"/>
      <c r="P2" s="10"/>
      <c r="Q2" s="10"/>
      <c r="R2" s="10"/>
      <c r="S2" s="10"/>
      <c r="T2" s="10"/>
      <c r="U2" s="10"/>
      <c r="V2" s="10"/>
      <c r="W2" s="10"/>
      <c r="X2" s="10"/>
      <c r="Y2" s="10"/>
      <c r="Z2" s="10"/>
    </row>
    <row r="3" spans="1:26" ht="25.5">
      <c r="A3" s="32" t="s">
        <v>7</v>
      </c>
      <c r="B3" s="33" t="s">
        <v>167</v>
      </c>
      <c r="C3" s="33" t="s">
        <v>168</v>
      </c>
      <c r="D3" s="34" t="s">
        <v>169</v>
      </c>
      <c r="E3" s="10"/>
      <c r="F3" s="10"/>
      <c r="G3" s="10"/>
      <c r="H3" s="10"/>
      <c r="I3" s="10"/>
      <c r="J3" s="10"/>
      <c r="K3" s="10"/>
      <c r="L3" s="10"/>
      <c r="M3" s="10"/>
      <c r="N3" s="10"/>
      <c r="O3" s="10"/>
      <c r="P3" s="10"/>
      <c r="Q3" s="10"/>
      <c r="R3" s="10"/>
      <c r="S3" s="10"/>
      <c r="T3" s="10"/>
      <c r="U3" s="10"/>
      <c r="V3" s="10"/>
      <c r="W3" s="10"/>
      <c r="X3" s="10"/>
      <c r="Y3" s="10"/>
      <c r="Z3" s="10"/>
    </row>
    <row r="4" spans="1:26" ht="12.75">
      <c r="A4" s="12" t="s">
        <v>18</v>
      </c>
      <c r="B4" s="35">
        <v>-0.35</v>
      </c>
      <c r="C4" s="35">
        <v>0.75</v>
      </c>
      <c r="D4" s="36">
        <v>1</v>
      </c>
      <c r="E4" s="10"/>
      <c r="F4" s="10"/>
      <c r="G4" s="10"/>
      <c r="H4" s="10"/>
      <c r="I4" s="10"/>
      <c r="J4" s="10"/>
      <c r="K4" s="10"/>
      <c r="L4" s="10"/>
      <c r="M4" s="10"/>
      <c r="N4" s="10"/>
      <c r="O4" s="10"/>
      <c r="P4" s="10"/>
      <c r="Q4" s="10"/>
      <c r="R4" s="10"/>
      <c r="S4" s="10"/>
      <c r="T4" s="10"/>
      <c r="U4" s="10"/>
      <c r="V4" s="10"/>
      <c r="W4" s="10"/>
      <c r="X4" s="10"/>
      <c r="Y4" s="10"/>
      <c r="Z4" s="10"/>
    </row>
    <row r="5" spans="1:26" ht="12.75">
      <c r="A5" s="12" t="s">
        <v>21</v>
      </c>
      <c r="B5" s="35">
        <v>-0.64</v>
      </c>
      <c r="C5" s="35">
        <v>2</v>
      </c>
      <c r="D5" s="36">
        <v>1</v>
      </c>
      <c r="E5" s="10"/>
      <c r="F5" s="10"/>
      <c r="G5" s="10"/>
      <c r="H5" s="10"/>
      <c r="I5" s="10"/>
      <c r="J5" s="10"/>
      <c r="K5" s="10"/>
      <c r="L5" s="10"/>
      <c r="M5" s="10"/>
      <c r="N5" s="10"/>
      <c r="O5" s="10"/>
      <c r="P5" s="10"/>
      <c r="Q5" s="10"/>
      <c r="R5" s="10"/>
      <c r="S5" s="10"/>
      <c r="T5" s="10"/>
      <c r="U5" s="10"/>
      <c r="V5" s="10"/>
      <c r="W5" s="10"/>
      <c r="X5" s="10"/>
      <c r="Y5" s="10"/>
      <c r="Z5" s="10"/>
    </row>
    <row r="6" spans="1:26" ht="12.75">
      <c r="A6" s="12" t="s">
        <v>23</v>
      </c>
      <c r="B6" s="35">
        <v>-0.8</v>
      </c>
      <c r="C6" s="35">
        <v>1</v>
      </c>
      <c r="D6" s="36">
        <v>1</v>
      </c>
      <c r="E6" s="10"/>
      <c r="F6" s="10"/>
      <c r="G6" s="10"/>
      <c r="H6" s="10"/>
      <c r="I6" s="10"/>
      <c r="J6" s="10"/>
      <c r="K6" s="10"/>
      <c r="L6" s="10"/>
      <c r="M6" s="10"/>
      <c r="N6" s="10"/>
      <c r="O6" s="10"/>
      <c r="P6" s="10"/>
      <c r="Q6" s="10"/>
      <c r="R6" s="10"/>
      <c r="S6" s="10"/>
      <c r="T6" s="10"/>
      <c r="U6" s="10"/>
      <c r="V6" s="10"/>
      <c r="W6" s="10"/>
      <c r="X6" s="10"/>
      <c r="Y6" s="10"/>
      <c r="Z6" s="10"/>
    </row>
    <row r="7" spans="1:26" ht="12.75">
      <c r="A7" s="12" t="s">
        <v>25</v>
      </c>
      <c r="B7" s="35">
        <v>-0.7</v>
      </c>
      <c r="C7" s="35">
        <v>2</v>
      </c>
      <c r="D7" s="36">
        <v>1</v>
      </c>
      <c r="E7" s="10"/>
      <c r="F7" s="10"/>
      <c r="G7" s="10"/>
      <c r="H7" s="10"/>
      <c r="I7" s="10"/>
      <c r="J7" s="10"/>
      <c r="K7" s="10"/>
      <c r="L7" s="10"/>
      <c r="M7" s="10"/>
      <c r="N7" s="10"/>
      <c r="O7" s="10"/>
      <c r="P7" s="10"/>
      <c r="Q7" s="10"/>
      <c r="R7" s="10"/>
      <c r="S7" s="10"/>
      <c r="T7" s="10"/>
      <c r="U7" s="10"/>
      <c r="V7" s="10"/>
      <c r="W7" s="10"/>
      <c r="X7" s="10"/>
      <c r="Y7" s="10"/>
      <c r="Z7" s="10"/>
    </row>
    <row r="8" spans="1:26" ht="12.75">
      <c r="A8" s="12" t="s">
        <v>170</v>
      </c>
      <c r="B8" s="35">
        <v>-0.2</v>
      </c>
      <c r="C8" s="35">
        <v>2</v>
      </c>
      <c r="D8" s="36">
        <v>1</v>
      </c>
      <c r="E8" s="10"/>
      <c r="F8" s="10"/>
      <c r="G8" s="10"/>
      <c r="H8" s="10"/>
      <c r="I8" s="10"/>
      <c r="J8" s="10"/>
      <c r="K8" s="10"/>
      <c r="L8" s="10"/>
      <c r="M8" s="10"/>
      <c r="N8" s="10"/>
      <c r="O8" s="10"/>
      <c r="P8" s="10"/>
      <c r="Q8" s="10"/>
      <c r="R8" s="10"/>
      <c r="S8" s="10"/>
      <c r="T8" s="10"/>
      <c r="U8" s="10"/>
      <c r="V8" s="10"/>
      <c r="W8" s="10"/>
      <c r="X8" s="10"/>
      <c r="Y8" s="10"/>
      <c r="Z8" s="10"/>
    </row>
    <row r="9" spans="1:26" ht="12.75">
      <c r="A9" s="12" t="s">
        <v>32</v>
      </c>
      <c r="B9" s="37">
        <f>B18</f>
        <v>-0.3871</v>
      </c>
      <c r="C9" s="37">
        <f>(B30+B31)/2</f>
        <v>0.88195618123102504</v>
      </c>
      <c r="D9" s="38">
        <v>1</v>
      </c>
      <c r="E9" s="10"/>
      <c r="F9" s="10"/>
      <c r="G9" s="10"/>
      <c r="H9" s="10"/>
      <c r="I9" s="10"/>
      <c r="J9" s="10"/>
      <c r="K9" s="10"/>
      <c r="L9" s="10"/>
      <c r="M9" s="10"/>
      <c r="N9" s="10"/>
      <c r="O9" s="10"/>
      <c r="P9" s="10"/>
      <c r="Q9" s="10"/>
      <c r="R9" s="10"/>
      <c r="S9" s="10"/>
      <c r="T9" s="10"/>
      <c r="U9" s="10"/>
      <c r="V9" s="10"/>
      <c r="W9" s="10"/>
      <c r="X9" s="10"/>
      <c r="Y9" s="10"/>
      <c r="Z9" s="10"/>
    </row>
    <row r="10" spans="1:26" ht="12.75">
      <c r="A10" s="12" t="s">
        <v>29</v>
      </c>
      <c r="B10" s="37">
        <f>C19</f>
        <v>-0.67969999999999997</v>
      </c>
      <c r="C10" s="35">
        <f>C5</f>
        <v>2</v>
      </c>
      <c r="D10" s="38">
        <v>1</v>
      </c>
      <c r="E10" s="10"/>
      <c r="F10" s="10"/>
      <c r="G10" s="10"/>
      <c r="H10" s="10"/>
      <c r="I10" s="10"/>
      <c r="J10" s="10"/>
      <c r="K10" s="10"/>
      <c r="L10" s="10"/>
      <c r="M10" s="10"/>
      <c r="N10" s="10"/>
      <c r="O10" s="10"/>
      <c r="P10" s="10"/>
      <c r="Q10" s="10"/>
      <c r="R10" s="10"/>
      <c r="S10" s="10"/>
      <c r="T10" s="10"/>
      <c r="U10" s="10"/>
      <c r="V10" s="10"/>
      <c r="W10" s="10"/>
      <c r="X10" s="10"/>
      <c r="Y10" s="10"/>
      <c r="Z10" s="10"/>
    </row>
    <row r="11" spans="1:26" ht="12.75">
      <c r="A11" s="39" t="s">
        <v>50</v>
      </c>
      <c r="B11" s="40">
        <f t="shared" ref="B11:D11" si="0">B9</f>
        <v>-0.3871</v>
      </c>
      <c r="C11" s="40">
        <f t="shared" si="0"/>
        <v>0.88195618123102504</v>
      </c>
      <c r="D11" s="41">
        <v>1</v>
      </c>
      <c r="E11" s="10"/>
      <c r="F11" s="10"/>
      <c r="G11" s="10"/>
      <c r="H11" s="10"/>
      <c r="I11" s="10"/>
      <c r="J11" s="10"/>
      <c r="K11" s="10"/>
      <c r="L11" s="10"/>
      <c r="M11" s="10"/>
      <c r="N11" s="10"/>
      <c r="O11" s="10"/>
      <c r="P11" s="10"/>
      <c r="Q11" s="10"/>
      <c r="R11" s="10"/>
      <c r="S11" s="10"/>
      <c r="T11" s="10"/>
      <c r="U11" s="10"/>
      <c r="V11" s="10"/>
      <c r="W11" s="10"/>
      <c r="X11" s="10"/>
      <c r="Y11" s="10"/>
      <c r="Z11" s="10"/>
    </row>
    <row r="12" spans="1:26" ht="12.75">
      <c r="A12" s="10" t="s">
        <v>171</v>
      </c>
      <c r="B12" s="10"/>
      <c r="C12" s="9"/>
      <c r="D12" s="10"/>
      <c r="E12" s="10"/>
      <c r="F12" s="10"/>
      <c r="G12" s="10"/>
      <c r="H12" s="10"/>
      <c r="I12" s="10"/>
      <c r="J12" s="10"/>
      <c r="K12" s="10"/>
      <c r="L12" s="10"/>
      <c r="M12" s="10"/>
      <c r="N12" s="10"/>
      <c r="O12" s="10"/>
      <c r="P12" s="10"/>
      <c r="Q12" s="10"/>
      <c r="R12" s="10"/>
      <c r="S12" s="10"/>
      <c r="T12" s="10"/>
      <c r="U12" s="10"/>
      <c r="V12" s="10"/>
      <c r="W12" s="10"/>
      <c r="X12" s="10"/>
      <c r="Y12" s="10"/>
      <c r="Z12" s="10"/>
    </row>
    <row r="13" spans="1:26" ht="12.75">
      <c r="A13" s="9"/>
      <c r="B13" s="10"/>
      <c r="C13" s="9"/>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29" t="s">
        <v>172</v>
      </c>
      <c r="B14" s="10"/>
      <c r="C14" s="9"/>
      <c r="D14" s="10"/>
      <c r="E14" s="10"/>
      <c r="F14" s="10"/>
      <c r="G14" s="10"/>
      <c r="H14" s="10"/>
      <c r="I14" s="10"/>
      <c r="J14" s="10"/>
      <c r="K14" s="10"/>
      <c r="L14" s="10"/>
      <c r="M14" s="10"/>
      <c r="N14" s="10"/>
      <c r="O14" s="10"/>
      <c r="P14" s="10"/>
      <c r="Q14" s="10"/>
      <c r="R14" s="10"/>
      <c r="S14" s="10"/>
      <c r="T14" s="10"/>
      <c r="U14" s="10"/>
      <c r="V14" s="10"/>
      <c r="W14" s="10"/>
      <c r="X14" s="10"/>
      <c r="Y14" s="10"/>
      <c r="Z14" s="10"/>
    </row>
    <row r="15" spans="1:26" ht="12.75">
      <c r="A15" s="9"/>
      <c r="B15" s="10"/>
      <c r="C15" s="9"/>
      <c r="D15" s="10"/>
      <c r="E15" s="10"/>
      <c r="F15" s="10"/>
      <c r="G15" s="10"/>
      <c r="H15" s="10"/>
      <c r="I15" s="10"/>
      <c r="J15" s="10"/>
      <c r="K15" s="10"/>
      <c r="L15" s="10"/>
      <c r="M15" s="10"/>
      <c r="N15" s="10"/>
      <c r="O15" s="10"/>
      <c r="P15" s="10"/>
      <c r="Q15" s="10"/>
      <c r="R15" s="10"/>
      <c r="S15" s="10"/>
      <c r="T15" s="10"/>
      <c r="U15" s="10"/>
      <c r="V15" s="10"/>
      <c r="W15" s="10"/>
      <c r="X15" s="10"/>
      <c r="Y15" s="10"/>
      <c r="Z15" s="10"/>
    </row>
    <row r="16" spans="1:26" ht="12.75">
      <c r="A16" s="9" t="s">
        <v>173</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25.5">
      <c r="A17" s="11" t="s">
        <v>174</v>
      </c>
      <c r="B17" s="33" t="s">
        <v>175</v>
      </c>
      <c r="C17" s="33" t="s">
        <v>176</v>
      </c>
      <c r="D17" s="34" t="s">
        <v>177</v>
      </c>
      <c r="E17" s="10"/>
      <c r="F17" s="10"/>
      <c r="G17" s="10"/>
      <c r="H17" s="10"/>
      <c r="I17" s="10"/>
      <c r="J17" s="10"/>
      <c r="K17" s="10"/>
      <c r="L17" s="10"/>
      <c r="M17" s="10"/>
      <c r="N17" s="10"/>
      <c r="O17" s="10"/>
      <c r="P17" s="10"/>
      <c r="Q17" s="10"/>
      <c r="R17" s="10"/>
      <c r="S17" s="10"/>
      <c r="T17" s="10"/>
      <c r="U17" s="10"/>
      <c r="V17" s="10"/>
      <c r="W17" s="10"/>
      <c r="X17" s="10"/>
      <c r="Y17" s="10"/>
      <c r="Z17" s="10"/>
    </row>
    <row r="18" spans="1:26" ht="12.75">
      <c r="A18" s="42" t="s">
        <v>32</v>
      </c>
      <c r="B18" s="37">
        <v>-0.3871</v>
      </c>
      <c r="C18" s="37">
        <v>-1.4200000000000001E-2</v>
      </c>
      <c r="D18" s="43" t="s">
        <v>178</v>
      </c>
      <c r="E18" s="10"/>
      <c r="F18" s="10"/>
      <c r="G18" s="10"/>
      <c r="H18" s="10"/>
      <c r="I18" s="10"/>
      <c r="J18" s="10"/>
      <c r="K18" s="10"/>
      <c r="L18" s="10"/>
      <c r="M18" s="10"/>
      <c r="N18" s="10"/>
      <c r="O18" s="10"/>
      <c r="P18" s="10"/>
      <c r="Q18" s="10"/>
      <c r="R18" s="10"/>
      <c r="S18" s="10"/>
      <c r="T18" s="10"/>
      <c r="U18" s="10"/>
      <c r="V18" s="10"/>
      <c r="W18" s="10"/>
      <c r="X18" s="10"/>
      <c r="Y18" s="10"/>
      <c r="Z18" s="10"/>
    </row>
    <row r="19" spans="1:26" ht="12.75">
      <c r="A19" s="42" t="s">
        <v>29</v>
      </c>
      <c r="B19" s="37">
        <v>-0.64370000000000005</v>
      </c>
      <c r="C19" s="37">
        <v>-0.67969999999999997</v>
      </c>
      <c r="D19" s="43" t="s">
        <v>178</v>
      </c>
      <c r="E19" s="10"/>
      <c r="F19" s="10"/>
      <c r="G19" s="10"/>
      <c r="H19" s="10"/>
      <c r="I19" s="10"/>
      <c r="J19" s="10"/>
      <c r="K19" s="10"/>
      <c r="L19" s="10"/>
      <c r="M19" s="10"/>
      <c r="N19" s="10"/>
      <c r="O19" s="10"/>
      <c r="P19" s="10"/>
      <c r="Q19" s="10"/>
      <c r="R19" s="10"/>
      <c r="S19" s="10"/>
      <c r="T19" s="10"/>
      <c r="U19" s="10"/>
      <c r="V19" s="10"/>
      <c r="W19" s="10"/>
      <c r="X19" s="10"/>
      <c r="Y19" s="10"/>
      <c r="Z19" s="10"/>
    </row>
    <row r="20" spans="1:26" ht="12.75">
      <c r="A20" s="42" t="s">
        <v>18</v>
      </c>
      <c r="B20" s="37">
        <v>-0.35399999999999998</v>
      </c>
      <c r="C20" s="37">
        <v>-0.61660000000000004</v>
      </c>
      <c r="D20" s="43" t="s">
        <v>178</v>
      </c>
      <c r="E20" s="10"/>
      <c r="F20" s="10"/>
      <c r="G20" s="10"/>
      <c r="H20" s="10"/>
      <c r="I20" s="10"/>
      <c r="J20" s="10"/>
      <c r="K20" s="10"/>
      <c r="L20" s="10"/>
      <c r="M20" s="10"/>
      <c r="N20" s="10"/>
      <c r="O20" s="10"/>
      <c r="P20" s="10"/>
      <c r="Q20" s="10"/>
      <c r="R20" s="10"/>
      <c r="S20" s="10"/>
      <c r="T20" s="10"/>
      <c r="U20" s="10"/>
      <c r="V20" s="10"/>
      <c r="W20" s="10"/>
      <c r="X20" s="10"/>
      <c r="Y20" s="10"/>
      <c r="Z20" s="10"/>
    </row>
    <row r="21" spans="1:26" ht="12.75">
      <c r="A21" s="42" t="s">
        <v>21</v>
      </c>
      <c r="B21" s="37">
        <v>-0.64370000000000005</v>
      </c>
      <c r="C21" s="37">
        <v>-0.53080000000000005</v>
      </c>
      <c r="D21" s="43" t="s">
        <v>178</v>
      </c>
      <c r="E21" s="10"/>
      <c r="F21" s="10"/>
      <c r="G21" s="10"/>
      <c r="H21" s="10"/>
      <c r="I21" s="10"/>
      <c r="J21" s="10"/>
      <c r="K21" s="10"/>
      <c r="L21" s="10"/>
      <c r="M21" s="10"/>
      <c r="N21" s="10"/>
      <c r="O21" s="10"/>
      <c r="P21" s="10"/>
      <c r="Q21" s="10"/>
      <c r="R21" s="10"/>
      <c r="S21" s="10"/>
      <c r="T21" s="10"/>
      <c r="U21" s="10"/>
      <c r="V21" s="10"/>
      <c r="W21" s="10"/>
      <c r="X21" s="10"/>
      <c r="Y21" s="10"/>
      <c r="Z21" s="10"/>
    </row>
    <row r="22" spans="1:26" ht="12.75">
      <c r="A22" s="42" t="s">
        <v>25</v>
      </c>
      <c r="B22" s="37">
        <v>-0.68669999999999998</v>
      </c>
      <c r="C22" s="37">
        <v>-0.72970000000000002</v>
      </c>
      <c r="D22" s="43" t="s">
        <v>178</v>
      </c>
      <c r="E22" s="10"/>
      <c r="F22" s="10"/>
      <c r="G22" s="10"/>
      <c r="H22" s="10"/>
      <c r="I22" s="10"/>
      <c r="J22" s="10"/>
      <c r="K22" s="10"/>
      <c r="L22" s="10"/>
      <c r="M22" s="10"/>
      <c r="N22" s="10"/>
      <c r="O22" s="10"/>
      <c r="P22" s="10"/>
      <c r="Q22" s="10"/>
      <c r="R22" s="10"/>
      <c r="S22" s="10"/>
      <c r="T22" s="10"/>
      <c r="U22" s="10"/>
      <c r="V22" s="10"/>
      <c r="W22" s="10"/>
      <c r="X22" s="10"/>
      <c r="Y22" s="10"/>
      <c r="Z22" s="10"/>
    </row>
    <row r="23" spans="1:26" ht="12.75">
      <c r="A23" s="42" t="s">
        <v>23</v>
      </c>
      <c r="B23" s="37">
        <v>-0.79490000000000005</v>
      </c>
      <c r="C23" s="37">
        <v>-0.25879999999999997</v>
      </c>
      <c r="D23" s="43" t="s">
        <v>178</v>
      </c>
      <c r="E23" s="10"/>
      <c r="F23" s="10"/>
      <c r="G23" s="10"/>
      <c r="H23" s="10"/>
      <c r="I23" s="10"/>
      <c r="J23" s="10"/>
      <c r="K23" s="10"/>
      <c r="L23" s="10"/>
      <c r="M23" s="10"/>
      <c r="N23" s="10"/>
      <c r="O23" s="10"/>
      <c r="P23" s="10"/>
      <c r="Q23" s="10"/>
      <c r="R23" s="10"/>
      <c r="S23" s="10"/>
      <c r="T23" s="10"/>
      <c r="U23" s="10"/>
      <c r="V23" s="10"/>
      <c r="W23" s="10"/>
      <c r="X23" s="10"/>
      <c r="Y23" s="10"/>
      <c r="Z23" s="10"/>
    </row>
    <row r="24" spans="1:26" ht="12.75">
      <c r="A24" s="44" t="s">
        <v>170</v>
      </c>
      <c r="B24" s="40">
        <v>-5.6899999999999999E-2</v>
      </c>
      <c r="C24" s="40">
        <v>-0.1452</v>
      </c>
      <c r="D24" s="45" t="s">
        <v>179</v>
      </c>
      <c r="E24" s="10"/>
      <c r="F24" s="10"/>
      <c r="G24" s="10"/>
      <c r="H24" s="10"/>
      <c r="I24" s="10"/>
      <c r="J24" s="10"/>
      <c r="K24" s="10"/>
      <c r="L24" s="10"/>
      <c r="M24" s="10"/>
      <c r="N24" s="10"/>
      <c r="O24" s="10"/>
      <c r="P24" s="10"/>
      <c r="Q24" s="10"/>
      <c r="R24" s="10"/>
      <c r="S24" s="10"/>
      <c r="T24" s="10"/>
      <c r="U24" s="10"/>
      <c r="V24" s="10"/>
      <c r="W24" s="10"/>
      <c r="X24" s="10"/>
      <c r="Y24" s="10"/>
      <c r="Z24" s="10"/>
    </row>
    <row r="25" spans="1:26" ht="12.75">
      <c r="A25" s="10" t="s">
        <v>180</v>
      </c>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2.75">
      <c r="A26" s="10" t="s">
        <v>181</v>
      </c>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2.75">
      <c r="A27" s="10" t="s">
        <v>182</v>
      </c>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2.75">
      <c r="A28" s="9"/>
      <c r="B28" s="10"/>
      <c r="C28" s="9"/>
      <c r="D28" s="10"/>
      <c r="E28" s="10"/>
      <c r="F28" s="10"/>
      <c r="G28" s="10"/>
      <c r="H28" s="10"/>
      <c r="I28" s="10"/>
      <c r="J28" s="10"/>
      <c r="K28" s="10"/>
      <c r="L28" s="10"/>
      <c r="M28" s="10"/>
      <c r="N28" s="10"/>
      <c r="O28" s="10"/>
      <c r="P28" s="10"/>
      <c r="Q28" s="10"/>
      <c r="R28" s="10"/>
      <c r="S28" s="10"/>
      <c r="T28" s="10"/>
      <c r="U28" s="10"/>
      <c r="V28" s="10"/>
      <c r="W28" s="10"/>
      <c r="X28" s="10"/>
      <c r="Y28" s="10"/>
      <c r="Z28" s="10"/>
    </row>
    <row r="29" spans="1:26" ht="12.75">
      <c r="A29" s="9" t="s">
        <v>183</v>
      </c>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2.75">
      <c r="A30" s="10" t="s">
        <v>184</v>
      </c>
      <c r="B30" s="10">
        <v>1.41</v>
      </c>
      <c r="C30" s="46" t="s">
        <v>185</v>
      </c>
      <c r="D30" s="10"/>
      <c r="E30" s="10"/>
      <c r="F30" s="10"/>
      <c r="G30" s="10"/>
      <c r="H30" s="10"/>
      <c r="I30" s="10"/>
      <c r="J30" s="10"/>
      <c r="K30" s="10"/>
      <c r="L30" s="10"/>
      <c r="M30" s="10"/>
      <c r="N30" s="10"/>
      <c r="O30" s="10"/>
      <c r="P30" s="10"/>
      <c r="Q30" s="10"/>
      <c r="R30" s="10"/>
      <c r="S30" s="10"/>
      <c r="T30" s="10"/>
      <c r="U30" s="10"/>
      <c r="V30" s="10"/>
      <c r="W30" s="10"/>
      <c r="X30" s="10"/>
      <c r="Y30" s="10"/>
      <c r="Z30" s="10"/>
    </row>
    <row r="31" spans="1:26" ht="12.75">
      <c r="A31" s="10" t="s">
        <v>186</v>
      </c>
      <c r="B31" s="47">
        <f>B45</f>
        <v>0.35391236246205016</v>
      </c>
      <c r="C31" s="48" t="s">
        <v>187</v>
      </c>
      <c r="D31" s="10"/>
      <c r="E31" s="10"/>
      <c r="F31" s="10"/>
      <c r="G31" s="10"/>
      <c r="H31" s="10"/>
      <c r="I31" s="10"/>
      <c r="J31" s="10"/>
      <c r="K31" s="10"/>
      <c r="L31" s="10"/>
      <c r="M31" s="10"/>
      <c r="N31" s="10"/>
      <c r="O31" s="10"/>
      <c r="P31" s="10"/>
      <c r="Q31" s="10"/>
      <c r="R31" s="10"/>
      <c r="S31" s="10"/>
      <c r="T31" s="10"/>
      <c r="U31" s="10"/>
      <c r="V31" s="10"/>
      <c r="W31" s="10"/>
      <c r="X31" s="10"/>
      <c r="Y31" s="10"/>
      <c r="Z31" s="10"/>
    </row>
    <row r="32" spans="1:26" ht="12.7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2.75">
      <c r="A33" s="9" t="s">
        <v>188</v>
      </c>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2.75">
      <c r="A34" s="49"/>
      <c r="B34" s="50" t="s">
        <v>81</v>
      </c>
      <c r="C34" s="50" t="s">
        <v>189</v>
      </c>
      <c r="D34" s="50" t="s">
        <v>190</v>
      </c>
      <c r="E34" s="50" t="s">
        <v>191</v>
      </c>
      <c r="F34" s="50" t="s">
        <v>192</v>
      </c>
      <c r="G34" s="50" t="s">
        <v>193</v>
      </c>
      <c r="H34" s="51" t="s">
        <v>194</v>
      </c>
      <c r="I34" s="10"/>
      <c r="J34" s="10"/>
      <c r="K34" s="10"/>
      <c r="L34" s="10"/>
      <c r="M34" s="10"/>
      <c r="N34" s="10"/>
      <c r="O34" s="10"/>
      <c r="P34" s="10"/>
      <c r="Q34" s="10"/>
      <c r="R34" s="10"/>
      <c r="S34" s="10"/>
      <c r="T34" s="10"/>
      <c r="U34" s="10"/>
      <c r="V34" s="10"/>
      <c r="W34" s="10"/>
      <c r="X34" s="10"/>
      <c r="Y34" s="10"/>
      <c r="Z34" s="10"/>
    </row>
    <row r="35" spans="1:26" ht="12.75">
      <c r="A35" s="12" t="s">
        <v>195</v>
      </c>
      <c r="B35" s="52">
        <v>4560</v>
      </c>
      <c r="C35" s="52">
        <v>930</v>
      </c>
      <c r="D35" s="52">
        <v>1707</v>
      </c>
      <c r="E35" s="52">
        <v>160</v>
      </c>
      <c r="F35" s="52">
        <v>6610</v>
      </c>
      <c r="G35" s="52">
        <v>2459</v>
      </c>
      <c r="H35" s="53">
        <v>795</v>
      </c>
      <c r="I35" s="10"/>
      <c r="J35" s="10"/>
      <c r="K35" s="10"/>
      <c r="L35" s="10"/>
      <c r="M35" s="10"/>
      <c r="N35" s="10"/>
      <c r="O35" s="10"/>
      <c r="P35" s="10"/>
      <c r="Q35" s="10"/>
      <c r="R35" s="10"/>
      <c r="S35" s="10"/>
      <c r="T35" s="10"/>
      <c r="U35" s="10"/>
      <c r="V35" s="10"/>
      <c r="W35" s="10"/>
      <c r="X35" s="10"/>
      <c r="Y35" s="10"/>
      <c r="Z35" s="10"/>
    </row>
    <row r="36" spans="1:26" ht="12.75">
      <c r="A36" s="12" t="s">
        <v>196</v>
      </c>
      <c r="B36" s="52">
        <v>23260</v>
      </c>
      <c r="C36" s="52">
        <v>6360</v>
      </c>
      <c r="D36" s="52">
        <v>7030</v>
      </c>
      <c r="E36" s="52">
        <v>4340</v>
      </c>
      <c r="F36" s="52">
        <v>16210</v>
      </c>
      <c r="G36" s="52">
        <v>1700</v>
      </c>
      <c r="H36" s="53">
        <v>795</v>
      </c>
      <c r="I36" s="10"/>
      <c r="J36" s="10"/>
      <c r="K36" s="10"/>
      <c r="L36" s="10"/>
      <c r="M36" s="10"/>
      <c r="N36" s="10"/>
      <c r="O36" s="10"/>
      <c r="P36" s="10"/>
      <c r="Q36" s="10"/>
      <c r="R36" s="10"/>
      <c r="S36" s="10"/>
      <c r="T36" s="10"/>
      <c r="U36" s="10"/>
      <c r="V36" s="10"/>
      <c r="W36" s="10"/>
      <c r="X36" s="10"/>
      <c r="Y36" s="10"/>
      <c r="Z36" s="10"/>
    </row>
    <row r="37" spans="1:26" ht="12.75">
      <c r="A37" s="12" t="s">
        <v>197</v>
      </c>
      <c r="B37" s="52">
        <v>4780</v>
      </c>
      <c r="C37" s="52">
        <v>7070</v>
      </c>
      <c r="D37" s="52">
        <v>11830</v>
      </c>
      <c r="E37" s="52">
        <v>25314</v>
      </c>
      <c r="F37" s="52">
        <v>660</v>
      </c>
      <c r="G37" s="52">
        <v>500</v>
      </c>
      <c r="H37" s="53">
        <v>25</v>
      </c>
      <c r="I37" s="10"/>
      <c r="J37" s="10"/>
      <c r="K37" s="10"/>
      <c r="L37" s="10"/>
      <c r="M37" s="10"/>
      <c r="N37" s="10"/>
      <c r="O37" s="10"/>
      <c r="P37" s="10"/>
      <c r="Q37" s="10"/>
      <c r="R37" s="10"/>
      <c r="S37" s="10"/>
      <c r="T37" s="10"/>
      <c r="U37" s="10"/>
      <c r="V37" s="10"/>
      <c r="W37" s="10"/>
      <c r="X37" s="10"/>
      <c r="Y37" s="10"/>
      <c r="Z37" s="10"/>
    </row>
    <row r="38" spans="1:26" ht="12.75">
      <c r="A38" s="12" t="s">
        <v>198</v>
      </c>
      <c r="B38" s="52">
        <v>11780</v>
      </c>
      <c r="C38" s="52">
        <v>4050</v>
      </c>
      <c r="D38" s="52">
        <v>1960</v>
      </c>
      <c r="E38" s="52">
        <v>12331</v>
      </c>
      <c r="F38" s="52">
        <v>6670</v>
      </c>
      <c r="G38" s="52">
        <v>1831</v>
      </c>
      <c r="H38" s="53">
        <v>110</v>
      </c>
      <c r="I38" s="10"/>
      <c r="J38" s="10"/>
      <c r="K38" s="10"/>
      <c r="L38" s="10"/>
      <c r="M38" s="10"/>
      <c r="N38" s="10"/>
      <c r="O38" s="10"/>
      <c r="P38" s="10"/>
      <c r="Q38" s="10"/>
      <c r="R38" s="10"/>
      <c r="S38" s="10"/>
      <c r="T38" s="10"/>
      <c r="U38" s="10"/>
      <c r="V38" s="10"/>
      <c r="W38" s="10"/>
      <c r="X38" s="10"/>
      <c r="Y38" s="10"/>
      <c r="Z38" s="10"/>
    </row>
    <row r="39" spans="1:26" ht="12.75">
      <c r="A39" s="12" t="s">
        <v>199</v>
      </c>
      <c r="B39" s="52">
        <v>12750</v>
      </c>
      <c r="C39" s="52">
        <v>510</v>
      </c>
      <c r="D39" s="52">
        <v>4370</v>
      </c>
      <c r="E39" s="52">
        <v>15</v>
      </c>
      <c r="F39" s="52">
        <v>50860</v>
      </c>
      <c r="G39" s="52">
        <v>22192</v>
      </c>
      <c r="H39" s="53">
        <v>410</v>
      </c>
      <c r="I39" s="10"/>
      <c r="J39" s="10"/>
      <c r="K39" s="10"/>
      <c r="L39" s="10"/>
      <c r="M39" s="10"/>
      <c r="N39" s="10"/>
      <c r="O39" s="10"/>
      <c r="P39" s="10"/>
      <c r="Q39" s="10"/>
      <c r="R39" s="10"/>
      <c r="S39" s="10"/>
      <c r="T39" s="10"/>
      <c r="U39" s="10"/>
      <c r="V39" s="10"/>
      <c r="W39" s="10"/>
      <c r="X39" s="10"/>
      <c r="Y39" s="10"/>
      <c r="Z39" s="10"/>
    </row>
    <row r="40" spans="1:26" ht="12.75">
      <c r="A40" s="12" t="s">
        <v>200</v>
      </c>
      <c r="B40" s="52">
        <v>8500</v>
      </c>
      <c r="C40" s="52">
        <v>2500</v>
      </c>
      <c r="D40" s="52">
        <v>100</v>
      </c>
      <c r="E40" s="52">
        <v>50000</v>
      </c>
      <c r="F40" s="52">
        <v>600</v>
      </c>
      <c r="G40" s="52">
        <v>300</v>
      </c>
      <c r="H40" s="53">
        <v>200</v>
      </c>
      <c r="I40" s="10"/>
      <c r="J40" s="10"/>
      <c r="K40" s="10"/>
      <c r="L40" s="10"/>
      <c r="M40" s="10"/>
      <c r="N40" s="10"/>
      <c r="O40" s="10"/>
      <c r="P40" s="10"/>
      <c r="Q40" s="10"/>
      <c r="R40" s="10"/>
      <c r="S40" s="10"/>
      <c r="T40" s="10"/>
      <c r="U40" s="10"/>
      <c r="V40" s="10"/>
      <c r="W40" s="10"/>
      <c r="X40" s="10"/>
      <c r="Y40" s="10"/>
      <c r="Z40" s="10"/>
    </row>
    <row r="41" spans="1:26" ht="12.75">
      <c r="A41" s="12" t="s">
        <v>201</v>
      </c>
      <c r="B41" s="52">
        <v>50960</v>
      </c>
      <c r="C41" s="52">
        <v>68030</v>
      </c>
      <c r="D41" s="52">
        <v>30093</v>
      </c>
      <c r="E41" s="52">
        <v>8590</v>
      </c>
      <c r="F41" s="52">
        <v>25940</v>
      </c>
      <c r="G41" s="52">
        <v>1318</v>
      </c>
      <c r="H41" s="53">
        <v>13065</v>
      </c>
      <c r="I41" s="10"/>
      <c r="J41" s="10"/>
      <c r="K41" s="10"/>
      <c r="L41" s="10"/>
      <c r="M41" s="10"/>
      <c r="N41" s="10"/>
      <c r="O41" s="10"/>
      <c r="P41" s="10"/>
      <c r="Q41" s="10"/>
      <c r="R41" s="10"/>
      <c r="S41" s="10"/>
      <c r="T41" s="10"/>
      <c r="U41" s="10"/>
      <c r="V41" s="10"/>
      <c r="W41" s="10"/>
      <c r="X41" s="10"/>
      <c r="Y41" s="10"/>
      <c r="Z41" s="10"/>
    </row>
    <row r="42" spans="1:26" ht="12.75">
      <c r="A42" s="12" t="s">
        <v>202</v>
      </c>
      <c r="B42" s="52">
        <f t="shared" ref="B42:H42" si="1">SUM(B35:B41)</f>
        <v>116590</v>
      </c>
      <c r="C42" s="52">
        <f t="shared" si="1"/>
        <v>89450</v>
      </c>
      <c r="D42" s="52">
        <f t="shared" si="1"/>
        <v>57090</v>
      </c>
      <c r="E42" s="52">
        <f t="shared" si="1"/>
        <v>100750</v>
      </c>
      <c r="F42" s="52">
        <f t="shared" si="1"/>
        <v>107550</v>
      </c>
      <c r="G42" s="52">
        <f t="shared" si="1"/>
        <v>30300</v>
      </c>
      <c r="H42" s="53">
        <f t="shared" si="1"/>
        <v>15400</v>
      </c>
      <c r="I42" s="10"/>
      <c r="J42" s="10"/>
      <c r="K42" s="10"/>
      <c r="L42" s="10"/>
      <c r="M42" s="10"/>
      <c r="N42" s="10"/>
      <c r="O42" s="10"/>
      <c r="P42" s="10"/>
      <c r="Q42" s="10"/>
      <c r="R42" s="10"/>
      <c r="S42" s="10"/>
      <c r="T42" s="10"/>
      <c r="U42" s="10"/>
      <c r="V42" s="10"/>
      <c r="W42" s="10"/>
      <c r="X42" s="10"/>
      <c r="Y42" s="10"/>
      <c r="Z42" s="10"/>
    </row>
    <row r="43" spans="1:26" ht="12.75">
      <c r="A43" s="12" t="s">
        <v>203</v>
      </c>
      <c r="B43" s="13">
        <f t="shared" ref="B43:H43" si="2">B42/SUM($B$42:$H$42)</f>
        <v>0.2254558814998163</v>
      </c>
      <c r="C43" s="13">
        <f t="shared" si="2"/>
        <v>0.17297391371608686</v>
      </c>
      <c r="D43" s="13">
        <f t="shared" si="2"/>
        <v>0.1103977723203063</v>
      </c>
      <c r="E43" s="13">
        <f t="shared" si="2"/>
        <v>0.19482528571152322</v>
      </c>
      <c r="F43" s="13">
        <f t="shared" si="2"/>
        <v>0.20797478390346721</v>
      </c>
      <c r="G43" s="13">
        <f t="shared" si="2"/>
        <v>5.8592616943515169E-2</v>
      </c>
      <c r="H43" s="14">
        <f t="shared" si="2"/>
        <v>2.9779745905284937E-2</v>
      </c>
      <c r="I43" s="10"/>
      <c r="J43" s="10"/>
      <c r="K43" s="10"/>
      <c r="L43" s="10"/>
      <c r="M43" s="10"/>
      <c r="N43" s="10"/>
      <c r="O43" s="10"/>
      <c r="P43" s="10"/>
      <c r="Q43" s="10"/>
      <c r="R43" s="10"/>
      <c r="S43" s="10"/>
      <c r="T43" s="10"/>
      <c r="U43" s="10"/>
      <c r="V43" s="10"/>
      <c r="W43" s="10"/>
      <c r="X43" s="10"/>
      <c r="Y43" s="10"/>
      <c r="Z43" s="10"/>
    </row>
    <row r="44" spans="1:26" ht="12.75">
      <c r="A44" s="12" t="s">
        <v>204</v>
      </c>
      <c r="B44" s="35">
        <v>0.11</v>
      </c>
      <c r="C44" s="35">
        <v>0.86</v>
      </c>
      <c r="D44" s="35">
        <v>0.17</v>
      </c>
      <c r="E44" s="35">
        <v>0.5</v>
      </c>
      <c r="F44" s="35">
        <v>0.25</v>
      </c>
      <c r="G44" s="35">
        <v>0.03</v>
      </c>
      <c r="H44" s="36">
        <v>0.35</v>
      </c>
      <c r="I44" s="10"/>
      <c r="J44" s="10"/>
      <c r="K44" s="10"/>
      <c r="L44" s="10"/>
      <c r="M44" s="10"/>
      <c r="N44" s="10"/>
      <c r="O44" s="10"/>
      <c r="P44" s="10"/>
      <c r="Q44" s="10"/>
      <c r="R44" s="10"/>
      <c r="S44" s="10"/>
      <c r="T44" s="10"/>
      <c r="U44" s="10"/>
      <c r="V44" s="10"/>
      <c r="W44" s="10"/>
      <c r="X44" s="10"/>
      <c r="Y44" s="10"/>
      <c r="Z44" s="10"/>
    </row>
    <row r="45" spans="1:26" ht="12.75">
      <c r="A45" s="39" t="s">
        <v>205</v>
      </c>
      <c r="B45" s="40">
        <f>SUMPRODUCT(B43:H43,B44:H44)</f>
        <v>0.35391236246205016</v>
      </c>
      <c r="C45" s="54"/>
      <c r="D45" s="54"/>
      <c r="E45" s="54"/>
      <c r="F45" s="54"/>
      <c r="G45" s="54"/>
      <c r="H45" s="55"/>
      <c r="I45" s="10"/>
      <c r="J45" s="10"/>
      <c r="K45" s="10"/>
      <c r="L45" s="10"/>
      <c r="M45" s="10"/>
      <c r="N45" s="10"/>
      <c r="O45" s="10"/>
      <c r="P45" s="10"/>
      <c r="Q45" s="10"/>
      <c r="R45" s="10"/>
      <c r="S45" s="10"/>
      <c r="T45" s="10"/>
      <c r="U45" s="10"/>
      <c r="V45" s="10"/>
      <c r="W45" s="10"/>
      <c r="X45" s="10"/>
      <c r="Y45" s="10"/>
      <c r="Z45" s="10"/>
    </row>
    <row r="46" spans="1:26" ht="12.7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2.7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2.75">
      <c r="A48" s="9" t="s">
        <v>206</v>
      </c>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25.5">
      <c r="A49" s="56" t="s">
        <v>7</v>
      </c>
      <c r="B49" s="57" t="s">
        <v>167</v>
      </c>
      <c r="C49" s="57" t="s">
        <v>168</v>
      </c>
      <c r="D49" s="58" t="s">
        <v>169</v>
      </c>
      <c r="E49" s="10"/>
      <c r="F49" s="10"/>
      <c r="G49" s="10"/>
      <c r="H49" s="10"/>
      <c r="I49" s="10"/>
      <c r="J49" s="10"/>
      <c r="K49" s="10"/>
      <c r="L49" s="10"/>
      <c r="M49" s="10"/>
      <c r="N49" s="10"/>
      <c r="O49" s="10"/>
      <c r="P49" s="10"/>
      <c r="Q49" s="10"/>
      <c r="R49" s="10"/>
      <c r="S49" s="10"/>
      <c r="T49" s="10"/>
      <c r="U49" s="10"/>
      <c r="V49" s="10"/>
      <c r="W49" s="10"/>
      <c r="X49" s="10"/>
      <c r="Y49" s="10"/>
      <c r="Z49" s="10"/>
    </row>
    <row r="50" spans="1:26" ht="12.75">
      <c r="A50" s="59" t="s">
        <v>18</v>
      </c>
      <c r="B50" s="60">
        <v>-0.61</v>
      </c>
      <c r="C50" s="60">
        <v>0.6</v>
      </c>
      <c r="D50" s="38">
        <f t="shared" ref="D50:D56" si="3">C50/(C50-B50)</f>
        <v>0.49586776859504134</v>
      </c>
      <c r="E50" s="10"/>
      <c r="F50" s="10"/>
      <c r="G50" s="10"/>
      <c r="H50" s="10"/>
      <c r="I50" s="10"/>
      <c r="J50" s="10"/>
      <c r="K50" s="10"/>
      <c r="L50" s="10"/>
      <c r="M50" s="10"/>
      <c r="N50" s="10"/>
      <c r="O50" s="10"/>
      <c r="P50" s="10"/>
      <c r="Q50" s="10"/>
      <c r="R50" s="10"/>
      <c r="S50" s="10"/>
      <c r="T50" s="10"/>
      <c r="U50" s="10"/>
      <c r="V50" s="10"/>
      <c r="W50" s="10"/>
      <c r="X50" s="10"/>
      <c r="Y50" s="10"/>
      <c r="Z50" s="10"/>
    </row>
    <row r="51" spans="1:26" ht="12.75">
      <c r="A51" s="59" t="s">
        <v>23</v>
      </c>
      <c r="B51" s="60">
        <v>-0.8</v>
      </c>
      <c r="C51" s="60">
        <v>0.65</v>
      </c>
      <c r="D51" s="38">
        <f t="shared" si="3"/>
        <v>0.44827586206896547</v>
      </c>
      <c r="E51" s="10"/>
      <c r="F51" s="10"/>
      <c r="G51" s="10"/>
      <c r="H51" s="10"/>
      <c r="I51" s="10"/>
      <c r="J51" s="10"/>
      <c r="K51" s="10"/>
      <c r="L51" s="10"/>
      <c r="M51" s="10"/>
      <c r="N51" s="10"/>
      <c r="O51" s="10"/>
      <c r="P51" s="10"/>
      <c r="Q51" s="10"/>
      <c r="R51" s="10"/>
      <c r="S51" s="10"/>
      <c r="T51" s="10"/>
      <c r="U51" s="10"/>
      <c r="V51" s="10"/>
      <c r="W51" s="10"/>
      <c r="X51" s="10"/>
      <c r="Y51" s="10"/>
      <c r="Z51" s="10"/>
    </row>
    <row r="52" spans="1:26" ht="12.75">
      <c r="A52" s="59" t="s">
        <v>25</v>
      </c>
      <c r="B52" s="60">
        <v>-0.75</v>
      </c>
      <c r="C52" s="60">
        <v>1</v>
      </c>
      <c r="D52" s="38">
        <f t="shared" si="3"/>
        <v>0.5714285714285714</v>
      </c>
      <c r="E52" s="10"/>
      <c r="F52" s="10"/>
      <c r="G52" s="10"/>
      <c r="H52" s="10"/>
      <c r="I52" s="10"/>
      <c r="J52" s="10"/>
      <c r="K52" s="10"/>
      <c r="L52" s="10"/>
      <c r="M52" s="10"/>
      <c r="N52" s="10"/>
      <c r="O52" s="10"/>
      <c r="P52" s="10"/>
      <c r="Q52" s="10"/>
      <c r="R52" s="10"/>
      <c r="S52" s="10"/>
      <c r="T52" s="10"/>
      <c r="U52" s="10"/>
      <c r="V52" s="10"/>
      <c r="W52" s="10"/>
      <c r="X52" s="10"/>
      <c r="Y52" s="10"/>
      <c r="Z52" s="10"/>
    </row>
    <row r="53" spans="1:26" ht="12.75">
      <c r="A53" s="59" t="s">
        <v>21</v>
      </c>
      <c r="B53" s="60">
        <v>-0.52</v>
      </c>
      <c r="C53" s="60">
        <v>0.22</v>
      </c>
      <c r="D53" s="38">
        <f t="shared" si="3"/>
        <v>0.29729729729729731</v>
      </c>
      <c r="E53" s="10"/>
      <c r="F53" s="10"/>
      <c r="G53" s="10"/>
      <c r="H53" s="10"/>
      <c r="I53" s="10"/>
      <c r="J53" s="10"/>
      <c r="K53" s="10"/>
      <c r="L53" s="10"/>
      <c r="M53" s="10"/>
      <c r="N53" s="10"/>
      <c r="O53" s="10"/>
      <c r="P53" s="10"/>
      <c r="Q53" s="10"/>
      <c r="R53" s="10"/>
      <c r="S53" s="10"/>
      <c r="T53" s="10"/>
      <c r="U53" s="10"/>
      <c r="V53" s="10"/>
      <c r="W53" s="10"/>
      <c r="X53" s="10"/>
      <c r="Y53" s="10"/>
      <c r="Z53" s="10"/>
    </row>
    <row r="54" spans="1:26" ht="12.75">
      <c r="A54" s="59" t="s">
        <v>27</v>
      </c>
      <c r="B54" s="60">
        <v>-0.2</v>
      </c>
      <c r="C54" s="60">
        <v>2</v>
      </c>
      <c r="D54" s="38">
        <f t="shared" si="3"/>
        <v>0.90909090909090906</v>
      </c>
      <c r="E54" s="10"/>
      <c r="F54" s="10"/>
      <c r="G54" s="10"/>
      <c r="H54" s="10"/>
      <c r="I54" s="10"/>
      <c r="J54" s="10"/>
      <c r="K54" s="10"/>
      <c r="L54" s="10"/>
      <c r="M54" s="10"/>
      <c r="N54" s="10"/>
      <c r="O54" s="10"/>
      <c r="P54" s="10"/>
      <c r="Q54" s="10"/>
      <c r="R54" s="10"/>
      <c r="S54" s="10"/>
      <c r="T54" s="10"/>
      <c r="U54" s="10"/>
      <c r="V54" s="10"/>
      <c r="W54" s="10"/>
      <c r="X54" s="10"/>
      <c r="Y54" s="10"/>
      <c r="Z54" s="10"/>
    </row>
    <row r="55" spans="1:26" ht="12.75">
      <c r="A55" s="59" t="s">
        <v>29</v>
      </c>
      <c r="B55" s="60">
        <v>-0.52</v>
      </c>
      <c r="C55" s="60">
        <v>0.26</v>
      </c>
      <c r="D55" s="38">
        <f t="shared" si="3"/>
        <v>0.33333333333333331</v>
      </c>
      <c r="E55" s="10"/>
      <c r="F55" s="10"/>
      <c r="G55" s="10"/>
      <c r="H55" s="10"/>
      <c r="I55" s="10"/>
      <c r="J55" s="10"/>
      <c r="K55" s="10"/>
      <c r="L55" s="10"/>
      <c r="M55" s="10"/>
      <c r="N55" s="10"/>
      <c r="O55" s="10"/>
      <c r="P55" s="10"/>
      <c r="Q55" s="10"/>
      <c r="R55" s="10"/>
      <c r="S55" s="10"/>
      <c r="T55" s="10"/>
      <c r="U55" s="10"/>
      <c r="V55" s="10"/>
      <c r="W55" s="10"/>
      <c r="X55" s="10"/>
      <c r="Y55" s="10"/>
      <c r="Z55" s="10"/>
    </row>
    <row r="56" spans="1:26" ht="12.75">
      <c r="A56" s="61" t="s">
        <v>32</v>
      </c>
      <c r="B56" s="62">
        <v>-1</v>
      </c>
      <c r="C56" s="62">
        <v>0.75</v>
      </c>
      <c r="D56" s="41">
        <f t="shared" si="3"/>
        <v>0.42857142857142855</v>
      </c>
      <c r="E56" s="10"/>
      <c r="F56" s="10"/>
      <c r="G56" s="10"/>
      <c r="H56" s="10"/>
      <c r="I56" s="10"/>
      <c r="J56" s="10"/>
      <c r="K56" s="10"/>
      <c r="L56" s="10"/>
      <c r="M56" s="10"/>
      <c r="N56" s="10"/>
      <c r="O56" s="10"/>
      <c r="P56" s="10"/>
      <c r="Q56" s="10"/>
      <c r="R56" s="10"/>
      <c r="S56" s="10"/>
      <c r="T56" s="10"/>
      <c r="U56" s="10"/>
      <c r="V56" s="10"/>
      <c r="W56" s="10"/>
      <c r="X56" s="10"/>
      <c r="Y56" s="10"/>
      <c r="Z56" s="10"/>
    </row>
    <row r="57" spans="1:26" ht="12.7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 r="A58" s="9" t="s">
        <v>207</v>
      </c>
      <c r="B58" s="10"/>
      <c r="C58" s="9" t="s">
        <v>208</v>
      </c>
      <c r="D58" s="10"/>
      <c r="E58" s="10"/>
      <c r="F58" s="10"/>
      <c r="G58" s="10"/>
      <c r="H58" s="10"/>
      <c r="I58" s="10"/>
      <c r="J58" s="10"/>
      <c r="K58" s="10"/>
      <c r="L58" s="10"/>
      <c r="M58" s="10"/>
      <c r="N58" s="10"/>
      <c r="O58" s="10"/>
      <c r="P58" s="10"/>
      <c r="Q58" s="10"/>
      <c r="R58" s="10"/>
      <c r="S58" s="10"/>
      <c r="T58" s="10"/>
      <c r="U58" s="10"/>
      <c r="V58" s="10"/>
      <c r="W58" s="10"/>
      <c r="X58" s="10"/>
      <c r="Y58" s="10"/>
      <c r="Z58" s="10"/>
    </row>
    <row r="59" spans="1:26" ht="25.5">
      <c r="A59" s="63" t="s">
        <v>209</v>
      </c>
      <c r="B59" s="64" t="s">
        <v>210</v>
      </c>
      <c r="C59" s="64" t="s">
        <v>211</v>
      </c>
      <c r="D59" s="64" t="s">
        <v>212</v>
      </c>
      <c r="E59" s="65" t="s">
        <v>213</v>
      </c>
      <c r="G59" s="10"/>
      <c r="H59" s="10"/>
      <c r="I59" s="10"/>
      <c r="J59" s="10"/>
      <c r="K59" s="10"/>
      <c r="L59" s="10"/>
      <c r="M59" s="10"/>
      <c r="N59" s="10"/>
      <c r="O59" s="10"/>
      <c r="P59" s="10"/>
      <c r="Q59" s="10"/>
      <c r="R59" s="10"/>
      <c r="S59" s="10"/>
      <c r="T59" s="10"/>
      <c r="U59" s="10"/>
      <c r="V59" s="10"/>
      <c r="W59" s="10"/>
      <c r="X59" s="10"/>
      <c r="Y59" s="10"/>
      <c r="Z59" s="10"/>
    </row>
    <row r="60" spans="1:26" ht="12.75">
      <c r="A60" s="42" t="s">
        <v>32</v>
      </c>
      <c r="B60" s="66">
        <v>-0.47720000000000001</v>
      </c>
      <c r="C60" s="66">
        <v>1.4200000000000001E-2</v>
      </c>
      <c r="D60" s="66">
        <v>-0.28724</v>
      </c>
      <c r="E60" s="67">
        <v>0.14962</v>
      </c>
      <c r="G60" s="10"/>
      <c r="H60" s="10"/>
      <c r="I60" s="10"/>
      <c r="J60" s="10"/>
      <c r="K60" s="10"/>
      <c r="L60" s="10"/>
      <c r="M60" s="10"/>
      <c r="N60" s="10"/>
      <c r="O60" s="10"/>
      <c r="P60" s="10"/>
      <c r="Q60" s="10"/>
      <c r="R60" s="10"/>
      <c r="S60" s="10"/>
      <c r="T60" s="10"/>
      <c r="U60" s="10"/>
      <c r="V60" s="10"/>
      <c r="W60" s="10"/>
      <c r="X60" s="10"/>
      <c r="Y60" s="10"/>
      <c r="Z60" s="10"/>
    </row>
    <row r="61" spans="1:26" ht="12.75">
      <c r="A61" s="42" t="s">
        <v>29</v>
      </c>
      <c r="B61" s="66">
        <v>-0.67969999999999997</v>
      </c>
      <c r="C61" s="66">
        <v>-0.55300000000000005</v>
      </c>
      <c r="D61" s="66">
        <v>-0.61634999999999995</v>
      </c>
      <c r="E61" s="67">
        <v>8.9590000000000003E-2</v>
      </c>
      <c r="G61" s="10"/>
      <c r="H61" s="10"/>
      <c r="I61" s="10"/>
      <c r="J61" s="10"/>
      <c r="K61" s="10"/>
      <c r="L61" s="10"/>
      <c r="M61" s="10"/>
      <c r="N61" s="10"/>
      <c r="O61" s="10"/>
      <c r="P61" s="10"/>
      <c r="Q61" s="10"/>
      <c r="R61" s="10"/>
      <c r="S61" s="10"/>
      <c r="T61" s="10"/>
      <c r="U61" s="10"/>
      <c r="V61" s="10"/>
      <c r="W61" s="10"/>
      <c r="X61" s="10"/>
      <c r="Y61" s="10"/>
      <c r="Z61" s="10"/>
    </row>
    <row r="62" spans="1:26" ht="12.75">
      <c r="A62" s="42" t="s">
        <v>18</v>
      </c>
      <c r="B62" s="66">
        <v>-1.389</v>
      </c>
      <c r="C62" s="66">
        <v>-0.11</v>
      </c>
      <c r="D62" s="66">
        <v>-0.69977</v>
      </c>
      <c r="E62" s="67">
        <v>0.34187000000000001</v>
      </c>
      <c r="G62" s="10"/>
      <c r="H62" s="10"/>
      <c r="I62" s="10"/>
      <c r="J62" s="10"/>
      <c r="K62" s="10"/>
      <c r="L62" s="10"/>
      <c r="M62" s="10"/>
      <c r="N62" s="10"/>
      <c r="O62" s="10"/>
      <c r="P62" s="10"/>
      <c r="Q62" s="10"/>
      <c r="R62" s="10"/>
      <c r="S62" s="10"/>
      <c r="T62" s="10"/>
      <c r="U62" s="10"/>
      <c r="V62" s="10"/>
      <c r="W62" s="10"/>
      <c r="X62" s="10"/>
      <c r="Y62" s="10"/>
      <c r="Z62" s="10"/>
    </row>
    <row r="63" spans="1:26" ht="12.75">
      <c r="A63" s="42" t="s">
        <v>21</v>
      </c>
      <c r="B63" s="66">
        <v>-1.133</v>
      </c>
      <c r="C63" s="66">
        <v>-0.02</v>
      </c>
      <c r="D63" s="66">
        <v>-0.68393000000000004</v>
      </c>
      <c r="E63" s="67">
        <v>0.32045000000000001</v>
      </c>
      <c r="G63" s="10"/>
      <c r="H63" s="10"/>
      <c r="I63" s="10"/>
      <c r="J63" s="10"/>
      <c r="K63" s="10"/>
      <c r="L63" s="10"/>
      <c r="M63" s="10"/>
      <c r="N63" s="10"/>
      <c r="O63" s="10"/>
      <c r="P63" s="10"/>
      <c r="Q63" s="10"/>
      <c r="R63" s="10"/>
      <c r="S63" s="10"/>
      <c r="T63" s="10"/>
      <c r="U63" s="10"/>
      <c r="V63" s="10"/>
      <c r="W63" s="10"/>
      <c r="X63" s="10"/>
      <c r="Y63" s="10"/>
      <c r="Z63" s="10"/>
    </row>
    <row r="64" spans="1:26" ht="12.75">
      <c r="A64" s="42" t="s">
        <v>25</v>
      </c>
      <c r="B64" s="66">
        <v>-1.1919999999999999</v>
      </c>
      <c r="C64" s="66">
        <v>-0.17</v>
      </c>
      <c r="D64" s="66">
        <v>-0.73116999999999999</v>
      </c>
      <c r="E64" s="67">
        <v>0.19034999999999999</v>
      </c>
      <c r="G64" s="10"/>
      <c r="H64" s="10"/>
      <c r="I64" s="10"/>
      <c r="J64" s="10"/>
      <c r="K64" s="10"/>
      <c r="L64" s="10"/>
      <c r="M64" s="10"/>
      <c r="N64" s="10"/>
      <c r="O64" s="10"/>
      <c r="P64" s="10"/>
      <c r="Q64" s="10"/>
      <c r="R64" s="10"/>
      <c r="S64" s="10"/>
      <c r="T64" s="10"/>
      <c r="U64" s="10"/>
      <c r="V64" s="10"/>
      <c r="W64" s="10"/>
      <c r="X64" s="10"/>
      <c r="Y64" s="10"/>
      <c r="Z64" s="10"/>
    </row>
    <row r="65" spans="1:26" ht="12.75">
      <c r="A65" s="42" t="s">
        <v>23</v>
      </c>
      <c r="B65" s="66">
        <v>-0.81440000000000001</v>
      </c>
      <c r="C65" s="66">
        <v>-9.4810000000000005E-2</v>
      </c>
      <c r="D65" s="66">
        <v>-0.70331999999999995</v>
      </c>
      <c r="E65" s="67">
        <v>0.22173999999999999</v>
      </c>
      <c r="G65" s="10"/>
      <c r="H65" s="10"/>
      <c r="I65" s="10"/>
      <c r="J65" s="10"/>
      <c r="K65" s="10"/>
      <c r="L65" s="10"/>
      <c r="M65" s="10"/>
      <c r="N65" s="10"/>
      <c r="O65" s="10"/>
      <c r="P65" s="10"/>
      <c r="Q65" s="10"/>
      <c r="R65" s="10"/>
      <c r="S65" s="10"/>
      <c r="T65" s="10"/>
      <c r="U65" s="10"/>
      <c r="V65" s="10"/>
      <c r="W65" s="10"/>
      <c r="X65" s="10"/>
      <c r="Y65" s="10"/>
      <c r="Z65" s="10"/>
    </row>
    <row r="66" spans="1:26" ht="12.75">
      <c r="A66" s="44" t="s">
        <v>170</v>
      </c>
      <c r="B66" s="68">
        <v>-0.18490000000000001</v>
      </c>
      <c r="C66" s="68">
        <v>1.5900000000000001E-2</v>
      </c>
      <c r="D66" s="68">
        <v>-8.7859999999999994E-2</v>
      </c>
      <c r="E66" s="69">
        <v>7.3179999999999995E-2</v>
      </c>
      <c r="G66" s="10"/>
      <c r="H66" s="10"/>
      <c r="I66" s="10"/>
      <c r="J66" s="10"/>
      <c r="K66" s="10"/>
      <c r="L66" s="10"/>
      <c r="M66" s="10"/>
      <c r="N66" s="10"/>
      <c r="O66" s="10"/>
      <c r="P66" s="10"/>
      <c r="Q66" s="10"/>
      <c r="R66" s="10"/>
      <c r="S66" s="10"/>
      <c r="T66" s="10"/>
      <c r="U66" s="10"/>
      <c r="V66" s="10"/>
      <c r="W66" s="10"/>
      <c r="X66" s="10"/>
      <c r="Y66" s="10"/>
      <c r="Z66" s="10"/>
    </row>
    <row r="67" spans="1:26" ht="12.7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sheetData>
  <hyperlinks>
    <hyperlink ref="C30" r:id="rId1" xr:uid="{00000000-0004-0000-0500-000000000000}"/>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16"/>
  <sheetViews>
    <sheetView topLeftCell="A31" workbookViewId="0">
      <selection activeCell="B9" sqref="B9"/>
    </sheetView>
  </sheetViews>
  <sheetFormatPr defaultColWidth="14.42578125" defaultRowHeight="15" customHeight="1"/>
  <cols>
    <col min="1" max="1" width="36" customWidth="1"/>
    <col min="2" max="3" width="19.85546875" customWidth="1"/>
    <col min="4" max="4" width="18.7109375" customWidth="1"/>
    <col min="5" max="5" width="19.85546875" customWidth="1"/>
  </cols>
  <sheetData>
    <row r="1" spans="1:26" ht="15" customHeight="1">
      <c r="A1" s="70" t="s">
        <v>214</v>
      </c>
      <c r="B1" s="10"/>
      <c r="C1" s="10"/>
      <c r="D1" s="10"/>
      <c r="E1" s="10"/>
      <c r="F1" s="10"/>
      <c r="G1" s="10"/>
      <c r="H1" s="10"/>
      <c r="I1" s="10"/>
      <c r="J1" s="10"/>
      <c r="K1" s="10"/>
      <c r="L1" s="10"/>
      <c r="M1" s="10"/>
      <c r="N1" s="10"/>
      <c r="O1" s="10"/>
      <c r="P1" s="10"/>
      <c r="Q1" s="10"/>
      <c r="R1" s="10"/>
      <c r="S1" s="10"/>
      <c r="T1" s="10"/>
      <c r="U1" s="10"/>
      <c r="V1" s="10"/>
      <c r="W1" s="10"/>
      <c r="X1" s="10"/>
      <c r="Y1" s="10"/>
      <c r="Z1" s="10"/>
    </row>
    <row r="2" spans="1:26" ht="12.75">
      <c r="A2" s="4"/>
      <c r="B2" s="3"/>
      <c r="C2" s="3"/>
      <c r="D2" s="3"/>
      <c r="E2" s="4"/>
      <c r="F2" s="4"/>
      <c r="G2" s="4"/>
      <c r="H2" s="4"/>
      <c r="I2" s="4"/>
      <c r="J2" s="4"/>
      <c r="K2" s="4"/>
      <c r="L2" s="4"/>
      <c r="M2" s="4"/>
      <c r="N2" s="4"/>
      <c r="O2" s="4"/>
      <c r="P2" s="4"/>
      <c r="Q2" s="4"/>
      <c r="R2" s="4"/>
      <c r="S2" s="4"/>
      <c r="T2" s="4"/>
      <c r="U2" s="4"/>
      <c r="V2" s="4"/>
      <c r="W2" s="4"/>
      <c r="X2" s="4"/>
      <c r="Y2" s="4"/>
      <c r="Z2" s="4"/>
    </row>
    <row r="3" spans="1:26" ht="25.5">
      <c r="A3" s="30"/>
      <c r="B3" s="6" t="s">
        <v>215</v>
      </c>
      <c r="C3" s="6" t="s">
        <v>216</v>
      </c>
      <c r="D3" s="6" t="s">
        <v>217</v>
      </c>
      <c r="E3" s="6" t="s">
        <v>218</v>
      </c>
      <c r="F3" s="6" t="s">
        <v>219</v>
      </c>
      <c r="G3" s="71" t="s">
        <v>220</v>
      </c>
      <c r="H3" s="4"/>
      <c r="I3" s="4"/>
      <c r="J3" s="4"/>
      <c r="K3" s="4"/>
      <c r="L3" s="4"/>
      <c r="M3" s="4"/>
      <c r="N3" s="4"/>
      <c r="O3" s="4"/>
      <c r="P3" s="4"/>
      <c r="Q3" s="4"/>
      <c r="R3" s="4"/>
      <c r="S3" s="4"/>
      <c r="T3" s="4"/>
      <c r="U3" s="4"/>
      <c r="V3" s="4"/>
      <c r="W3" s="4"/>
      <c r="X3" s="4"/>
      <c r="Y3" s="4"/>
      <c r="Z3" s="4"/>
    </row>
    <row r="4" spans="1:26" ht="12.75">
      <c r="A4" s="23" t="s">
        <v>18</v>
      </c>
      <c r="B4" s="72">
        <f>B60</f>
        <v>8.2636000000000001E-2</v>
      </c>
      <c r="C4" s="73">
        <f t="shared" ref="C4:C9" si="0">B4/(1-B4)</f>
        <v>9.0079837447294642E-2</v>
      </c>
      <c r="D4" s="74">
        <f ca="1">D60</f>
        <v>326.28571428571399</v>
      </c>
      <c r="E4" s="24">
        <f t="shared" ref="E4:E9" ca="1" si="1">C4*D4</f>
        <v>29.391764104231541</v>
      </c>
      <c r="F4" s="17">
        <f>'Overall estimates'!B7</f>
        <v>1098</v>
      </c>
      <c r="G4" s="75">
        <f t="shared" ref="G4:G9" ca="1" si="2">D4/F4</f>
        <v>0.29716367421285428</v>
      </c>
      <c r="H4" s="4"/>
      <c r="I4" s="4"/>
      <c r="J4" s="4"/>
      <c r="K4" s="4"/>
      <c r="L4" s="4"/>
      <c r="M4" s="4"/>
      <c r="N4" s="4"/>
      <c r="O4" s="4"/>
      <c r="P4" s="4"/>
      <c r="Q4" s="4"/>
      <c r="R4" s="4"/>
      <c r="S4" s="4"/>
      <c r="T4" s="4"/>
      <c r="U4" s="4"/>
      <c r="V4" s="4"/>
      <c r="W4" s="4"/>
      <c r="X4" s="4"/>
      <c r="Y4" s="4"/>
      <c r="Z4" s="4"/>
    </row>
    <row r="5" spans="1:26" ht="12.75">
      <c r="A5" s="23" t="s">
        <v>221</v>
      </c>
      <c r="B5" s="72">
        <f>B16</f>
        <v>0.03</v>
      </c>
      <c r="C5" s="73">
        <f t="shared" si="0"/>
        <v>3.0927835051546393E-2</v>
      </c>
      <c r="D5" s="76">
        <f>B17</f>
        <v>24.5</v>
      </c>
      <c r="E5" s="24">
        <f t="shared" si="1"/>
        <v>0.75773195876288657</v>
      </c>
      <c r="F5" s="17">
        <f>'Overall estimates'!C7</f>
        <v>49</v>
      </c>
      <c r="G5" s="75">
        <f t="shared" si="2"/>
        <v>0.5</v>
      </c>
      <c r="H5" s="4"/>
      <c r="I5" s="4"/>
      <c r="J5" s="4"/>
      <c r="K5" s="4"/>
      <c r="L5" s="4"/>
      <c r="M5" s="4"/>
      <c r="N5" s="4"/>
      <c r="O5" s="4"/>
      <c r="P5" s="4"/>
      <c r="Q5" s="4"/>
      <c r="R5" s="4"/>
      <c r="S5" s="4"/>
      <c r="T5" s="4"/>
      <c r="U5" s="4"/>
      <c r="V5" s="4"/>
      <c r="W5" s="4"/>
      <c r="X5" s="4"/>
      <c r="Y5" s="4"/>
      <c r="Z5" s="4"/>
    </row>
    <row r="6" spans="1:26" ht="12.75">
      <c r="A6" s="23" t="s">
        <v>23</v>
      </c>
      <c r="B6" s="72">
        <f>D69</f>
        <v>8.1783999999999996E-2</v>
      </c>
      <c r="C6" s="73">
        <f t="shared" si="0"/>
        <v>8.9068367355829126E-2</v>
      </c>
      <c r="D6" s="74">
        <f ca="1">E69</f>
        <v>126.15813253012</v>
      </c>
      <c r="E6" s="24">
        <f t="shared" ca="1" si="1"/>
        <v>11.236698893118104</v>
      </c>
      <c r="F6" s="17">
        <f>'Overall estimates'!D7</f>
        <v>2007.5</v>
      </c>
      <c r="G6" s="75">
        <f t="shared" ca="1" si="2"/>
        <v>6.2843403501927769E-2</v>
      </c>
      <c r="H6" s="4"/>
      <c r="I6" s="4"/>
      <c r="J6" s="4"/>
      <c r="K6" s="4"/>
      <c r="L6" s="4"/>
      <c r="M6" s="4"/>
      <c r="N6" s="4"/>
      <c r="O6" s="4"/>
      <c r="P6" s="4"/>
      <c r="Q6" s="4"/>
      <c r="R6" s="4"/>
      <c r="S6" s="4"/>
      <c r="T6" s="4"/>
      <c r="U6" s="4"/>
      <c r="V6" s="4"/>
      <c r="W6" s="4"/>
      <c r="X6" s="4"/>
      <c r="Y6" s="4"/>
      <c r="Z6" s="4"/>
    </row>
    <row r="7" spans="1:26" ht="12.75">
      <c r="A7" s="23" t="s">
        <v>222</v>
      </c>
      <c r="B7" s="72">
        <f>B51</f>
        <v>0.165198172</v>
      </c>
      <c r="C7" s="73">
        <f t="shared" si="0"/>
        <v>0.19788908751646864</v>
      </c>
      <c r="D7" s="74">
        <f ca="1">D51</f>
        <v>40.984195402298802</v>
      </c>
      <c r="E7" s="24">
        <f t="shared" ca="1" si="1"/>
        <v>8.1103250307575596</v>
      </c>
      <c r="F7" s="17">
        <f>'Overall estimates'!I7</f>
        <v>168</v>
      </c>
      <c r="G7" s="75">
        <f t="shared" ca="1" si="2"/>
        <v>0.2439535440613024</v>
      </c>
      <c r="H7" s="4"/>
      <c r="I7" s="4"/>
      <c r="J7" s="4"/>
      <c r="K7" s="4"/>
      <c r="L7" s="4"/>
      <c r="M7" s="4"/>
      <c r="N7" s="4"/>
      <c r="O7" s="4"/>
      <c r="P7" s="4"/>
      <c r="Q7" s="4"/>
      <c r="R7" s="4"/>
      <c r="S7" s="4"/>
      <c r="T7" s="4"/>
      <c r="U7" s="4"/>
      <c r="V7" s="4"/>
      <c r="W7" s="4"/>
      <c r="X7" s="4"/>
      <c r="Y7" s="4"/>
      <c r="Z7" s="4"/>
    </row>
    <row r="8" spans="1:26" ht="12.75">
      <c r="A8" s="23" t="s">
        <v>158</v>
      </c>
      <c r="B8" s="72">
        <f>D28</f>
        <v>7.3548387096774179E-2</v>
      </c>
      <c r="C8" s="73">
        <f t="shared" si="0"/>
        <v>7.9387186629526443E-2</v>
      </c>
      <c r="D8" s="74">
        <f ca="1">E28</f>
        <v>83.263157894736807</v>
      </c>
      <c r="E8" s="24">
        <f t="shared" ca="1" si="1"/>
        <v>6.6100278551531986</v>
      </c>
      <c r="F8" s="17">
        <f>'Overall estimates'!J7</f>
        <v>504</v>
      </c>
      <c r="G8" s="75">
        <f t="shared" ca="1" si="2"/>
        <v>0.16520467836257302</v>
      </c>
      <c r="H8" s="4"/>
      <c r="I8" s="4"/>
      <c r="J8" s="4"/>
      <c r="K8" s="4"/>
      <c r="L8" s="4"/>
      <c r="M8" s="4"/>
      <c r="N8" s="4"/>
      <c r="O8" s="4"/>
      <c r="P8" s="4"/>
      <c r="Q8" s="4"/>
      <c r="R8" s="4"/>
      <c r="S8" s="4"/>
      <c r="T8" s="4"/>
      <c r="U8" s="4"/>
      <c r="V8" s="4"/>
      <c r="W8" s="4"/>
      <c r="X8" s="4"/>
      <c r="Y8" s="4"/>
      <c r="Z8" s="4"/>
    </row>
    <row r="9" spans="1:26" ht="12.75">
      <c r="A9" s="23" t="s">
        <v>29</v>
      </c>
      <c r="B9" s="72">
        <f>B37</f>
        <v>8.2500000000000004E-2</v>
      </c>
      <c r="C9" s="73">
        <f t="shared" si="0"/>
        <v>8.99182561307902E-2</v>
      </c>
      <c r="D9" s="74">
        <f ca="1">C43</f>
        <v>52.589195979899401</v>
      </c>
      <c r="E9" s="24">
        <f t="shared" ca="1" si="1"/>
        <v>4.728728793832917</v>
      </c>
      <c r="F9" s="17">
        <f>'Overall estimates'!K7</f>
        <v>137.25</v>
      </c>
      <c r="G9" s="75">
        <f t="shared" ca="1" si="2"/>
        <v>0.38316354083715409</v>
      </c>
      <c r="H9" s="4"/>
      <c r="I9" s="4"/>
      <c r="J9" s="4"/>
      <c r="K9" s="4"/>
      <c r="L9" s="4"/>
      <c r="M9" s="4"/>
      <c r="N9" s="4"/>
      <c r="O9" s="4"/>
      <c r="P9" s="4"/>
      <c r="Q9" s="4"/>
      <c r="R9" s="4"/>
      <c r="S9" s="4"/>
      <c r="T9" s="4"/>
      <c r="U9" s="4"/>
      <c r="V9" s="4"/>
      <c r="W9" s="4"/>
      <c r="X9" s="4"/>
      <c r="Y9" s="4"/>
      <c r="Z9" s="4"/>
    </row>
    <row r="10" spans="1:26" ht="12.75">
      <c r="A10" s="23" t="s">
        <v>32</v>
      </c>
      <c r="B10" s="18" t="s">
        <v>223</v>
      </c>
      <c r="C10" s="18" t="str">
        <f t="shared" ref="C10:G10" si="3">B10</f>
        <v>Calculated in 'Fish and shellfish calculations' sheet</v>
      </c>
      <c r="D10" s="18" t="str">
        <f t="shared" si="3"/>
        <v>Calculated in 'Fish and shellfish calculations' sheet</v>
      </c>
      <c r="E10" s="18" t="str">
        <f t="shared" si="3"/>
        <v>Calculated in 'Fish and shellfish calculations' sheet</v>
      </c>
      <c r="F10" s="18" t="str">
        <f t="shared" si="3"/>
        <v>Calculated in 'Fish and shellfish calculations' sheet</v>
      </c>
      <c r="G10" s="19" t="str">
        <f t="shared" si="3"/>
        <v>Calculated in 'Fish and shellfish calculations' sheet</v>
      </c>
      <c r="H10" s="4"/>
      <c r="I10" s="4"/>
      <c r="J10" s="4"/>
      <c r="K10" s="4"/>
      <c r="L10" s="4"/>
      <c r="M10" s="4"/>
      <c r="N10" s="4"/>
      <c r="O10" s="4"/>
      <c r="P10" s="4"/>
      <c r="Q10" s="4"/>
      <c r="R10" s="4"/>
      <c r="S10" s="4"/>
      <c r="T10" s="4"/>
      <c r="U10" s="4"/>
      <c r="V10" s="4"/>
      <c r="W10" s="4"/>
      <c r="X10" s="4"/>
      <c r="Y10" s="4"/>
      <c r="Z10" s="4"/>
    </row>
    <row r="11" spans="1:26" ht="12.75">
      <c r="A11" s="20" t="s">
        <v>50</v>
      </c>
      <c r="B11" s="21" t="s">
        <v>223</v>
      </c>
      <c r="C11" s="21" t="str">
        <f t="shared" ref="C11:G11" si="4">B11</f>
        <v>Calculated in 'Fish and shellfish calculations' sheet</v>
      </c>
      <c r="D11" s="21" t="str">
        <f t="shared" si="4"/>
        <v>Calculated in 'Fish and shellfish calculations' sheet</v>
      </c>
      <c r="E11" s="21" t="str">
        <f t="shared" si="4"/>
        <v>Calculated in 'Fish and shellfish calculations' sheet</v>
      </c>
      <c r="F11" s="21" t="str">
        <f t="shared" si="4"/>
        <v>Calculated in 'Fish and shellfish calculations' sheet</v>
      </c>
      <c r="G11" s="22" t="str">
        <f t="shared" si="4"/>
        <v>Calculated in 'Fish and shellfish calculations' sheet</v>
      </c>
      <c r="H11" s="4"/>
      <c r="I11" s="4"/>
      <c r="J11" s="4"/>
      <c r="K11" s="4"/>
      <c r="L11" s="4"/>
      <c r="M11" s="4"/>
      <c r="N11" s="4"/>
      <c r="O11" s="4"/>
      <c r="P11" s="4"/>
      <c r="Q11" s="4"/>
      <c r="R11" s="4"/>
      <c r="S11" s="4"/>
      <c r="T11" s="4"/>
      <c r="U11" s="4"/>
      <c r="V11" s="4"/>
      <c r="W11" s="4"/>
      <c r="X11" s="4"/>
      <c r="Y11" s="4"/>
      <c r="Z11" s="4"/>
    </row>
    <row r="12" spans="1:26" ht="12.7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c r="A13" s="77" t="s">
        <v>224</v>
      </c>
      <c r="B13" s="4"/>
      <c r="C13" s="4"/>
      <c r="D13" s="4"/>
      <c r="E13" s="4"/>
      <c r="F13" s="4"/>
      <c r="G13" s="4"/>
      <c r="H13" s="4"/>
      <c r="I13" s="4"/>
      <c r="J13" s="4"/>
      <c r="K13" s="4"/>
      <c r="L13" s="4"/>
      <c r="M13" s="4"/>
      <c r="N13" s="4"/>
      <c r="O13" s="4"/>
      <c r="P13" s="4"/>
      <c r="Q13" s="4"/>
      <c r="R13" s="4"/>
      <c r="S13" s="4"/>
      <c r="T13" s="4"/>
      <c r="U13" s="4"/>
      <c r="V13" s="4"/>
      <c r="W13" s="4"/>
      <c r="X13" s="4"/>
      <c r="Y13" s="4"/>
      <c r="Z13" s="4"/>
    </row>
    <row r="14" spans="1:26" ht="12.75">
      <c r="A14" s="5"/>
      <c r="B14" s="4"/>
      <c r="C14" s="4"/>
      <c r="D14" s="4"/>
      <c r="E14" s="4"/>
      <c r="F14" s="4"/>
      <c r="G14" s="4"/>
      <c r="H14" s="4"/>
      <c r="I14" s="4"/>
      <c r="J14" s="4"/>
      <c r="K14" s="4"/>
      <c r="L14" s="4"/>
      <c r="M14" s="4"/>
      <c r="N14" s="4"/>
      <c r="O14" s="4"/>
      <c r="P14" s="4"/>
      <c r="Q14" s="4"/>
      <c r="R14" s="4"/>
      <c r="S14" s="4"/>
      <c r="T14" s="4"/>
      <c r="U14" s="4"/>
      <c r="V14" s="4"/>
      <c r="W14" s="4"/>
      <c r="X14" s="4"/>
      <c r="Y14" s="4"/>
      <c r="Z14" s="4"/>
    </row>
    <row r="15" spans="1:26" ht="12.75">
      <c r="A15" s="5" t="s">
        <v>225</v>
      </c>
      <c r="B15" s="4"/>
      <c r="C15" s="4"/>
      <c r="D15" s="4"/>
      <c r="E15" s="4"/>
      <c r="F15" s="4"/>
      <c r="G15" s="4"/>
      <c r="H15" s="4"/>
      <c r="I15" s="4"/>
      <c r="J15" s="4"/>
      <c r="K15" s="4"/>
      <c r="L15" s="4"/>
      <c r="M15" s="4"/>
      <c r="N15" s="4"/>
      <c r="O15" s="4"/>
      <c r="P15" s="4"/>
      <c r="Q15" s="4"/>
      <c r="R15" s="4"/>
      <c r="S15" s="4"/>
      <c r="T15" s="4"/>
      <c r="U15" s="4"/>
      <c r="V15" s="4"/>
      <c r="W15" s="4"/>
      <c r="X15" s="4"/>
      <c r="Y15" s="4"/>
      <c r="Z15" s="4"/>
    </row>
    <row r="16" spans="1:26" ht="12.75">
      <c r="A16" s="4" t="s">
        <v>64</v>
      </c>
      <c r="B16" s="78">
        <f>(2+4)/2/100</f>
        <v>0.03</v>
      </c>
      <c r="C16" s="4"/>
      <c r="D16" s="4"/>
      <c r="E16" s="4"/>
      <c r="F16" s="4"/>
      <c r="G16" s="4"/>
      <c r="H16" s="4"/>
      <c r="I16" s="4"/>
      <c r="J16" s="4"/>
      <c r="K16" s="4"/>
      <c r="L16" s="4"/>
      <c r="M16" s="4"/>
      <c r="N16" s="4"/>
      <c r="O16" s="4"/>
      <c r="P16" s="4"/>
      <c r="Q16" s="4"/>
      <c r="R16" s="4"/>
      <c r="S16" s="4"/>
      <c r="T16" s="4"/>
      <c r="U16" s="4"/>
      <c r="V16" s="4"/>
      <c r="W16" s="4"/>
      <c r="X16" s="4"/>
      <c r="Y16" s="4"/>
      <c r="Z16" s="4"/>
    </row>
    <row r="17" spans="1:26" ht="12.75">
      <c r="A17" s="4" t="s">
        <v>226</v>
      </c>
      <c r="B17" s="4">
        <f>49/2</f>
        <v>24.5</v>
      </c>
      <c r="C17" s="4"/>
      <c r="D17" s="4"/>
      <c r="E17" s="4"/>
      <c r="F17" s="4"/>
      <c r="G17" s="4"/>
      <c r="H17" s="4"/>
      <c r="I17" s="4"/>
      <c r="J17" s="4"/>
      <c r="K17" s="4"/>
      <c r="L17" s="4"/>
      <c r="M17" s="4"/>
      <c r="N17" s="4"/>
      <c r="O17" s="4"/>
      <c r="P17" s="4"/>
      <c r="Q17" s="4"/>
      <c r="R17" s="4"/>
      <c r="S17" s="4"/>
      <c r="T17" s="4"/>
      <c r="U17" s="4"/>
      <c r="V17" s="4"/>
      <c r="W17" s="4"/>
      <c r="X17" s="4"/>
      <c r="Y17" s="4"/>
      <c r="Z17" s="4"/>
    </row>
    <row r="18" spans="1:26" ht="12.75">
      <c r="A18" s="4" t="s">
        <v>227</v>
      </c>
      <c r="B18" s="4"/>
      <c r="C18" s="4"/>
      <c r="D18" s="4"/>
      <c r="E18" s="4"/>
      <c r="F18" s="4"/>
      <c r="G18" s="4"/>
      <c r="H18" s="4"/>
      <c r="I18" s="4"/>
      <c r="J18" s="4"/>
      <c r="K18" s="4"/>
      <c r="L18" s="4"/>
      <c r="M18" s="4"/>
      <c r="N18" s="4"/>
      <c r="O18" s="4"/>
      <c r="P18" s="4"/>
      <c r="Q18" s="4"/>
      <c r="R18" s="4"/>
      <c r="S18" s="4"/>
      <c r="T18" s="4"/>
      <c r="U18" s="4"/>
      <c r="V18" s="4"/>
      <c r="W18" s="4"/>
      <c r="X18" s="4"/>
      <c r="Y18" s="4"/>
      <c r="Z18" s="4"/>
    </row>
    <row r="19" spans="1:26" ht="12.75">
      <c r="A19" s="79" t="s">
        <v>228</v>
      </c>
      <c r="B19" s="4"/>
      <c r="C19" s="4"/>
      <c r="D19" s="4"/>
      <c r="E19" s="4"/>
      <c r="F19" s="4"/>
      <c r="G19" s="4"/>
      <c r="H19" s="4"/>
      <c r="I19" s="4"/>
      <c r="J19" s="4"/>
      <c r="K19" s="4"/>
      <c r="L19" s="4"/>
      <c r="M19" s="4"/>
      <c r="N19" s="4"/>
      <c r="O19" s="4"/>
      <c r="P19" s="4"/>
      <c r="Q19" s="4"/>
      <c r="R19" s="4"/>
      <c r="S19" s="4"/>
      <c r="T19" s="4"/>
      <c r="U19" s="4"/>
      <c r="V19" s="4"/>
      <c r="W19" s="4"/>
      <c r="X19" s="4"/>
      <c r="Y19" s="4"/>
      <c r="Z19" s="4"/>
    </row>
    <row r="20" spans="1:26" ht="12.75">
      <c r="A20" s="80" t="s">
        <v>229</v>
      </c>
      <c r="B20" s="4"/>
      <c r="C20" s="4"/>
      <c r="D20" s="4"/>
      <c r="E20" s="4"/>
      <c r="F20" s="4"/>
      <c r="G20" s="4"/>
      <c r="H20" s="4"/>
      <c r="I20" s="4"/>
      <c r="J20" s="4"/>
      <c r="K20" s="4"/>
      <c r="L20" s="4"/>
      <c r="M20" s="4"/>
      <c r="N20" s="4"/>
      <c r="O20" s="4"/>
      <c r="P20" s="4"/>
      <c r="Q20" s="4"/>
      <c r="R20" s="4"/>
      <c r="S20" s="4"/>
      <c r="T20" s="4"/>
      <c r="U20" s="4"/>
      <c r="V20" s="4"/>
      <c r="W20" s="4"/>
      <c r="X20" s="4"/>
      <c r="Y20" s="4"/>
      <c r="Z20" s="4"/>
    </row>
    <row r="21" spans="1:26" ht="12.75">
      <c r="A21" s="5"/>
      <c r="B21" s="4"/>
      <c r="C21" s="4"/>
      <c r="D21" s="4"/>
      <c r="E21" s="4"/>
      <c r="F21" s="4"/>
      <c r="G21" s="4"/>
      <c r="H21" s="4"/>
      <c r="I21" s="4"/>
      <c r="J21" s="4"/>
      <c r="K21" s="4"/>
      <c r="L21" s="4"/>
      <c r="M21" s="4"/>
      <c r="N21" s="4"/>
      <c r="O21" s="4"/>
      <c r="P21" s="4"/>
      <c r="Q21" s="4"/>
      <c r="R21" s="4"/>
      <c r="S21" s="4"/>
      <c r="T21" s="4"/>
      <c r="U21" s="4"/>
      <c r="V21" s="4"/>
      <c r="W21" s="4"/>
      <c r="X21" s="4"/>
      <c r="Y21" s="4"/>
      <c r="Z21" s="4"/>
    </row>
    <row r="22" spans="1:26" ht="12.75">
      <c r="A22" s="5" t="s">
        <v>230</v>
      </c>
      <c r="B22" s="4"/>
      <c r="C22" s="4"/>
      <c r="D22" s="4"/>
      <c r="E22" s="4"/>
      <c r="F22" s="4"/>
      <c r="G22" s="4"/>
      <c r="H22" s="4"/>
      <c r="I22" s="4"/>
      <c r="J22" s="4"/>
      <c r="K22" s="4"/>
      <c r="L22" s="4"/>
      <c r="M22" s="4"/>
      <c r="N22" s="4"/>
      <c r="O22" s="4"/>
      <c r="P22" s="4"/>
      <c r="Q22" s="4"/>
      <c r="R22" s="4"/>
      <c r="S22" s="4"/>
      <c r="T22" s="4"/>
      <c r="U22" s="4"/>
      <c r="V22" s="4"/>
      <c r="W22" s="4"/>
      <c r="X22" s="4"/>
      <c r="Y22" s="4"/>
      <c r="Z22" s="4"/>
    </row>
    <row r="23" spans="1:26" ht="25.5">
      <c r="B23" s="3" t="s">
        <v>231</v>
      </c>
      <c r="C23" s="3" t="s">
        <v>232</v>
      </c>
      <c r="D23" s="3" t="s">
        <v>233</v>
      </c>
      <c r="E23" s="3" t="s">
        <v>234</v>
      </c>
      <c r="F23" s="4"/>
      <c r="G23" s="4"/>
      <c r="H23" s="4"/>
      <c r="I23" s="4"/>
      <c r="J23" s="4"/>
      <c r="K23" s="4"/>
      <c r="L23" s="4"/>
      <c r="M23" s="4"/>
      <c r="N23" s="4"/>
      <c r="O23" s="4"/>
      <c r="P23" s="4"/>
      <c r="Q23" s="4"/>
      <c r="R23" s="4"/>
      <c r="S23" s="4"/>
      <c r="T23" s="4"/>
      <c r="U23" s="4"/>
      <c r="V23" s="4"/>
      <c r="W23" s="4"/>
      <c r="X23" s="4"/>
      <c r="Y23" s="4"/>
      <c r="Z23" s="4"/>
    </row>
    <row r="24" spans="1:26" ht="12.75">
      <c r="A24" s="4" t="s">
        <v>235</v>
      </c>
      <c r="B24" s="81">
        <v>0.04</v>
      </c>
      <c r="C24" s="82">
        <f t="shared" ref="C24:C26" si="5">B24/($B$24+$B$25+$B$26)</f>
        <v>0.12903225806451613</v>
      </c>
      <c r="D24" s="82">
        <f t="shared" ref="D24:D25" si="6">B24</f>
        <v>0.04</v>
      </c>
      <c r="E24" s="83">
        <f>(8*7)/2</f>
        <v>28</v>
      </c>
      <c r="F24" s="4"/>
      <c r="G24" s="4"/>
      <c r="H24" s="4"/>
      <c r="I24" s="4"/>
      <c r="J24" s="4"/>
      <c r="K24" s="4"/>
      <c r="L24" s="4"/>
      <c r="M24" s="4"/>
      <c r="N24" s="4"/>
      <c r="O24" s="4"/>
      <c r="P24" s="4"/>
      <c r="Q24" s="4"/>
      <c r="R24" s="4"/>
      <c r="S24" s="4"/>
      <c r="T24" s="4"/>
      <c r="U24" s="4"/>
      <c r="V24" s="4"/>
      <c r="W24" s="4"/>
      <c r="X24" s="4"/>
      <c r="Y24" s="4"/>
      <c r="Z24" s="4"/>
    </row>
    <row r="25" spans="1:26" ht="12.75">
      <c r="A25" s="4" t="s">
        <v>236</v>
      </c>
      <c r="B25" s="81">
        <v>0.15</v>
      </c>
      <c r="C25" s="82">
        <f t="shared" si="5"/>
        <v>0.48387096774193544</v>
      </c>
      <c r="D25" s="82">
        <f t="shared" si="6"/>
        <v>0.15</v>
      </c>
      <c r="E25" s="83">
        <f>((8+20)*7)/2</f>
        <v>98</v>
      </c>
      <c r="F25" s="4"/>
      <c r="G25" s="4"/>
      <c r="H25" s="4"/>
      <c r="I25" s="4"/>
      <c r="J25" s="4"/>
      <c r="K25" s="4"/>
      <c r="L25" s="4"/>
      <c r="M25" s="4"/>
      <c r="N25" s="4"/>
      <c r="O25" s="4"/>
      <c r="P25" s="4"/>
      <c r="Q25" s="4"/>
      <c r="R25" s="4"/>
      <c r="S25" s="4"/>
      <c r="T25" s="4"/>
      <c r="U25" s="4"/>
      <c r="V25" s="4"/>
      <c r="W25" s="4"/>
      <c r="X25" s="4"/>
      <c r="Y25" s="4"/>
      <c r="Z25" s="4"/>
    </row>
    <row r="26" spans="1:26" ht="12.75">
      <c r="A26" s="4" t="s">
        <v>237</v>
      </c>
      <c r="B26" s="81">
        <v>0.12</v>
      </c>
      <c r="C26" s="82">
        <f t="shared" si="5"/>
        <v>0.38709677419354838</v>
      </c>
      <c r="D26" s="82">
        <v>0</v>
      </c>
      <c r="E26" s="83">
        <f>(20+72)*7/2</f>
        <v>322</v>
      </c>
      <c r="F26" s="4"/>
      <c r="G26" s="4"/>
      <c r="H26" s="4"/>
      <c r="I26" s="4"/>
      <c r="J26" s="4"/>
      <c r="K26" s="4"/>
      <c r="L26" s="4"/>
      <c r="M26" s="4"/>
      <c r="N26" s="4"/>
      <c r="O26" s="4"/>
      <c r="P26" s="4"/>
      <c r="Q26" s="4"/>
      <c r="R26" s="4"/>
      <c r="S26" s="4"/>
      <c r="T26" s="4"/>
      <c r="U26" s="4"/>
      <c r="V26" s="4"/>
      <c r="W26" s="4"/>
      <c r="X26" s="4"/>
      <c r="Y26" s="4"/>
      <c r="Z26" s="4"/>
    </row>
    <row r="27" spans="1:26" ht="12.75">
      <c r="A27" s="4" t="s">
        <v>238</v>
      </c>
      <c r="B27" s="81">
        <f>(10+14)/2/100</f>
        <v>0.12</v>
      </c>
      <c r="E27" s="84">
        <f ca="1">IFERROR(__xludf.DUMMYFUNCTION("AVERAGE.WEIGHTED(E24:E26,B24:B26)"),175.677419354838)</f>
        <v>175.67741935483801</v>
      </c>
      <c r="F27" s="4"/>
      <c r="G27" s="4"/>
      <c r="H27" s="4"/>
      <c r="I27" s="4"/>
      <c r="J27" s="4"/>
      <c r="K27" s="4"/>
      <c r="L27" s="4"/>
      <c r="M27" s="4"/>
      <c r="N27" s="4"/>
      <c r="O27" s="4"/>
      <c r="P27" s="4"/>
      <c r="Q27" s="4"/>
      <c r="R27" s="4"/>
      <c r="S27" s="4"/>
      <c r="T27" s="4"/>
      <c r="U27" s="4"/>
      <c r="V27" s="4"/>
      <c r="W27" s="4"/>
      <c r="X27" s="4"/>
      <c r="Y27" s="4"/>
      <c r="Z27" s="4"/>
    </row>
    <row r="28" spans="1:26" ht="12.75">
      <c r="A28" s="4" t="s">
        <v>239</v>
      </c>
      <c r="B28" s="4"/>
      <c r="C28" s="4"/>
      <c r="D28" s="85">
        <f>(C24+C25)*B27</f>
        <v>7.3548387096774179E-2</v>
      </c>
      <c r="E28" s="84">
        <f ca="1">IFERROR(__xludf.DUMMYFUNCTION("AVERAGE.WEIGHTED(E24:E26,D24:D26)"),83.2631578947368)</f>
        <v>83.263157894736807</v>
      </c>
      <c r="F28" s="4"/>
      <c r="G28" s="4"/>
      <c r="H28" s="4"/>
      <c r="I28" s="4"/>
      <c r="J28" s="4"/>
      <c r="K28" s="4"/>
      <c r="L28" s="4"/>
      <c r="M28" s="4"/>
      <c r="N28" s="4"/>
      <c r="O28" s="4"/>
      <c r="P28" s="4"/>
      <c r="Q28" s="4"/>
      <c r="R28" s="4"/>
      <c r="S28" s="4"/>
      <c r="T28" s="4"/>
      <c r="U28" s="4"/>
      <c r="V28" s="4"/>
      <c r="W28" s="4"/>
      <c r="X28" s="4"/>
      <c r="Y28" s="4"/>
      <c r="Z28" s="4"/>
    </row>
    <row r="29" spans="1:26" ht="12.75">
      <c r="A29" s="4" t="s">
        <v>227</v>
      </c>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 r="A30" s="86" t="s">
        <v>240</v>
      </c>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 r="A31" s="86" t="s">
        <v>241</v>
      </c>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86" t="s">
        <v>242</v>
      </c>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5" t="s">
        <v>243</v>
      </c>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t="s">
        <v>244</v>
      </c>
      <c r="B35" s="83" t="s">
        <v>245</v>
      </c>
      <c r="C35" s="4"/>
      <c r="D35" s="4"/>
      <c r="E35" s="4"/>
      <c r="F35" s="4"/>
      <c r="G35" s="4"/>
      <c r="H35" s="4"/>
      <c r="I35" s="4"/>
      <c r="J35" s="4"/>
      <c r="K35" s="4"/>
      <c r="L35" s="4"/>
      <c r="M35" s="4"/>
      <c r="N35" s="4"/>
      <c r="O35" s="4"/>
      <c r="P35" s="4"/>
      <c r="Q35" s="4"/>
      <c r="R35" s="4"/>
      <c r="S35" s="4"/>
      <c r="T35" s="4"/>
      <c r="U35" s="4"/>
      <c r="V35" s="4"/>
      <c r="W35" s="4"/>
      <c r="X35" s="4"/>
      <c r="Y35" s="4"/>
      <c r="Z35" s="4"/>
    </row>
    <row r="36" spans="1:26" ht="12.75">
      <c r="A36" s="4" t="s">
        <v>246</v>
      </c>
      <c r="B36" s="83" t="s">
        <v>247</v>
      </c>
      <c r="C36" s="4"/>
      <c r="D36" s="4"/>
      <c r="E36" s="4"/>
      <c r="F36" s="4"/>
      <c r="G36" s="4"/>
      <c r="H36" s="4"/>
      <c r="I36" s="4"/>
      <c r="J36" s="4"/>
      <c r="K36" s="4"/>
      <c r="L36" s="4"/>
      <c r="M36" s="4"/>
      <c r="N36" s="4"/>
      <c r="O36" s="4"/>
      <c r="P36" s="4"/>
      <c r="Q36" s="4"/>
      <c r="R36" s="4"/>
      <c r="S36" s="4"/>
      <c r="T36" s="4"/>
      <c r="U36" s="4"/>
      <c r="V36" s="4"/>
      <c r="W36" s="4"/>
      <c r="X36" s="4"/>
      <c r="Y36" s="4"/>
      <c r="Z36" s="4"/>
    </row>
    <row r="37" spans="1:26" ht="12.75">
      <c r="A37" s="4" t="s">
        <v>248</v>
      </c>
      <c r="B37" s="78">
        <f>(5.5+11)/2/100</f>
        <v>8.2500000000000004E-2</v>
      </c>
      <c r="C37" s="4"/>
      <c r="D37" s="4"/>
      <c r="E37" s="4"/>
      <c r="F37" s="4"/>
      <c r="G37" s="4"/>
      <c r="H37" s="4"/>
      <c r="I37" s="4"/>
      <c r="J37" s="4"/>
      <c r="K37" s="4"/>
      <c r="L37" s="4"/>
      <c r="M37" s="4"/>
      <c r="N37" s="4"/>
      <c r="O37" s="4"/>
      <c r="P37" s="4"/>
      <c r="Q37" s="4"/>
      <c r="R37" s="4"/>
      <c r="S37" s="4"/>
      <c r="T37" s="4"/>
      <c r="U37" s="4"/>
      <c r="V37" s="4"/>
      <c r="W37" s="4"/>
      <c r="X37" s="4"/>
      <c r="Y37" s="4"/>
      <c r="Z37" s="4"/>
    </row>
    <row r="38" spans="1:26" ht="12.75">
      <c r="A38" s="87" t="s">
        <v>249</v>
      </c>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25.5">
      <c r="A40" s="4"/>
      <c r="B40" s="3" t="s">
        <v>64</v>
      </c>
      <c r="C40" s="3" t="s">
        <v>234</v>
      </c>
      <c r="D40" s="4"/>
      <c r="E40" s="4"/>
      <c r="F40" s="4"/>
      <c r="G40" s="4"/>
      <c r="H40" s="4"/>
      <c r="I40" s="4"/>
      <c r="J40" s="4"/>
      <c r="K40" s="4"/>
      <c r="L40" s="4"/>
      <c r="M40" s="4"/>
      <c r="N40" s="4"/>
      <c r="O40" s="4"/>
      <c r="P40" s="4"/>
      <c r="Q40" s="4"/>
      <c r="R40" s="4"/>
      <c r="S40" s="4"/>
      <c r="T40" s="4"/>
      <c r="U40" s="4"/>
      <c r="V40" s="4"/>
      <c r="W40" s="4"/>
      <c r="X40" s="4"/>
      <c r="Y40" s="4"/>
      <c r="Z40" s="4"/>
    </row>
    <row r="41" spans="1:26" ht="12.75">
      <c r="A41" s="4" t="s">
        <v>250</v>
      </c>
      <c r="B41" s="81">
        <v>0.02</v>
      </c>
      <c r="C41" s="83">
        <f>7/2</f>
        <v>3.5</v>
      </c>
      <c r="D41" s="4"/>
      <c r="E41" s="4"/>
      <c r="F41" s="4"/>
      <c r="G41" s="4"/>
      <c r="H41" s="4"/>
      <c r="I41" s="4"/>
      <c r="J41" s="4"/>
      <c r="K41" s="4"/>
      <c r="L41" s="4"/>
      <c r="M41" s="4"/>
      <c r="N41" s="4"/>
      <c r="O41" s="4"/>
      <c r="P41" s="4"/>
      <c r="Q41" s="4"/>
      <c r="R41" s="4"/>
      <c r="S41" s="4"/>
      <c r="T41" s="4"/>
      <c r="U41" s="4"/>
      <c r="V41" s="4"/>
      <c r="W41" s="4"/>
      <c r="X41" s="4"/>
      <c r="Y41" s="4"/>
      <c r="Z41" s="4"/>
    </row>
    <row r="42" spans="1:26" ht="12.75">
      <c r="A42" s="4" t="s">
        <v>251</v>
      </c>
      <c r="B42" s="88">
        <f>60/980</f>
        <v>6.1224489795918366E-2</v>
      </c>
      <c r="C42" s="84">
        <f>(4.5*30.5)/2</f>
        <v>68.625</v>
      </c>
      <c r="D42" s="4"/>
      <c r="E42" s="4"/>
      <c r="F42" s="4"/>
      <c r="G42" s="4"/>
      <c r="H42" s="4"/>
      <c r="I42" s="4"/>
      <c r="J42" s="4"/>
      <c r="K42" s="4"/>
      <c r="L42" s="4"/>
      <c r="M42" s="4"/>
      <c r="N42" s="4"/>
      <c r="O42" s="4"/>
      <c r="P42" s="4"/>
      <c r="Q42" s="4"/>
      <c r="R42" s="4"/>
      <c r="S42" s="4"/>
      <c r="T42" s="4"/>
      <c r="U42" s="4"/>
      <c r="V42" s="4"/>
      <c r="W42" s="4"/>
      <c r="X42" s="4"/>
      <c r="Y42" s="4"/>
      <c r="Z42" s="4"/>
    </row>
    <row r="43" spans="1:26" ht="12.75">
      <c r="A43" s="4" t="s">
        <v>252</v>
      </c>
      <c r="B43" s="4"/>
      <c r="C43" s="84">
        <f ca="1">IFERROR(__xludf.DUMMYFUNCTION("AVERAGE.WEIGHTED(C41:C42,B41:B42)"),52.5891959798994)</f>
        <v>52.589195979899401</v>
      </c>
      <c r="D43" s="4"/>
      <c r="E43" s="4"/>
      <c r="F43" s="4"/>
      <c r="G43" s="4"/>
      <c r="H43" s="4"/>
      <c r="I43" s="4"/>
      <c r="J43" s="4"/>
      <c r="K43" s="4"/>
      <c r="L43" s="4"/>
      <c r="M43" s="4"/>
      <c r="N43" s="4"/>
      <c r="O43" s="4"/>
      <c r="P43" s="4"/>
      <c r="Q43" s="4"/>
      <c r="R43" s="4"/>
      <c r="S43" s="4"/>
      <c r="T43" s="4"/>
      <c r="U43" s="4"/>
      <c r="V43" s="4"/>
      <c r="W43" s="4"/>
      <c r="X43" s="4"/>
      <c r="Y43" s="4"/>
      <c r="Z43" s="4"/>
    </row>
    <row r="44" spans="1:26" ht="12.75">
      <c r="A44" s="87" t="s">
        <v>253</v>
      </c>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5" t="s">
        <v>222</v>
      </c>
      <c r="B46" s="4"/>
      <c r="C46" s="4"/>
      <c r="D46" s="4"/>
      <c r="E46" s="4"/>
      <c r="F46" s="4"/>
      <c r="G46" s="4"/>
      <c r="H46" s="4"/>
      <c r="I46" s="4"/>
      <c r="J46" s="4"/>
      <c r="K46" s="4"/>
      <c r="L46" s="4"/>
      <c r="M46" s="4"/>
      <c r="N46" s="4"/>
      <c r="O46" s="4"/>
      <c r="P46" s="4"/>
      <c r="Q46" s="4"/>
      <c r="R46" s="4"/>
      <c r="S46" s="4"/>
      <c r="T46" s="4"/>
      <c r="U46" s="4"/>
      <c r="V46" s="4"/>
      <c r="W46" s="4"/>
      <c r="X46" s="4"/>
      <c r="Y46" s="4"/>
      <c r="Z46" s="4"/>
    </row>
    <row r="47" spans="1:26" ht="25.5">
      <c r="A47" s="4"/>
      <c r="B47" s="3" t="s">
        <v>64</v>
      </c>
      <c r="C47" s="3" t="s">
        <v>254</v>
      </c>
      <c r="D47" s="3" t="s">
        <v>234</v>
      </c>
      <c r="G47" s="4"/>
      <c r="H47" s="4"/>
      <c r="I47" s="4"/>
      <c r="J47" s="4"/>
      <c r="K47" s="4"/>
      <c r="L47" s="4"/>
      <c r="M47" s="4"/>
      <c r="N47" s="4"/>
      <c r="O47" s="4"/>
      <c r="P47" s="4"/>
      <c r="Q47" s="4"/>
      <c r="R47" s="4"/>
      <c r="S47" s="4"/>
      <c r="T47" s="4"/>
      <c r="U47" s="4"/>
      <c r="V47" s="4"/>
      <c r="W47" s="4"/>
      <c r="X47" s="4"/>
      <c r="Y47" s="4"/>
      <c r="Z47" s="4"/>
    </row>
    <row r="48" spans="1:26" ht="12.75">
      <c r="A48" s="4" t="s">
        <v>255</v>
      </c>
      <c r="B48" s="88">
        <v>9.7000000000000003E-2</v>
      </c>
      <c r="C48" s="89">
        <f>B48*1000</f>
        <v>97</v>
      </c>
      <c r="D48" s="84">
        <f>(3/2)*7</f>
        <v>10.5</v>
      </c>
      <c r="G48" s="4"/>
      <c r="H48" s="4"/>
      <c r="I48" s="4"/>
      <c r="J48" s="4"/>
      <c r="K48" s="4"/>
      <c r="L48" s="4"/>
      <c r="M48" s="4"/>
      <c r="N48" s="4"/>
      <c r="O48" s="4"/>
      <c r="P48" s="4"/>
      <c r="Q48" s="4"/>
      <c r="R48" s="4"/>
      <c r="S48" s="4"/>
      <c r="T48" s="4"/>
      <c r="U48" s="4"/>
      <c r="V48" s="4"/>
      <c r="W48" s="4"/>
      <c r="X48" s="4"/>
      <c r="Y48" s="4"/>
      <c r="Z48" s="4"/>
    </row>
    <row r="49" spans="1:26" ht="12.75">
      <c r="A49" s="4" t="s">
        <v>256</v>
      </c>
      <c r="B49" s="88">
        <v>3.5999999999999997E-2</v>
      </c>
      <c r="C49" s="89">
        <f>B49*(1000-C48)</f>
        <v>32.507999999999996</v>
      </c>
      <c r="D49" s="84">
        <f>((3+8.5)/2)*7</f>
        <v>40.25</v>
      </c>
      <c r="G49" s="4"/>
      <c r="H49" s="4"/>
      <c r="I49" s="4"/>
      <c r="J49" s="4"/>
      <c r="K49" s="4"/>
      <c r="L49" s="4"/>
      <c r="M49" s="4"/>
      <c r="N49" s="4"/>
      <c r="O49" s="4"/>
      <c r="P49" s="4"/>
      <c r="Q49" s="4"/>
      <c r="R49" s="4"/>
      <c r="S49" s="4"/>
      <c r="T49" s="4"/>
      <c r="U49" s="4"/>
      <c r="V49" s="4"/>
      <c r="W49" s="4"/>
      <c r="X49" s="4"/>
      <c r="Y49" s="4"/>
      <c r="Z49" s="4"/>
    </row>
    <row r="50" spans="1:26" ht="12.75">
      <c r="A50" s="4" t="s">
        <v>257</v>
      </c>
      <c r="B50" s="88">
        <v>4.1000000000000002E-2</v>
      </c>
      <c r="C50" s="89">
        <f>B50*(1000-C49-C48)</f>
        <v>35.690171999999997</v>
      </c>
      <c r="D50" s="84">
        <f>((8.5+24)/2)*7</f>
        <v>113.75</v>
      </c>
      <c r="G50" s="4"/>
      <c r="H50" s="4"/>
      <c r="I50" s="4"/>
      <c r="J50" s="4"/>
      <c r="K50" s="4"/>
      <c r="L50" s="4"/>
      <c r="M50" s="4"/>
      <c r="N50" s="4"/>
      <c r="O50" s="4"/>
      <c r="P50" s="4"/>
      <c r="Q50" s="4"/>
      <c r="R50" s="4"/>
      <c r="S50" s="4"/>
      <c r="T50" s="4"/>
      <c r="U50" s="4"/>
      <c r="V50" s="4"/>
      <c r="W50" s="4"/>
      <c r="X50" s="4"/>
      <c r="Y50" s="4"/>
      <c r="Z50" s="4"/>
    </row>
    <row r="51" spans="1:26" ht="12.75">
      <c r="A51" s="4" t="s">
        <v>258</v>
      </c>
      <c r="B51" s="85">
        <f>(C50+C49+C48)/1000</f>
        <v>0.165198172</v>
      </c>
      <c r="D51" s="84">
        <f ca="1">IFERROR(__xludf.DUMMYFUNCTION("AVERAGE.WEIGHTED(D48:D50,B48:B50)"),40.9841954022988)</f>
        <v>40.984195402298802</v>
      </c>
      <c r="G51" s="4"/>
      <c r="H51" s="4"/>
      <c r="I51" s="4"/>
      <c r="J51" s="4"/>
      <c r="K51" s="4"/>
      <c r="L51" s="4"/>
      <c r="M51" s="4"/>
      <c r="N51" s="4"/>
      <c r="O51" s="4"/>
      <c r="P51" s="4"/>
      <c r="Q51" s="4"/>
      <c r="R51" s="4"/>
      <c r="S51" s="4"/>
      <c r="T51" s="4"/>
      <c r="U51" s="4"/>
      <c r="V51" s="4"/>
      <c r="W51" s="4"/>
      <c r="X51" s="4"/>
      <c r="Y51" s="4"/>
      <c r="Z51" s="4"/>
    </row>
    <row r="52" spans="1:26" ht="12.75">
      <c r="A52" s="4" t="s">
        <v>227</v>
      </c>
      <c r="B52" s="4"/>
      <c r="C52" s="4"/>
      <c r="D52" s="4"/>
      <c r="G52" s="4"/>
      <c r="H52" s="4"/>
      <c r="I52" s="4"/>
      <c r="J52" s="4"/>
      <c r="K52" s="4"/>
      <c r="L52" s="4"/>
      <c r="M52" s="4"/>
      <c r="N52" s="4"/>
      <c r="O52" s="4"/>
      <c r="P52" s="4"/>
      <c r="Q52" s="4"/>
      <c r="R52" s="4"/>
      <c r="S52" s="4"/>
      <c r="T52" s="4"/>
      <c r="U52" s="4"/>
      <c r="V52" s="4"/>
      <c r="W52" s="4"/>
      <c r="X52" s="4"/>
      <c r="Y52" s="4"/>
      <c r="Z52" s="4"/>
    </row>
    <row r="53" spans="1:26" ht="12.75">
      <c r="A53" s="86" t="s">
        <v>259</v>
      </c>
      <c r="B53" s="4"/>
      <c r="C53" s="4"/>
      <c r="D53" s="4"/>
      <c r="G53" s="4"/>
      <c r="H53" s="4"/>
      <c r="I53" s="4"/>
      <c r="J53" s="4"/>
      <c r="K53" s="4"/>
      <c r="L53" s="4"/>
      <c r="M53" s="4"/>
      <c r="N53" s="4"/>
      <c r="O53" s="4"/>
      <c r="P53" s="4"/>
      <c r="Q53" s="4"/>
      <c r="R53" s="4"/>
      <c r="S53" s="4"/>
      <c r="T53" s="4"/>
      <c r="U53" s="4"/>
      <c r="V53" s="4"/>
      <c r="W53" s="4"/>
      <c r="X53" s="4"/>
      <c r="Y53" s="4"/>
      <c r="Z53" s="4"/>
    </row>
    <row r="54" spans="1:26" ht="12.75">
      <c r="A54" s="90" t="s">
        <v>242</v>
      </c>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5" t="s">
        <v>18</v>
      </c>
      <c r="B56" s="4"/>
      <c r="C56" s="4"/>
      <c r="D56" s="4"/>
      <c r="E56" s="4"/>
      <c r="F56" s="4"/>
      <c r="G56" s="4"/>
      <c r="H56" s="4"/>
      <c r="I56" s="4"/>
      <c r="J56" s="4"/>
      <c r="K56" s="4"/>
      <c r="L56" s="4"/>
      <c r="M56" s="4"/>
      <c r="N56" s="4"/>
      <c r="O56" s="4"/>
      <c r="P56" s="4"/>
      <c r="Q56" s="4"/>
      <c r="R56" s="4"/>
      <c r="S56" s="4"/>
      <c r="T56" s="4"/>
      <c r="U56" s="4"/>
      <c r="V56" s="4"/>
      <c r="W56" s="4"/>
      <c r="X56" s="4"/>
      <c r="Y56" s="4"/>
      <c r="Z56" s="4"/>
    </row>
    <row r="57" spans="1:26" ht="25.5">
      <c r="A57" s="4"/>
      <c r="B57" s="3" t="s">
        <v>64</v>
      </c>
      <c r="C57" s="3" t="s">
        <v>254</v>
      </c>
      <c r="D57" s="3" t="s">
        <v>234</v>
      </c>
      <c r="E57" s="4"/>
      <c r="F57" s="4"/>
      <c r="G57" s="4"/>
      <c r="H57" s="4"/>
      <c r="I57" s="4"/>
      <c r="J57" s="4"/>
      <c r="K57" s="4"/>
      <c r="L57" s="4"/>
      <c r="M57" s="4"/>
      <c r="N57" s="4"/>
      <c r="O57" s="4"/>
      <c r="P57" s="4"/>
      <c r="Q57" s="4"/>
      <c r="R57" s="4"/>
      <c r="S57" s="4"/>
      <c r="T57" s="4"/>
      <c r="U57" s="4"/>
      <c r="V57" s="4"/>
      <c r="W57" s="4"/>
      <c r="X57" s="4"/>
      <c r="Y57" s="4"/>
      <c r="Z57" s="4"/>
    </row>
    <row r="58" spans="1:26" ht="12.75">
      <c r="A58" s="4" t="s">
        <v>260</v>
      </c>
      <c r="B58" s="88">
        <v>6.2E-2</v>
      </c>
      <c r="C58" s="83">
        <f>B58*1000</f>
        <v>62</v>
      </c>
      <c r="D58" s="83">
        <f>365/2</f>
        <v>182.5</v>
      </c>
      <c r="E58" s="4"/>
      <c r="F58" s="4"/>
      <c r="G58" s="4"/>
      <c r="H58" s="4"/>
      <c r="I58" s="4"/>
      <c r="J58" s="4"/>
      <c r="K58" s="4"/>
      <c r="L58" s="4"/>
      <c r="M58" s="4"/>
      <c r="N58" s="4"/>
      <c r="O58" s="4"/>
      <c r="P58" s="4"/>
      <c r="Q58" s="4"/>
      <c r="R58" s="4"/>
      <c r="S58" s="4"/>
      <c r="T58" s="4"/>
      <c r="U58" s="4"/>
      <c r="V58" s="4"/>
      <c r="W58" s="4"/>
      <c r="X58" s="4"/>
      <c r="Y58" s="4"/>
      <c r="Z58" s="4"/>
    </row>
    <row r="59" spans="1:26" ht="12.75">
      <c r="A59" s="4" t="s">
        <v>261</v>
      </c>
      <c r="B59" s="88">
        <v>2.1999999999999999E-2</v>
      </c>
      <c r="C59" s="91">
        <f>B59*(1000-C58)</f>
        <v>20.635999999999999</v>
      </c>
      <c r="D59" s="83">
        <f>(1098+365)/2</f>
        <v>731.5</v>
      </c>
      <c r="E59" s="4"/>
      <c r="F59" s="4"/>
      <c r="G59" s="4"/>
      <c r="H59" s="4"/>
      <c r="I59" s="4"/>
      <c r="J59" s="4"/>
      <c r="K59" s="4"/>
      <c r="L59" s="4"/>
      <c r="M59" s="4"/>
      <c r="N59" s="4"/>
      <c r="O59" s="4"/>
      <c r="P59" s="4"/>
      <c r="Q59" s="4"/>
      <c r="R59" s="4"/>
      <c r="S59" s="4"/>
      <c r="T59" s="4"/>
      <c r="U59" s="4"/>
      <c r="V59" s="4"/>
      <c r="W59" s="4"/>
      <c r="X59" s="4"/>
      <c r="Y59" s="4"/>
      <c r="Z59" s="4"/>
    </row>
    <row r="60" spans="1:26" ht="12.75">
      <c r="A60" s="4" t="s">
        <v>258</v>
      </c>
      <c r="B60" s="88">
        <f>(C58+C59)/1000</f>
        <v>8.2636000000000001E-2</v>
      </c>
      <c r="C60" s="4"/>
      <c r="D60" s="84">
        <f ca="1">IFERROR(__xludf.DUMMYFUNCTION("AVERAGE.WEIGHTED(D58:D59,B58:B59)"),326.285714285714)</f>
        <v>326.28571428571399</v>
      </c>
      <c r="E60" s="4"/>
      <c r="F60" s="4"/>
      <c r="G60" s="4"/>
      <c r="H60" s="4"/>
      <c r="I60" s="4"/>
      <c r="J60" s="4"/>
      <c r="K60" s="4"/>
      <c r="L60" s="4"/>
      <c r="M60" s="4"/>
      <c r="N60" s="4"/>
      <c r="O60" s="4"/>
      <c r="P60" s="4"/>
      <c r="Q60" s="4"/>
      <c r="R60" s="4"/>
      <c r="S60" s="4"/>
      <c r="T60" s="4"/>
      <c r="U60" s="4"/>
      <c r="V60" s="4"/>
      <c r="W60" s="4"/>
      <c r="X60" s="4"/>
      <c r="Y60" s="4"/>
      <c r="Z60" s="4"/>
    </row>
    <row r="61" spans="1:26" ht="12.75">
      <c r="A61" s="92" t="s">
        <v>262</v>
      </c>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5" t="s">
        <v>263</v>
      </c>
      <c r="B63" s="4"/>
      <c r="C63" s="4"/>
      <c r="D63" s="4"/>
      <c r="E63" s="4"/>
      <c r="F63" s="4"/>
      <c r="G63" s="4"/>
      <c r="H63" s="4"/>
      <c r="I63" s="4"/>
      <c r="J63" s="4"/>
      <c r="K63" s="4"/>
      <c r="L63" s="4"/>
      <c r="M63" s="4"/>
      <c r="N63" s="4"/>
      <c r="O63" s="4"/>
      <c r="P63" s="4"/>
      <c r="Q63" s="4"/>
      <c r="R63" s="4"/>
      <c r="S63" s="4"/>
      <c r="T63" s="4"/>
      <c r="U63" s="4"/>
      <c r="V63" s="4"/>
      <c r="W63" s="4"/>
      <c r="X63" s="4"/>
      <c r="Y63" s="4"/>
      <c r="Z63" s="4"/>
    </row>
    <row r="64" spans="1:26" ht="25.5">
      <c r="A64" s="4"/>
      <c r="B64" s="3" t="s">
        <v>231</v>
      </c>
      <c r="C64" s="3" t="s">
        <v>254</v>
      </c>
      <c r="D64" s="3" t="s">
        <v>233</v>
      </c>
      <c r="E64" s="3" t="s">
        <v>234</v>
      </c>
      <c r="G64" s="4"/>
      <c r="H64" s="4"/>
      <c r="I64" s="4"/>
      <c r="J64" s="4"/>
      <c r="K64" s="4"/>
      <c r="L64" s="4"/>
      <c r="M64" s="4"/>
      <c r="N64" s="4"/>
      <c r="O64" s="4"/>
      <c r="P64" s="4"/>
      <c r="Q64" s="4"/>
      <c r="R64" s="4"/>
      <c r="S64" s="4"/>
      <c r="T64" s="4"/>
      <c r="U64" s="4"/>
      <c r="V64" s="4"/>
      <c r="W64" s="4"/>
      <c r="X64" s="4"/>
      <c r="Y64" s="4"/>
      <c r="Z64" s="4"/>
    </row>
    <row r="65" spans="1:26" ht="12.75">
      <c r="A65" s="4" t="s">
        <v>264</v>
      </c>
      <c r="B65" s="78">
        <v>6.4000000000000001E-2</v>
      </c>
      <c r="C65" s="84">
        <f>B65*1000</f>
        <v>64</v>
      </c>
      <c r="D65" s="85">
        <f t="shared" ref="D65:D66" si="7">B65</f>
        <v>6.4000000000000001E-2</v>
      </c>
      <c r="E65" s="84">
        <f>(6/2)*7</f>
        <v>21</v>
      </c>
      <c r="G65" s="4"/>
      <c r="H65" s="4"/>
      <c r="I65" s="4"/>
      <c r="J65" s="4"/>
      <c r="K65" s="4"/>
      <c r="L65" s="4"/>
      <c r="M65" s="4"/>
      <c r="N65" s="4"/>
      <c r="O65" s="4"/>
      <c r="P65" s="4"/>
      <c r="Q65" s="4"/>
      <c r="R65" s="4"/>
      <c r="S65" s="4"/>
      <c r="T65" s="4"/>
      <c r="U65" s="4"/>
      <c r="V65" s="4"/>
      <c r="W65" s="4"/>
      <c r="X65" s="4"/>
      <c r="Y65" s="4"/>
      <c r="Z65" s="4"/>
    </row>
    <row r="66" spans="1:26" ht="12.75">
      <c r="A66" s="4" t="s">
        <v>265</v>
      </c>
      <c r="B66" s="78">
        <v>1.9E-2</v>
      </c>
      <c r="C66" s="84">
        <f>B66*(1000-C65)</f>
        <v>17.783999999999999</v>
      </c>
      <c r="D66" s="85">
        <f t="shared" si="7"/>
        <v>1.9E-2</v>
      </c>
      <c r="E66" s="84">
        <f>((30+1.5)/2)*30.5</f>
        <v>480.375</v>
      </c>
      <c r="G66" s="4"/>
      <c r="H66" s="4"/>
      <c r="I66" s="4"/>
      <c r="J66" s="4"/>
      <c r="K66" s="4"/>
      <c r="L66" s="4"/>
      <c r="M66" s="4"/>
      <c r="N66" s="4"/>
      <c r="O66" s="4"/>
      <c r="P66" s="4"/>
      <c r="Q66" s="4"/>
      <c r="R66" s="4"/>
      <c r="S66" s="4"/>
      <c r="T66" s="4"/>
      <c r="U66" s="4"/>
      <c r="V66" s="4"/>
      <c r="W66" s="4"/>
      <c r="X66" s="4"/>
      <c r="Y66" s="4"/>
      <c r="Z66" s="4"/>
    </row>
    <row r="67" spans="1:26" ht="12.75">
      <c r="A67" s="4" t="s">
        <v>266</v>
      </c>
      <c r="B67" s="78">
        <v>5.8000000000000003E-2</v>
      </c>
      <c r="C67" s="84">
        <f>B67*(1000-C66-C65)</f>
        <v>53.256528000000003</v>
      </c>
      <c r="D67" s="82">
        <v>0</v>
      </c>
      <c r="E67" s="84">
        <f>((68+30)/2)*30.5</f>
        <v>1494.5</v>
      </c>
      <c r="G67" s="4"/>
      <c r="H67" s="4"/>
      <c r="I67" s="4"/>
      <c r="J67" s="4"/>
      <c r="K67" s="4"/>
      <c r="L67" s="4"/>
      <c r="M67" s="4"/>
      <c r="N67" s="4"/>
      <c r="O67" s="4"/>
      <c r="P67" s="4"/>
      <c r="Q67" s="4"/>
      <c r="R67" s="4"/>
      <c r="S67" s="4"/>
      <c r="T67" s="4"/>
      <c r="U67" s="4"/>
      <c r="V67" s="4"/>
      <c r="W67" s="4"/>
      <c r="X67" s="4"/>
      <c r="Y67" s="4"/>
      <c r="Z67" s="4"/>
    </row>
    <row r="68" spans="1:26" ht="12.75">
      <c r="A68" s="4" t="s">
        <v>238</v>
      </c>
      <c r="B68" s="78">
        <f>(C67+C66+C65)/1000</f>
        <v>0.13504052799999999</v>
      </c>
      <c r="D68" s="4"/>
      <c r="E68" s="84">
        <f ca="1">IFERROR(__xludf.DUMMYFUNCTION("AVERAGE.WEIGHTED(E65:E67,B65:B67)"),689.022163120567)</f>
        <v>689.02216312056703</v>
      </c>
      <c r="G68" s="4"/>
      <c r="H68" s="4"/>
      <c r="I68" s="4"/>
      <c r="J68" s="4"/>
      <c r="K68" s="4"/>
      <c r="L68" s="4"/>
      <c r="M68" s="4"/>
      <c r="N68" s="4"/>
      <c r="O68" s="4"/>
      <c r="P68" s="4"/>
      <c r="Q68" s="4"/>
      <c r="R68" s="4"/>
      <c r="S68" s="4"/>
      <c r="T68" s="4"/>
      <c r="U68" s="4"/>
      <c r="V68" s="4"/>
      <c r="W68" s="4"/>
      <c r="X68" s="4"/>
      <c r="Y68" s="4"/>
      <c r="Z68" s="4"/>
    </row>
    <row r="69" spans="1:26" ht="12.75">
      <c r="A69" s="4" t="s">
        <v>239</v>
      </c>
      <c r="C69" s="4"/>
      <c r="D69" s="85">
        <f>(C65+C66)/1000</f>
        <v>8.1783999999999996E-2</v>
      </c>
      <c r="E69" s="89">
        <f ca="1">IFERROR(__xludf.DUMMYFUNCTION("AVERAGE.WEIGHTED(E65:E67,D65:D67)"),126.15813253012)</f>
        <v>126.15813253012</v>
      </c>
      <c r="G69" s="4"/>
      <c r="H69" s="4"/>
      <c r="I69" s="4"/>
      <c r="J69" s="4"/>
      <c r="K69" s="4"/>
      <c r="L69" s="4"/>
      <c r="M69" s="4"/>
      <c r="N69" s="4"/>
      <c r="O69" s="4"/>
      <c r="P69" s="4"/>
      <c r="Q69" s="4"/>
      <c r="R69" s="4"/>
      <c r="S69" s="4"/>
      <c r="T69" s="4"/>
      <c r="U69" s="4"/>
      <c r="V69" s="4"/>
      <c r="W69" s="4"/>
      <c r="X69" s="4"/>
      <c r="Y69" s="4"/>
      <c r="Z69" s="4"/>
    </row>
    <row r="70" spans="1:26" ht="12.75">
      <c r="A70" s="93" t="s">
        <v>267</v>
      </c>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161"/>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2.7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2.7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2.7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2.7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2.7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2.7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2.7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2.7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2.7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sheetData>
  <hyperlinks>
    <hyperlink ref="A19" r:id="rId1" xr:uid="{00000000-0004-0000-0600-000000000000}"/>
    <hyperlink ref="A20" r:id="rId2" xr:uid="{00000000-0004-0000-0600-000001000000}"/>
    <hyperlink ref="A30" r:id="rId3" xr:uid="{00000000-0004-0000-0600-000002000000}"/>
    <hyperlink ref="A31" r:id="rId4" xr:uid="{00000000-0004-0000-0600-000003000000}"/>
    <hyperlink ref="A32" r:id="rId5" xr:uid="{00000000-0004-0000-0600-000004000000}"/>
    <hyperlink ref="A38" r:id="rId6" xr:uid="{00000000-0004-0000-0600-000005000000}"/>
    <hyperlink ref="A44" r:id="rId7" xr:uid="{00000000-0004-0000-0600-000006000000}"/>
    <hyperlink ref="A53" r:id="rId8" xr:uid="{00000000-0004-0000-0600-000007000000}"/>
    <hyperlink ref="A54" r:id="rId9" xr:uid="{00000000-0004-0000-0600-000008000000}"/>
    <hyperlink ref="A61" r:id="rId10" xr:uid="{00000000-0004-0000-0600-000009000000}"/>
    <hyperlink ref="A70" r:id="rId11" xr:uid="{00000000-0004-0000-0600-00000A000000}"/>
  </hyperlinks>
  <pageMargins left="0.7" right="0.7" top="0.75" bottom="0.75" header="0.3" footer="0.3"/>
  <legacyDrawing r:id="rId1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4"/>
  <sheetViews>
    <sheetView workbookViewId="0">
      <selection activeCell="C17" sqref="C17"/>
    </sheetView>
  </sheetViews>
  <sheetFormatPr defaultColWidth="14.42578125" defaultRowHeight="15" customHeight="1"/>
  <cols>
    <col min="1" max="1" width="19.7109375" customWidth="1"/>
    <col min="2" max="2" width="22.85546875" customWidth="1"/>
    <col min="3" max="3" width="31.28515625" customWidth="1"/>
    <col min="4" max="4" width="21.85546875" customWidth="1"/>
    <col min="7" max="7" width="15.140625" bestFit="1" customWidth="1"/>
    <col min="8" max="8" width="16.85546875" customWidth="1"/>
  </cols>
  <sheetData>
    <row r="1" spans="1:8" ht="15.75" customHeight="1">
      <c r="A1" s="246" t="s">
        <v>268</v>
      </c>
      <c r="B1" s="94"/>
      <c r="C1" s="94"/>
      <c r="D1" s="94"/>
      <c r="E1" s="94"/>
      <c r="F1" s="94"/>
      <c r="G1" s="94"/>
      <c r="H1" s="94"/>
    </row>
    <row r="2" spans="1:8" ht="15.75" customHeight="1">
      <c r="A2" s="247"/>
      <c r="B2" s="94"/>
      <c r="C2" s="94"/>
      <c r="D2" s="94"/>
      <c r="E2" s="94"/>
      <c r="F2" s="94"/>
      <c r="G2" s="94"/>
      <c r="H2" s="94"/>
    </row>
    <row r="3" spans="1:8" ht="15.75" customHeight="1">
      <c r="A3" s="247" t="s">
        <v>269</v>
      </c>
      <c r="B3" s="94"/>
      <c r="C3" s="94"/>
      <c r="D3" s="94"/>
      <c r="E3" s="94"/>
      <c r="F3" s="94"/>
      <c r="G3" s="94"/>
      <c r="H3" s="94"/>
    </row>
    <row r="4" spans="1:8" ht="15.75" customHeight="1">
      <c r="A4" s="95"/>
      <c r="B4" s="94"/>
      <c r="C4" s="94"/>
      <c r="D4" s="94"/>
      <c r="E4" s="94"/>
      <c r="F4" s="94"/>
      <c r="G4" s="94"/>
      <c r="H4" s="94"/>
    </row>
    <row r="5" spans="1:8" ht="15.75" customHeight="1">
      <c r="A5" s="94" t="s">
        <v>270</v>
      </c>
      <c r="B5" s="94" t="s">
        <v>271</v>
      </c>
      <c r="C5" s="94" t="s">
        <v>272</v>
      </c>
      <c r="D5" s="94" t="s">
        <v>273</v>
      </c>
      <c r="E5" s="94" t="s">
        <v>274</v>
      </c>
      <c r="F5" s="94" t="s">
        <v>275</v>
      </c>
      <c r="G5" s="94" t="s">
        <v>276</v>
      </c>
      <c r="H5" s="94" t="s">
        <v>277</v>
      </c>
    </row>
    <row r="6" spans="1:8" ht="15.75" customHeight="1">
      <c r="A6" s="95" t="s">
        <v>278</v>
      </c>
      <c r="B6" s="95" t="s">
        <v>279</v>
      </c>
      <c r="C6" s="95" t="s">
        <v>280</v>
      </c>
      <c r="D6" s="95" t="s">
        <v>281</v>
      </c>
      <c r="E6" s="83">
        <v>2020</v>
      </c>
      <c r="F6" s="95" t="s">
        <v>282</v>
      </c>
      <c r="G6" s="248">
        <v>390351</v>
      </c>
      <c r="H6" s="95" t="s">
        <v>283</v>
      </c>
    </row>
    <row r="7" spans="1:8" ht="15.75" customHeight="1">
      <c r="A7" s="95" t="s">
        <v>278</v>
      </c>
      <c r="B7" s="95" t="s">
        <v>279</v>
      </c>
      <c r="C7" s="95" t="s">
        <v>284</v>
      </c>
      <c r="D7" s="95" t="s">
        <v>281</v>
      </c>
      <c r="E7" s="83">
        <v>2020</v>
      </c>
      <c r="F7" s="95" t="s">
        <v>285</v>
      </c>
      <c r="G7" s="248">
        <v>169276</v>
      </c>
      <c r="H7" s="95" t="s">
        <v>286</v>
      </c>
    </row>
    <row r="8" spans="1:8" ht="15.75" customHeight="1">
      <c r="A8" s="95" t="s">
        <v>278</v>
      </c>
      <c r="B8" s="95" t="s">
        <v>279</v>
      </c>
      <c r="C8" s="95" t="s">
        <v>287</v>
      </c>
      <c r="D8" s="95" t="s">
        <v>281</v>
      </c>
      <c r="E8" s="83">
        <v>2020</v>
      </c>
      <c r="F8" s="95" t="s">
        <v>288</v>
      </c>
      <c r="G8" s="248">
        <v>6607722</v>
      </c>
      <c r="H8" s="95" t="s">
        <v>283</v>
      </c>
    </row>
    <row r="9" spans="1:8" ht="15.75" customHeight="1">
      <c r="A9" s="95" t="s">
        <v>278</v>
      </c>
      <c r="B9" s="95" t="s">
        <v>279</v>
      </c>
      <c r="C9" s="95" t="s">
        <v>287</v>
      </c>
      <c r="D9" s="95" t="s">
        <v>289</v>
      </c>
      <c r="E9" s="83">
        <v>2020</v>
      </c>
      <c r="F9" s="95" t="s">
        <v>290</v>
      </c>
      <c r="G9" s="248">
        <v>111573300</v>
      </c>
      <c r="H9" s="95" t="s">
        <v>283</v>
      </c>
    </row>
    <row r="10" spans="1:8" ht="15.75" customHeight="1">
      <c r="A10" s="95" t="s">
        <v>278</v>
      </c>
      <c r="B10" s="95" t="s">
        <v>279</v>
      </c>
      <c r="C10" s="249" t="s">
        <v>291</v>
      </c>
      <c r="D10" s="95" t="s">
        <v>292</v>
      </c>
      <c r="E10" s="83">
        <v>2020</v>
      </c>
      <c r="F10" s="95" t="s">
        <v>293</v>
      </c>
      <c r="G10" s="248">
        <v>33366100</v>
      </c>
      <c r="H10" s="95" t="s">
        <v>283</v>
      </c>
    </row>
    <row r="11" spans="1:8" ht="15.75" customHeight="1">
      <c r="A11" s="95" t="s">
        <v>278</v>
      </c>
      <c r="B11" s="95" t="s">
        <v>279</v>
      </c>
      <c r="C11" s="249" t="s">
        <v>294</v>
      </c>
      <c r="D11" s="95" t="s">
        <v>292</v>
      </c>
      <c r="E11" s="83">
        <v>2020</v>
      </c>
      <c r="F11" s="95" t="s">
        <v>295</v>
      </c>
      <c r="G11" s="248">
        <v>3704</v>
      </c>
      <c r="H11" s="95" t="s">
        <v>286</v>
      </c>
    </row>
    <row r="12" spans="1:8" ht="15.75" customHeight="1">
      <c r="A12" s="95" t="s">
        <v>278</v>
      </c>
      <c r="B12" s="95" t="s">
        <v>279</v>
      </c>
      <c r="C12" s="95" t="s">
        <v>287</v>
      </c>
      <c r="D12" s="95" t="s">
        <v>292</v>
      </c>
      <c r="E12" s="83">
        <v>2020</v>
      </c>
      <c r="F12" s="95" t="s">
        <v>288</v>
      </c>
      <c r="G12" s="248">
        <v>12357232</v>
      </c>
      <c r="H12" s="95" t="s">
        <v>283</v>
      </c>
    </row>
    <row r="13" spans="1:8" ht="15.75" customHeight="1">
      <c r="A13" s="95" t="s">
        <v>278</v>
      </c>
      <c r="B13" s="95" t="s">
        <v>279</v>
      </c>
      <c r="C13" s="249" t="s">
        <v>291</v>
      </c>
      <c r="D13" s="95" t="s">
        <v>296</v>
      </c>
      <c r="E13" s="83">
        <v>2020</v>
      </c>
      <c r="F13" s="95" t="s">
        <v>282</v>
      </c>
      <c r="G13" s="248">
        <v>9346660</v>
      </c>
      <c r="H13" s="95" t="s">
        <v>283</v>
      </c>
    </row>
    <row r="14" spans="1:8" ht="15.75" customHeight="1">
      <c r="A14" s="95" t="s">
        <v>278</v>
      </c>
      <c r="B14" s="95" t="s">
        <v>279</v>
      </c>
      <c r="C14" s="249" t="s">
        <v>294</v>
      </c>
      <c r="D14" s="95" t="s">
        <v>296</v>
      </c>
      <c r="E14" s="83">
        <v>2020</v>
      </c>
      <c r="F14" s="95" t="s">
        <v>297</v>
      </c>
      <c r="G14" s="248">
        <v>21923</v>
      </c>
      <c r="H14" s="95" t="s">
        <v>286</v>
      </c>
    </row>
    <row r="15" spans="1:8" ht="15.75" customHeight="1">
      <c r="A15" s="95" t="s">
        <v>278</v>
      </c>
      <c r="B15" s="95" t="s">
        <v>279</v>
      </c>
      <c r="C15" s="95" t="s">
        <v>287</v>
      </c>
      <c r="D15" s="95" t="s">
        <v>296</v>
      </c>
      <c r="E15" s="83">
        <v>2020</v>
      </c>
      <c r="F15" s="95" t="s">
        <v>288</v>
      </c>
      <c r="G15" s="248">
        <v>20490251</v>
      </c>
      <c r="H15" s="95" t="s">
        <v>283</v>
      </c>
    </row>
    <row r="16" spans="1:8" ht="15.75" customHeight="1">
      <c r="A16" s="95" t="s">
        <v>278</v>
      </c>
      <c r="B16" s="95" t="s">
        <v>279</v>
      </c>
      <c r="C16" s="249" t="s">
        <v>291</v>
      </c>
      <c r="D16" s="95" t="s">
        <v>298</v>
      </c>
      <c r="E16" s="83">
        <v>2020</v>
      </c>
      <c r="F16" s="95" t="s">
        <v>293</v>
      </c>
      <c r="G16" s="248">
        <v>131639000</v>
      </c>
      <c r="H16" s="95" t="s">
        <v>283</v>
      </c>
    </row>
    <row r="17" spans="1:8" ht="15.75" customHeight="1">
      <c r="A17" s="95" t="s">
        <v>278</v>
      </c>
      <c r="B17" s="95" t="s">
        <v>279</v>
      </c>
      <c r="C17" s="249" t="s">
        <v>294</v>
      </c>
      <c r="D17" s="95" t="s">
        <v>298</v>
      </c>
      <c r="E17" s="83">
        <v>2020</v>
      </c>
      <c r="F17" s="95" t="s">
        <v>295</v>
      </c>
      <c r="G17" s="248">
        <v>976</v>
      </c>
      <c r="H17" s="95" t="s">
        <v>286</v>
      </c>
    </row>
    <row r="18" spans="1:8" ht="15.75" customHeight="1">
      <c r="A18" s="95" t="s">
        <v>278</v>
      </c>
      <c r="B18" s="95" t="s">
        <v>279</v>
      </c>
      <c r="C18" s="95" t="s">
        <v>287</v>
      </c>
      <c r="D18" s="95" t="s">
        <v>298</v>
      </c>
      <c r="E18" s="83">
        <v>2020</v>
      </c>
      <c r="F18" s="95" t="s">
        <v>288</v>
      </c>
      <c r="G18" s="248">
        <v>12845097</v>
      </c>
      <c r="H18" s="95" t="s">
        <v>283</v>
      </c>
    </row>
    <row r="19" spans="1:8" ht="15.75" customHeight="1">
      <c r="A19" s="95" t="s">
        <v>278</v>
      </c>
      <c r="B19" s="95" t="s">
        <v>279</v>
      </c>
      <c r="C19" s="249" t="s">
        <v>291</v>
      </c>
      <c r="D19" s="95" t="s">
        <v>299</v>
      </c>
      <c r="E19" s="83">
        <v>2020</v>
      </c>
      <c r="F19" s="95" t="s">
        <v>282</v>
      </c>
      <c r="G19" s="248">
        <v>223003</v>
      </c>
      <c r="H19" s="95" t="s">
        <v>283</v>
      </c>
    </row>
    <row r="20" spans="1:8" ht="15.75" customHeight="1">
      <c r="A20" s="95" t="s">
        <v>278</v>
      </c>
      <c r="B20" s="95" t="s">
        <v>279</v>
      </c>
      <c r="C20" s="249" t="s">
        <v>294</v>
      </c>
      <c r="D20" s="95" t="s">
        <v>299</v>
      </c>
      <c r="E20" s="83">
        <v>2020</v>
      </c>
      <c r="F20" s="95" t="s">
        <v>297</v>
      </c>
      <c r="G20" s="248">
        <v>116923</v>
      </c>
      <c r="H20" s="95" t="s">
        <v>286</v>
      </c>
    </row>
    <row r="21" spans="1:8" ht="15.75" customHeight="1">
      <c r="A21" s="95" t="s">
        <v>278</v>
      </c>
      <c r="B21" s="95" t="s">
        <v>279</v>
      </c>
      <c r="C21" s="95" t="s">
        <v>287</v>
      </c>
      <c r="D21" s="95" t="s">
        <v>299</v>
      </c>
      <c r="E21" s="83">
        <v>2020</v>
      </c>
      <c r="F21" s="95" t="s">
        <v>288</v>
      </c>
      <c r="G21" s="248">
        <v>2607416</v>
      </c>
      <c r="H21" s="95" t="s">
        <v>283</v>
      </c>
    </row>
    <row r="22" spans="1:8" ht="15.75" customHeight="1">
      <c r="A22" s="95" t="s">
        <v>278</v>
      </c>
      <c r="B22" s="95" t="s">
        <v>279</v>
      </c>
      <c r="C22" s="95" t="s">
        <v>300</v>
      </c>
      <c r="D22" s="95" t="s">
        <v>301</v>
      </c>
      <c r="E22" s="83">
        <v>2020</v>
      </c>
      <c r="F22" s="95" t="s">
        <v>293</v>
      </c>
      <c r="G22" s="248">
        <v>9342600</v>
      </c>
      <c r="H22" s="95" t="s">
        <v>283</v>
      </c>
    </row>
    <row r="23" spans="1:8" ht="15.75" customHeight="1">
      <c r="A23" s="95" t="s">
        <v>278</v>
      </c>
      <c r="B23" s="95" t="s">
        <v>279</v>
      </c>
      <c r="C23" s="95" t="s">
        <v>284</v>
      </c>
      <c r="D23" s="95" t="s">
        <v>301</v>
      </c>
      <c r="E23" s="83">
        <v>2020</v>
      </c>
      <c r="F23" s="95" t="s">
        <v>295</v>
      </c>
      <c r="G23" s="248">
        <v>108376</v>
      </c>
      <c r="H23" s="95" t="s">
        <v>286</v>
      </c>
    </row>
    <row r="24" spans="1:8" ht="15.75" customHeight="1">
      <c r="A24" s="95" t="s">
        <v>278</v>
      </c>
      <c r="B24" s="95" t="s">
        <v>279</v>
      </c>
      <c r="C24" s="95" t="s">
        <v>287</v>
      </c>
      <c r="D24" s="95" t="s">
        <v>301</v>
      </c>
      <c r="E24" s="83">
        <v>2020</v>
      </c>
      <c r="F24" s="95" t="s">
        <v>288</v>
      </c>
      <c r="G24" s="248">
        <v>101251009</v>
      </c>
      <c r="H24" s="95" t="s">
        <v>283</v>
      </c>
    </row>
    <row r="25" spans="1:8" ht="15.75" customHeight="1">
      <c r="A25" s="95"/>
      <c r="B25" s="95"/>
      <c r="C25" s="95"/>
      <c r="D25" s="95"/>
      <c r="E25" s="95"/>
      <c r="F25" s="95"/>
      <c r="G25" s="95"/>
      <c r="H25" s="95"/>
    </row>
    <row r="26" spans="1:8" ht="15.75" customHeight="1">
      <c r="B26" s="95"/>
      <c r="C26" s="95"/>
      <c r="D26" s="95"/>
      <c r="E26" s="95"/>
      <c r="F26" s="95"/>
      <c r="G26" s="95"/>
      <c r="H26" s="95"/>
    </row>
    <row r="27" spans="1:8" ht="15.75" customHeight="1">
      <c r="A27" s="95"/>
      <c r="C27" s="95"/>
      <c r="D27" s="95"/>
      <c r="E27" s="95"/>
      <c r="F27" s="95"/>
      <c r="G27" s="83"/>
      <c r="H27" s="95"/>
    </row>
    <row r="28" spans="1:8" ht="15.75" customHeight="1">
      <c r="A28" s="95"/>
      <c r="B28" s="95"/>
      <c r="C28" s="95"/>
      <c r="D28" s="95"/>
      <c r="E28" s="95"/>
      <c r="F28" s="95"/>
      <c r="G28" s="95"/>
      <c r="H28" s="95"/>
    </row>
    <row r="29" spans="1:8" ht="15.75" customHeight="1">
      <c r="A29" s="95"/>
      <c r="B29" s="95"/>
      <c r="C29" s="95"/>
      <c r="D29" s="95"/>
      <c r="E29" s="95"/>
      <c r="F29" s="95"/>
      <c r="G29" s="83"/>
      <c r="H29" s="95"/>
    </row>
    <row r="30" spans="1:8" ht="15.75" customHeight="1">
      <c r="A30" s="95"/>
      <c r="B30" s="95"/>
      <c r="C30" s="95"/>
      <c r="D30" s="95"/>
      <c r="E30" s="95"/>
      <c r="F30" s="95"/>
      <c r="G30" s="83"/>
      <c r="H30" s="95"/>
    </row>
    <row r="31" spans="1:8" ht="15.75" customHeight="1">
      <c r="A31" s="95"/>
      <c r="B31" s="95"/>
      <c r="C31" s="95"/>
      <c r="D31" s="95"/>
      <c r="E31" s="95"/>
      <c r="F31" s="95"/>
      <c r="G31" s="83"/>
      <c r="H31" s="95"/>
    </row>
    <row r="32" spans="1:8" ht="15.75" customHeight="1">
      <c r="A32" s="95"/>
      <c r="B32" s="95"/>
      <c r="C32" s="95"/>
      <c r="D32" s="95"/>
      <c r="E32" s="95"/>
      <c r="F32" s="95"/>
      <c r="G32" s="83"/>
      <c r="H32" s="95"/>
    </row>
    <row r="33" spans="1:8" ht="15.75" customHeight="1">
      <c r="A33" s="95"/>
      <c r="B33" s="95"/>
      <c r="C33" s="95"/>
      <c r="D33" s="95"/>
      <c r="E33" s="95"/>
      <c r="F33" s="95"/>
      <c r="G33" s="95"/>
      <c r="H33" s="95"/>
    </row>
    <row r="34" spans="1:8" ht="15.75" customHeight="1">
      <c r="A34" s="95"/>
      <c r="B34" s="95"/>
      <c r="C34" s="95"/>
      <c r="D34" s="95"/>
      <c r="E34" s="95"/>
      <c r="F34" s="95"/>
      <c r="G34" s="83"/>
      <c r="H34" s="95"/>
    </row>
    <row r="35" spans="1:8" ht="15.75" customHeight="1"/>
    <row r="36" spans="1:8" ht="15.75" customHeight="1"/>
    <row r="37" spans="1:8" ht="15.75" customHeight="1"/>
    <row r="38" spans="1:8" ht="15.75" customHeight="1"/>
    <row r="39" spans="1:8" ht="15.75" customHeight="1"/>
    <row r="40" spans="1:8" ht="15.75" customHeight="1"/>
    <row r="41" spans="1:8" ht="15.75" customHeight="1"/>
    <row r="42" spans="1:8" ht="15.75" customHeight="1"/>
    <row r="43" spans="1:8" ht="15.75" customHeight="1"/>
    <row r="44" spans="1:8" ht="15.75" customHeight="1"/>
    <row r="45" spans="1:8" ht="15.75" customHeight="1"/>
    <row r="46" spans="1:8" ht="15.75" customHeight="1"/>
    <row r="47" spans="1:8" ht="15.75" customHeight="1"/>
    <row r="48" spans="1: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2531"/>
  <sheetViews>
    <sheetView workbookViewId="0"/>
  </sheetViews>
  <sheetFormatPr defaultColWidth="14.42578125" defaultRowHeight="15" customHeight="1"/>
  <cols>
    <col min="1" max="1" width="33.42578125" customWidth="1"/>
    <col min="2" max="7" width="16.140625" customWidth="1"/>
  </cols>
  <sheetData>
    <row r="1" spans="1:7" ht="15.75">
      <c r="A1" s="8" t="s">
        <v>302</v>
      </c>
    </row>
    <row r="2" spans="1:7" ht="15.75" customHeight="1">
      <c r="A2" s="96"/>
      <c r="B2" s="97"/>
      <c r="C2" s="97"/>
      <c r="D2" s="97"/>
      <c r="E2" s="97"/>
      <c r="F2" s="97"/>
      <c r="G2" s="97"/>
    </row>
    <row r="3" spans="1:7" ht="15.75" customHeight="1">
      <c r="A3" s="5" t="s">
        <v>303</v>
      </c>
      <c r="B3" s="97"/>
      <c r="C3" s="97"/>
      <c r="D3" s="97"/>
      <c r="E3" s="97"/>
      <c r="F3" s="97"/>
      <c r="G3" s="97"/>
    </row>
    <row r="4" spans="1:7" ht="15.75" customHeight="1">
      <c r="A4" s="96"/>
      <c r="B4" s="97"/>
      <c r="C4" s="97"/>
      <c r="D4" s="97"/>
      <c r="E4" s="97"/>
      <c r="F4" s="97"/>
      <c r="G4" s="97"/>
    </row>
    <row r="5" spans="1:7" ht="61.5" customHeight="1">
      <c r="A5" s="96" t="s">
        <v>304</v>
      </c>
      <c r="B5" s="97" t="s">
        <v>305</v>
      </c>
      <c r="C5" s="97" t="s">
        <v>306</v>
      </c>
      <c r="D5" s="97" t="s">
        <v>307</v>
      </c>
      <c r="E5" s="97" t="s">
        <v>308</v>
      </c>
      <c r="F5" s="97" t="s">
        <v>309</v>
      </c>
      <c r="G5" s="97" t="s">
        <v>310</v>
      </c>
    </row>
    <row r="6" spans="1:7" ht="12.75">
      <c r="A6" s="98" t="s">
        <v>311</v>
      </c>
      <c r="B6" s="98" t="s">
        <v>312</v>
      </c>
      <c r="D6" s="4" t="s">
        <v>312</v>
      </c>
      <c r="E6" s="7">
        <v>500</v>
      </c>
      <c r="F6" s="7">
        <v>2500</v>
      </c>
      <c r="G6" s="4" t="s">
        <v>313</v>
      </c>
    </row>
    <row r="7" spans="1:7" ht="12.75">
      <c r="A7" s="98" t="s">
        <v>314</v>
      </c>
      <c r="B7" s="98" t="s">
        <v>315</v>
      </c>
      <c r="D7" s="4" t="s">
        <v>315</v>
      </c>
      <c r="E7" s="7">
        <v>300</v>
      </c>
      <c r="F7" s="7">
        <v>1500</v>
      </c>
      <c r="G7" s="4" t="s">
        <v>313</v>
      </c>
    </row>
    <row r="8" spans="1:7" ht="12.75">
      <c r="A8" s="98" t="s">
        <v>316</v>
      </c>
      <c r="B8" s="98" t="s">
        <v>317</v>
      </c>
      <c r="D8" s="4" t="s">
        <v>317</v>
      </c>
      <c r="E8" s="7">
        <v>250</v>
      </c>
      <c r="F8" s="7">
        <v>800</v>
      </c>
      <c r="G8" s="4" t="s">
        <v>313</v>
      </c>
    </row>
    <row r="9" spans="1:7" ht="12.75">
      <c r="A9" s="98" t="s">
        <v>318</v>
      </c>
      <c r="B9" s="98" t="s">
        <v>312</v>
      </c>
      <c r="D9" s="4" t="s">
        <v>312</v>
      </c>
      <c r="E9" s="7">
        <v>500</v>
      </c>
      <c r="F9" s="7">
        <v>2500</v>
      </c>
      <c r="G9" s="4" t="s">
        <v>313</v>
      </c>
    </row>
    <row r="10" spans="1:7" ht="12.75">
      <c r="A10" s="98" t="s">
        <v>319</v>
      </c>
      <c r="B10" s="98" t="s">
        <v>320</v>
      </c>
      <c r="D10" s="4" t="s">
        <v>320</v>
      </c>
      <c r="E10" s="7">
        <v>500</v>
      </c>
      <c r="F10" s="7">
        <v>1500</v>
      </c>
      <c r="G10" s="4" t="s">
        <v>313</v>
      </c>
    </row>
    <row r="11" spans="1:7" ht="12.75">
      <c r="A11" s="98" t="s">
        <v>321</v>
      </c>
      <c r="B11" s="98" t="s">
        <v>322</v>
      </c>
      <c r="D11" s="4" t="s">
        <v>322</v>
      </c>
      <c r="E11" s="7">
        <v>150</v>
      </c>
      <c r="F11" s="7">
        <v>400</v>
      </c>
      <c r="G11" s="4" t="s">
        <v>313</v>
      </c>
    </row>
    <row r="12" spans="1:7" ht="12.75">
      <c r="A12" s="98" t="s">
        <v>323</v>
      </c>
      <c r="B12" s="98" t="s">
        <v>324</v>
      </c>
      <c r="D12" s="4" t="s">
        <v>324</v>
      </c>
      <c r="E12" s="7">
        <v>300</v>
      </c>
      <c r="F12" s="7">
        <v>2000</v>
      </c>
      <c r="G12" s="4" t="s">
        <v>313</v>
      </c>
    </row>
    <row r="13" spans="1:7" ht="12.75">
      <c r="A13" s="98" t="s">
        <v>325</v>
      </c>
      <c r="B13" s="98" t="s">
        <v>326</v>
      </c>
      <c r="D13" s="4" t="s">
        <v>326</v>
      </c>
      <c r="E13" s="7">
        <v>3614</v>
      </c>
      <c r="F13" s="7">
        <v>8434</v>
      </c>
      <c r="G13" s="4" t="s">
        <v>313</v>
      </c>
    </row>
    <row r="14" spans="1:7" ht="12.75">
      <c r="A14" s="98" t="s">
        <v>327</v>
      </c>
      <c r="B14" s="98" t="s">
        <v>315</v>
      </c>
      <c r="D14" s="4" t="s">
        <v>315</v>
      </c>
      <c r="E14" s="7">
        <v>300</v>
      </c>
      <c r="F14" s="7">
        <v>1500</v>
      </c>
      <c r="G14" s="4" t="s">
        <v>313</v>
      </c>
    </row>
    <row r="15" spans="1:7" ht="12.75">
      <c r="A15" s="98" t="s">
        <v>328</v>
      </c>
      <c r="B15" s="98" t="s">
        <v>320</v>
      </c>
      <c r="D15" s="4" t="s">
        <v>320</v>
      </c>
      <c r="E15" s="7">
        <v>500</v>
      </c>
      <c r="F15" s="7">
        <v>1500</v>
      </c>
      <c r="G15" s="4" t="s">
        <v>313</v>
      </c>
    </row>
    <row r="16" spans="1:7" ht="12.75">
      <c r="A16" s="98" t="s">
        <v>329</v>
      </c>
      <c r="B16" s="98" t="s">
        <v>330</v>
      </c>
      <c r="D16" s="4" t="s">
        <v>330</v>
      </c>
      <c r="E16" s="7">
        <v>250</v>
      </c>
      <c r="F16" s="7">
        <v>500</v>
      </c>
      <c r="G16" s="4" t="s">
        <v>313</v>
      </c>
    </row>
    <row r="17" spans="1:7" ht="12.75">
      <c r="A17" s="98" t="s">
        <v>331</v>
      </c>
      <c r="B17" s="98" t="s">
        <v>317</v>
      </c>
      <c r="D17" s="4" t="s">
        <v>317</v>
      </c>
      <c r="E17" s="7">
        <v>250</v>
      </c>
      <c r="F17" s="7">
        <v>800</v>
      </c>
      <c r="G17" s="4" t="s">
        <v>313</v>
      </c>
    </row>
    <row r="18" spans="1:7" ht="12.75">
      <c r="A18" s="98" t="s">
        <v>332</v>
      </c>
      <c r="B18" s="98" t="s">
        <v>320</v>
      </c>
      <c r="D18" s="4" t="s">
        <v>320</v>
      </c>
      <c r="E18" s="7">
        <v>500</v>
      </c>
      <c r="F18" s="7">
        <v>1500</v>
      </c>
      <c r="G18" s="4" t="s">
        <v>313</v>
      </c>
    </row>
    <row r="19" spans="1:7" ht="12.75">
      <c r="A19" s="98" t="s">
        <v>333</v>
      </c>
      <c r="B19" s="98" t="s">
        <v>334</v>
      </c>
      <c r="D19" s="4" t="s">
        <v>334</v>
      </c>
      <c r="E19" s="7">
        <v>450</v>
      </c>
      <c r="F19" s="7">
        <v>500</v>
      </c>
      <c r="G19" s="4" t="s">
        <v>313</v>
      </c>
    </row>
    <row r="20" spans="1:7" ht="12.75">
      <c r="A20" s="98" t="s">
        <v>335</v>
      </c>
      <c r="B20" s="98" t="s">
        <v>336</v>
      </c>
      <c r="D20" s="4" t="s">
        <v>336</v>
      </c>
      <c r="E20" s="7">
        <v>210</v>
      </c>
      <c r="F20" s="7">
        <v>5000</v>
      </c>
      <c r="G20" s="4" t="s">
        <v>313</v>
      </c>
    </row>
    <row r="21" spans="1:7" ht="12.75">
      <c r="A21" s="98" t="s">
        <v>337</v>
      </c>
      <c r="B21" s="98" t="s">
        <v>338</v>
      </c>
      <c r="D21" s="4" t="s">
        <v>338</v>
      </c>
      <c r="E21" s="7">
        <v>2000</v>
      </c>
      <c r="F21" s="7">
        <v>3000</v>
      </c>
      <c r="G21" s="4" t="s">
        <v>313</v>
      </c>
    </row>
    <row r="22" spans="1:7" ht="12.75">
      <c r="A22" s="98" t="s">
        <v>339</v>
      </c>
      <c r="B22" s="98" t="s">
        <v>340</v>
      </c>
      <c r="D22" s="4" t="s">
        <v>340</v>
      </c>
      <c r="E22" s="7">
        <v>300</v>
      </c>
      <c r="F22" s="7">
        <v>1100</v>
      </c>
      <c r="G22" s="4" t="s">
        <v>313</v>
      </c>
    </row>
    <row r="23" spans="1:7" ht="12.75">
      <c r="A23" s="98" t="s">
        <v>341</v>
      </c>
      <c r="B23" s="98" t="s">
        <v>342</v>
      </c>
      <c r="D23" s="4" t="s">
        <v>342</v>
      </c>
      <c r="E23" s="7">
        <v>50</v>
      </c>
      <c r="F23" s="7">
        <v>200</v>
      </c>
      <c r="G23" s="4" t="s">
        <v>313</v>
      </c>
    </row>
    <row r="24" spans="1:7" ht="12.75">
      <c r="A24" s="98" t="s">
        <v>343</v>
      </c>
      <c r="B24" s="98" t="s">
        <v>344</v>
      </c>
      <c r="D24" s="4" t="s">
        <v>344</v>
      </c>
      <c r="E24" s="7">
        <v>680</v>
      </c>
      <c r="F24" s="7">
        <v>680</v>
      </c>
      <c r="G24" s="4" t="s">
        <v>313</v>
      </c>
    </row>
    <row r="25" spans="1:7" ht="12.75">
      <c r="A25" s="98" t="s">
        <v>345</v>
      </c>
      <c r="B25" s="98" t="s">
        <v>346</v>
      </c>
      <c r="D25" s="4" t="s">
        <v>346</v>
      </c>
      <c r="E25" s="7">
        <v>340</v>
      </c>
      <c r="F25" s="7">
        <v>680</v>
      </c>
      <c r="G25" s="4" t="s">
        <v>313</v>
      </c>
    </row>
    <row r="26" spans="1:7" ht="12.75">
      <c r="A26" s="98" t="s">
        <v>347</v>
      </c>
      <c r="B26" s="98" t="s">
        <v>348</v>
      </c>
      <c r="D26" s="4" t="s">
        <v>348</v>
      </c>
      <c r="E26" s="7">
        <v>500</v>
      </c>
      <c r="F26" s="7">
        <v>500</v>
      </c>
      <c r="G26" s="4" t="s">
        <v>313</v>
      </c>
    </row>
    <row r="27" spans="1:7" ht="12.75">
      <c r="A27" s="98" t="s">
        <v>349</v>
      </c>
      <c r="B27" s="98" t="s">
        <v>350</v>
      </c>
      <c r="D27" s="4" t="s">
        <v>350</v>
      </c>
      <c r="E27" s="7">
        <v>100</v>
      </c>
      <c r="F27" s="7">
        <v>250</v>
      </c>
      <c r="G27" s="4" t="s">
        <v>313</v>
      </c>
    </row>
    <row r="28" spans="1:7" ht="12.75">
      <c r="A28" s="98" t="s">
        <v>351</v>
      </c>
      <c r="B28" s="98" t="s">
        <v>352</v>
      </c>
      <c r="D28" s="4" t="s">
        <v>352</v>
      </c>
      <c r="E28" s="7">
        <v>500</v>
      </c>
      <c r="F28" s="7">
        <v>1000</v>
      </c>
      <c r="G28" s="4" t="s">
        <v>313</v>
      </c>
    </row>
    <row r="29" spans="1:7" ht="12.75">
      <c r="A29" s="98" t="s">
        <v>353</v>
      </c>
      <c r="B29" s="98" t="s">
        <v>320</v>
      </c>
      <c r="D29" s="4" t="s">
        <v>320</v>
      </c>
      <c r="E29" s="7">
        <v>500</v>
      </c>
      <c r="F29" s="7">
        <v>1500</v>
      </c>
      <c r="G29" s="4" t="s">
        <v>313</v>
      </c>
    </row>
    <row r="30" spans="1:7" ht="12.75">
      <c r="A30" s="98" t="s">
        <v>354</v>
      </c>
      <c r="B30" s="98" t="s">
        <v>355</v>
      </c>
      <c r="D30" s="4" t="s">
        <v>355</v>
      </c>
      <c r="E30" s="7">
        <v>300</v>
      </c>
      <c r="F30" s="7">
        <v>400</v>
      </c>
      <c r="G30" s="4" t="s">
        <v>313</v>
      </c>
    </row>
    <row r="31" spans="1:7" ht="12.75">
      <c r="A31" s="98" t="s">
        <v>356</v>
      </c>
      <c r="B31" s="98" t="s">
        <v>357</v>
      </c>
      <c r="D31" s="4" t="s">
        <v>357</v>
      </c>
      <c r="E31" s="7">
        <v>400</v>
      </c>
      <c r="F31" s="7">
        <v>500</v>
      </c>
      <c r="G31" s="4" t="s">
        <v>313</v>
      </c>
    </row>
    <row r="32" spans="1:7" ht="12.75">
      <c r="A32" s="98" t="s">
        <v>358</v>
      </c>
      <c r="B32" s="98" t="s">
        <v>348</v>
      </c>
      <c r="D32" s="4" t="s">
        <v>348</v>
      </c>
      <c r="E32" s="7">
        <v>500</v>
      </c>
      <c r="F32" s="7">
        <v>500</v>
      </c>
      <c r="G32" s="4" t="s">
        <v>313</v>
      </c>
    </row>
    <row r="33" spans="1:7" ht="12.75">
      <c r="A33" s="98" t="s">
        <v>359</v>
      </c>
      <c r="B33" s="98" t="s">
        <v>338</v>
      </c>
      <c r="D33" s="4" t="s">
        <v>338</v>
      </c>
      <c r="E33" s="7">
        <v>2000</v>
      </c>
      <c r="F33" s="7">
        <v>3000</v>
      </c>
      <c r="G33" s="4" t="s">
        <v>313</v>
      </c>
    </row>
    <row r="34" spans="1:7" ht="12.75">
      <c r="A34" s="98" t="s">
        <v>360</v>
      </c>
      <c r="B34" s="98" t="s">
        <v>361</v>
      </c>
      <c r="D34" s="4" t="s">
        <v>361</v>
      </c>
      <c r="E34" s="7">
        <v>100</v>
      </c>
      <c r="F34" s="7">
        <v>200</v>
      </c>
      <c r="G34" s="4" t="s">
        <v>313</v>
      </c>
    </row>
    <row r="35" spans="1:7" ht="12.75">
      <c r="A35" s="98" t="s">
        <v>362</v>
      </c>
      <c r="B35" s="98" t="s">
        <v>363</v>
      </c>
      <c r="D35" s="4" t="s">
        <v>363</v>
      </c>
      <c r="E35" s="7">
        <v>3500</v>
      </c>
      <c r="F35" s="7">
        <v>6000</v>
      </c>
      <c r="G35" s="4" t="s">
        <v>313</v>
      </c>
    </row>
    <row r="36" spans="1:7" ht="12.75">
      <c r="A36" s="98" t="s">
        <v>364</v>
      </c>
      <c r="B36" s="98" t="s">
        <v>365</v>
      </c>
      <c r="D36" s="4" t="s">
        <v>365</v>
      </c>
      <c r="E36" s="7">
        <v>500</v>
      </c>
      <c r="F36" s="7">
        <v>2000</v>
      </c>
      <c r="G36" s="4" t="s">
        <v>313</v>
      </c>
    </row>
    <row r="37" spans="1:7" ht="12.75">
      <c r="A37" s="98" t="s">
        <v>366</v>
      </c>
      <c r="B37" s="98" t="s">
        <v>324</v>
      </c>
      <c r="D37" s="4" t="s">
        <v>324</v>
      </c>
      <c r="E37" s="7">
        <v>300</v>
      </c>
      <c r="F37" s="7">
        <v>2000</v>
      </c>
      <c r="G37" s="4" t="s">
        <v>313</v>
      </c>
    </row>
    <row r="38" spans="1:7" ht="12.75">
      <c r="A38" s="98" t="s">
        <v>367</v>
      </c>
      <c r="B38" s="98" t="s">
        <v>368</v>
      </c>
      <c r="D38" s="4" t="s">
        <v>368</v>
      </c>
      <c r="E38" s="7">
        <v>1000</v>
      </c>
      <c r="F38" s="7">
        <v>1000</v>
      </c>
      <c r="G38" s="4" t="s">
        <v>313</v>
      </c>
    </row>
    <row r="39" spans="1:7" ht="12.75">
      <c r="A39" s="98" t="s">
        <v>369</v>
      </c>
      <c r="B39" s="98" t="s">
        <v>370</v>
      </c>
      <c r="D39" s="4" t="s">
        <v>370</v>
      </c>
      <c r="E39" s="7">
        <v>400</v>
      </c>
      <c r="F39" s="7">
        <v>400</v>
      </c>
      <c r="G39" s="4" t="s">
        <v>313</v>
      </c>
    </row>
    <row r="40" spans="1:7" ht="12.75">
      <c r="A40" s="98" t="s">
        <v>371</v>
      </c>
      <c r="B40" s="98" t="s">
        <v>372</v>
      </c>
      <c r="D40" s="4" t="s">
        <v>372</v>
      </c>
      <c r="E40" s="7">
        <v>500</v>
      </c>
      <c r="F40" s="7">
        <v>800</v>
      </c>
      <c r="G40" s="4" t="s">
        <v>313</v>
      </c>
    </row>
    <row r="41" spans="1:7" ht="12.75">
      <c r="A41" s="98" t="s">
        <v>373</v>
      </c>
      <c r="B41" s="98" t="s">
        <v>374</v>
      </c>
      <c r="D41" s="4" t="s">
        <v>374</v>
      </c>
      <c r="E41" s="7">
        <v>700</v>
      </c>
      <c r="F41" s="7">
        <v>2000</v>
      </c>
      <c r="G41" s="4" t="s">
        <v>313</v>
      </c>
    </row>
    <row r="42" spans="1:7" ht="12.75">
      <c r="A42" s="98" t="s">
        <v>375</v>
      </c>
      <c r="B42" s="98" t="s">
        <v>376</v>
      </c>
      <c r="D42" s="4" t="s">
        <v>376</v>
      </c>
      <c r="E42" s="7">
        <v>6000</v>
      </c>
      <c r="F42" s="7">
        <v>8000</v>
      </c>
      <c r="G42" s="4" t="s">
        <v>313</v>
      </c>
    </row>
    <row r="43" spans="1:7" ht="12.75">
      <c r="A43" s="98" t="s">
        <v>377</v>
      </c>
      <c r="B43" s="98" t="s">
        <v>340</v>
      </c>
      <c r="D43" s="4" t="s">
        <v>340</v>
      </c>
      <c r="E43" s="7">
        <v>300</v>
      </c>
      <c r="F43" s="7">
        <v>1100</v>
      </c>
      <c r="G43" s="4" t="s">
        <v>313</v>
      </c>
    </row>
    <row r="44" spans="1:7" ht="12.75">
      <c r="A44" s="98" t="s">
        <v>378</v>
      </c>
      <c r="B44" s="98" t="s">
        <v>379</v>
      </c>
      <c r="D44" s="4" t="s">
        <v>379</v>
      </c>
      <c r="E44" s="7">
        <v>800</v>
      </c>
      <c r="F44" s="7">
        <v>1500</v>
      </c>
      <c r="G44" s="4" t="s">
        <v>313</v>
      </c>
    </row>
    <row r="45" spans="1:7" ht="12.75">
      <c r="A45" s="98" t="s">
        <v>380</v>
      </c>
      <c r="B45" s="98" t="s">
        <v>381</v>
      </c>
      <c r="D45" s="4" t="s">
        <v>381</v>
      </c>
      <c r="E45" s="7">
        <v>500</v>
      </c>
      <c r="F45" s="7">
        <v>700</v>
      </c>
      <c r="G45" s="4" t="s">
        <v>313</v>
      </c>
    </row>
    <row r="46" spans="1:7" ht="12.75">
      <c r="A46" s="98" t="s">
        <v>382</v>
      </c>
      <c r="B46" s="98" t="s">
        <v>383</v>
      </c>
      <c r="D46" s="4" t="s">
        <v>383</v>
      </c>
      <c r="E46" s="7">
        <v>80</v>
      </c>
      <c r="F46" s="7">
        <v>120</v>
      </c>
      <c r="G46" s="4" t="s">
        <v>313</v>
      </c>
    </row>
    <row r="47" spans="1:7" ht="12.75">
      <c r="A47" s="98" t="s">
        <v>384</v>
      </c>
      <c r="B47" s="98" t="s">
        <v>320</v>
      </c>
      <c r="D47" s="4" t="s">
        <v>320</v>
      </c>
      <c r="E47" s="7">
        <v>500</v>
      </c>
      <c r="F47" s="7">
        <v>1500</v>
      </c>
      <c r="G47" s="4" t="s">
        <v>313</v>
      </c>
    </row>
    <row r="48" spans="1:7" ht="12.75">
      <c r="A48" s="98" t="s">
        <v>385</v>
      </c>
      <c r="B48" s="98" t="s">
        <v>386</v>
      </c>
      <c r="D48" s="4" t="s">
        <v>386</v>
      </c>
      <c r="E48" s="7">
        <v>816</v>
      </c>
      <c r="F48" s="7">
        <v>816</v>
      </c>
      <c r="G48" s="4" t="s">
        <v>313</v>
      </c>
    </row>
    <row r="49" spans="1:7" ht="12.75">
      <c r="A49" s="98" t="s">
        <v>387</v>
      </c>
      <c r="B49" s="98" t="s">
        <v>322</v>
      </c>
      <c r="D49" s="4" t="s">
        <v>322</v>
      </c>
      <c r="E49" s="7">
        <v>150</v>
      </c>
      <c r="F49" s="7">
        <v>400</v>
      </c>
      <c r="G49" s="4" t="s">
        <v>313</v>
      </c>
    </row>
    <row r="50" spans="1:7" ht="12.75">
      <c r="A50" s="98" t="s">
        <v>388</v>
      </c>
      <c r="B50" s="98" t="s">
        <v>372</v>
      </c>
      <c r="D50" s="4" t="s">
        <v>372</v>
      </c>
      <c r="E50" s="7">
        <v>500</v>
      </c>
      <c r="F50" s="7">
        <v>800</v>
      </c>
      <c r="G50" s="4" t="s">
        <v>313</v>
      </c>
    </row>
    <row r="51" spans="1:7" ht="12.75">
      <c r="A51" s="98" t="s">
        <v>389</v>
      </c>
      <c r="B51" s="98" t="s">
        <v>390</v>
      </c>
      <c r="D51" s="4" t="s">
        <v>390</v>
      </c>
      <c r="E51" s="7">
        <v>3000</v>
      </c>
      <c r="F51" s="7">
        <v>5000</v>
      </c>
      <c r="G51" s="4" t="s">
        <v>313</v>
      </c>
    </row>
    <row r="52" spans="1:7" ht="12.75">
      <c r="A52" s="98" t="s">
        <v>391</v>
      </c>
      <c r="B52" s="98" t="s">
        <v>392</v>
      </c>
      <c r="D52" s="4" t="s">
        <v>392</v>
      </c>
      <c r="E52" s="7">
        <v>2000</v>
      </c>
      <c r="F52" s="7">
        <v>5000</v>
      </c>
      <c r="G52" s="4" t="s">
        <v>313</v>
      </c>
    </row>
    <row r="53" spans="1:7" ht="12.75">
      <c r="A53" s="98" t="s">
        <v>393</v>
      </c>
      <c r="B53" s="98" t="s">
        <v>394</v>
      </c>
      <c r="D53" s="4" t="s">
        <v>394</v>
      </c>
      <c r="E53" s="7">
        <v>227</v>
      </c>
      <c r="F53" s="7">
        <v>227</v>
      </c>
      <c r="G53" s="4" t="s">
        <v>313</v>
      </c>
    </row>
    <row r="54" spans="1:7" ht="12.75">
      <c r="A54" s="98" t="s">
        <v>395</v>
      </c>
      <c r="B54" s="98"/>
      <c r="C54" s="98" t="s">
        <v>396</v>
      </c>
      <c r="D54" s="4" t="s">
        <v>396</v>
      </c>
      <c r="E54" s="7">
        <v>38</v>
      </c>
      <c r="F54" s="7">
        <v>97</v>
      </c>
      <c r="G54" s="4" t="s">
        <v>74</v>
      </c>
    </row>
    <row r="55" spans="1:7" ht="12.75">
      <c r="A55" s="98" t="s">
        <v>397</v>
      </c>
      <c r="B55" s="98"/>
      <c r="C55" s="98" t="s">
        <v>396</v>
      </c>
      <c r="D55" s="4" t="s">
        <v>396</v>
      </c>
      <c r="E55" s="7">
        <v>38</v>
      </c>
      <c r="F55" s="7">
        <v>97</v>
      </c>
      <c r="G55" s="4" t="s">
        <v>74</v>
      </c>
    </row>
    <row r="56" spans="1:7" ht="12.75">
      <c r="A56" s="98" t="s">
        <v>398</v>
      </c>
      <c r="B56" s="99" t="s">
        <v>399</v>
      </c>
      <c r="C56" s="98"/>
      <c r="D56" s="4" t="s">
        <v>399</v>
      </c>
      <c r="E56" s="7">
        <v>10</v>
      </c>
      <c r="F56" s="7">
        <v>29</v>
      </c>
      <c r="G56" s="4" t="s">
        <v>74</v>
      </c>
    </row>
    <row r="57" spans="1:7" ht="12.75">
      <c r="A57" s="98" t="s">
        <v>400</v>
      </c>
      <c r="B57" s="98" t="s">
        <v>401</v>
      </c>
      <c r="C57" s="98"/>
      <c r="D57" s="4" t="s">
        <v>401</v>
      </c>
      <c r="E57" s="7">
        <v>227</v>
      </c>
      <c r="F57" s="7">
        <v>1000</v>
      </c>
      <c r="G57" s="4" t="s">
        <v>74</v>
      </c>
    </row>
    <row r="58" spans="1:7" ht="12.75">
      <c r="A58" s="98" t="s">
        <v>402</v>
      </c>
      <c r="B58" s="98" t="s">
        <v>403</v>
      </c>
      <c r="C58" s="98"/>
      <c r="D58" s="4" t="s">
        <v>403</v>
      </c>
      <c r="E58" s="7">
        <v>2000</v>
      </c>
      <c r="F58" s="7">
        <v>10000</v>
      </c>
      <c r="G58" s="4" t="s">
        <v>74</v>
      </c>
    </row>
    <row r="59" spans="1:7" ht="12.75">
      <c r="A59" s="98" t="s">
        <v>404</v>
      </c>
      <c r="B59" s="98" t="s">
        <v>405</v>
      </c>
      <c r="C59" s="98"/>
      <c r="D59" s="4" t="s">
        <v>405</v>
      </c>
      <c r="E59" s="7">
        <v>100</v>
      </c>
      <c r="F59" s="7">
        <v>600</v>
      </c>
      <c r="G59" s="4" t="s">
        <v>74</v>
      </c>
    </row>
    <row r="60" spans="1:7" ht="12.75">
      <c r="A60" s="98" t="s">
        <v>406</v>
      </c>
      <c r="B60" s="98" t="s">
        <v>407</v>
      </c>
      <c r="C60" s="98"/>
      <c r="D60" s="4" t="s">
        <v>407</v>
      </c>
      <c r="E60" s="7">
        <v>100</v>
      </c>
      <c r="F60" s="7">
        <v>750</v>
      </c>
      <c r="G60" s="4" t="s">
        <v>74</v>
      </c>
    </row>
    <row r="61" spans="1:7" ht="12.75">
      <c r="A61" s="98" t="s">
        <v>408</v>
      </c>
      <c r="B61" s="98" t="s">
        <v>409</v>
      </c>
      <c r="C61" s="98"/>
      <c r="D61" s="4" t="s">
        <v>409</v>
      </c>
      <c r="E61" s="7">
        <v>32</v>
      </c>
      <c r="F61" s="7">
        <v>713</v>
      </c>
      <c r="G61" s="4" t="s">
        <v>74</v>
      </c>
    </row>
    <row r="62" spans="1:7" ht="12.75">
      <c r="A62" s="98" t="s">
        <v>410</v>
      </c>
      <c r="B62" s="98" t="s">
        <v>411</v>
      </c>
      <c r="C62" s="98"/>
      <c r="D62" s="4" t="s">
        <v>411</v>
      </c>
      <c r="E62" s="7">
        <v>20</v>
      </c>
      <c r="F62" s="7">
        <v>22</v>
      </c>
      <c r="G62" s="4" t="s">
        <v>74</v>
      </c>
    </row>
    <row r="63" spans="1:7" ht="12.75">
      <c r="A63" s="98" t="s">
        <v>412</v>
      </c>
      <c r="B63" s="98" t="s">
        <v>413</v>
      </c>
      <c r="C63" s="98"/>
      <c r="D63" s="4" t="s">
        <v>413</v>
      </c>
      <c r="E63" s="7">
        <v>5000</v>
      </c>
      <c r="F63" s="7">
        <v>20000</v>
      </c>
      <c r="G63" s="4" t="s">
        <v>74</v>
      </c>
    </row>
    <row r="64" spans="1:7" ht="12.75">
      <c r="A64" s="98" t="s">
        <v>414</v>
      </c>
      <c r="B64" s="98" t="s">
        <v>415</v>
      </c>
      <c r="C64" s="98"/>
      <c r="D64" s="4" t="s">
        <v>415</v>
      </c>
      <c r="E64" s="7">
        <v>63</v>
      </c>
      <c r="F64" s="7">
        <v>231</v>
      </c>
      <c r="G64" s="4" t="s">
        <v>74</v>
      </c>
    </row>
    <row r="65" spans="1:7" ht="12.75">
      <c r="A65" s="98" t="s">
        <v>416</v>
      </c>
      <c r="B65" s="98" t="s">
        <v>417</v>
      </c>
      <c r="C65" s="98"/>
      <c r="D65" s="4" t="s">
        <v>417</v>
      </c>
      <c r="E65" s="7">
        <v>69</v>
      </c>
      <c r="F65" s="7">
        <v>127</v>
      </c>
      <c r="G65" s="4" t="s">
        <v>74</v>
      </c>
    </row>
    <row r="66" spans="1:7" ht="12.75">
      <c r="A66" s="98" t="s">
        <v>391</v>
      </c>
      <c r="B66" s="98" t="s">
        <v>418</v>
      </c>
      <c r="C66" s="98"/>
      <c r="D66" s="4" t="s">
        <v>418</v>
      </c>
      <c r="E66" s="7">
        <v>800</v>
      </c>
      <c r="F66" s="7">
        <v>4000</v>
      </c>
      <c r="G66" s="4" t="s">
        <v>74</v>
      </c>
    </row>
    <row r="67" spans="1:7" ht="12.75">
      <c r="A67" s="98" t="s">
        <v>419</v>
      </c>
      <c r="B67" s="98" t="s">
        <v>420</v>
      </c>
      <c r="C67" s="98"/>
      <c r="D67" s="4" t="s">
        <v>420</v>
      </c>
      <c r="E67" s="7">
        <v>7</v>
      </c>
      <c r="F67" s="7">
        <v>224</v>
      </c>
      <c r="G67" s="4" t="s">
        <v>74</v>
      </c>
    </row>
    <row r="68" spans="1:7" ht="12.75">
      <c r="A68" s="98" t="s">
        <v>421</v>
      </c>
      <c r="B68" s="98" t="s">
        <v>422</v>
      </c>
      <c r="C68" s="98"/>
      <c r="D68" s="4" t="s">
        <v>422</v>
      </c>
      <c r="E68" s="7">
        <v>389</v>
      </c>
      <c r="F68" s="7">
        <v>454</v>
      </c>
      <c r="G68" s="4" t="s">
        <v>74</v>
      </c>
    </row>
    <row r="69" spans="1:7" ht="12.75">
      <c r="A69" s="98" t="s">
        <v>423</v>
      </c>
      <c r="B69" s="98" t="s">
        <v>424</v>
      </c>
      <c r="C69" s="98"/>
      <c r="D69" s="4" t="s">
        <v>424</v>
      </c>
      <c r="E69" s="7">
        <v>135</v>
      </c>
      <c r="F69" s="7">
        <v>340</v>
      </c>
      <c r="G69" s="4" t="s">
        <v>74</v>
      </c>
    </row>
    <row r="70" spans="1:7" ht="12.75">
      <c r="A70" s="98" t="s">
        <v>425</v>
      </c>
      <c r="B70" s="98" t="s">
        <v>426</v>
      </c>
      <c r="C70" s="98"/>
      <c r="D70" s="4" t="s">
        <v>426</v>
      </c>
      <c r="E70" s="7">
        <v>200</v>
      </c>
      <c r="F70" s="7">
        <v>1000</v>
      </c>
      <c r="G70" s="4" t="s">
        <v>74</v>
      </c>
    </row>
    <row r="71" spans="1:7" ht="12.75">
      <c r="A71" s="98" t="s">
        <v>427</v>
      </c>
      <c r="B71" s="98"/>
      <c r="C71" s="98" t="s">
        <v>428</v>
      </c>
      <c r="D71" s="4" t="s">
        <v>428</v>
      </c>
      <c r="E71" s="7">
        <v>38</v>
      </c>
      <c r="F71" s="7">
        <v>96</v>
      </c>
      <c r="G71" s="4" t="s">
        <v>74</v>
      </c>
    </row>
    <row r="72" spans="1:7" ht="12.75">
      <c r="A72" s="98" t="s">
        <v>429</v>
      </c>
      <c r="B72" s="98"/>
      <c r="C72" s="98" t="s">
        <v>428</v>
      </c>
      <c r="D72" s="4" t="s">
        <v>428</v>
      </c>
      <c r="E72" s="7">
        <v>38</v>
      </c>
      <c r="F72" s="7">
        <v>96</v>
      </c>
      <c r="G72" s="4" t="s">
        <v>74</v>
      </c>
    </row>
    <row r="73" spans="1:7" ht="12.75">
      <c r="A73" s="98" t="s">
        <v>430</v>
      </c>
      <c r="B73" s="98" t="s">
        <v>431</v>
      </c>
      <c r="C73" s="98"/>
      <c r="D73" s="4" t="s">
        <v>431</v>
      </c>
      <c r="E73" s="7">
        <v>27</v>
      </c>
      <c r="F73" s="7">
        <v>34</v>
      </c>
      <c r="G73" s="4" t="s">
        <v>74</v>
      </c>
    </row>
    <row r="74" spans="1:7" ht="12.75">
      <c r="A74" s="98" t="s">
        <v>432</v>
      </c>
      <c r="B74" s="98"/>
      <c r="C74" s="98" t="s">
        <v>428</v>
      </c>
      <c r="D74" s="4" t="s">
        <v>428</v>
      </c>
      <c r="E74" s="7">
        <v>38</v>
      </c>
      <c r="F74" s="7">
        <v>96</v>
      </c>
      <c r="G74" s="4" t="s">
        <v>74</v>
      </c>
    </row>
    <row r="75" spans="1:7" ht="12.75">
      <c r="A75" s="98" t="s">
        <v>433</v>
      </c>
      <c r="B75" s="98" t="s">
        <v>434</v>
      </c>
      <c r="C75" s="98"/>
      <c r="D75" s="4" t="s">
        <v>434</v>
      </c>
      <c r="E75" s="7">
        <v>17</v>
      </c>
      <c r="F75" s="7">
        <v>17</v>
      </c>
      <c r="G75" s="4" t="s">
        <v>74</v>
      </c>
    </row>
    <row r="76" spans="1:7" ht="12.75">
      <c r="A76" s="98" t="s">
        <v>435</v>
      </c>
      <c r="B76" s="98" t="s">
        <v>436</v>
      </c>
      <c r="C76" s="98"/>
      <c r="D76" s="4" t="s">
        <v>436</v>
      </c>
      <c r="E76" s="7">
        <v>17</v>
      </c>
      <c r="F76" s="7">
        <v>50</v>
      </c>
      <c r="G76" s="4" t="s">
        <v>74</v>
      </c>
    </row>
    <row r="77" spans="1:7" ht="12.75">
      <c r="A77" s="98" t="s">
        <v>437</v>
      </c>
      <c r="B77" s="98"/>
      <c r="C77" s="98" t="s">
        <v>428</v>
      </c>
      <c r="D77" s="4" t="s">
        <v>428</v>
      </c>
      <c r="E77" s="7">
        <v>38</v>
      </c>
      <c r="F77" s="7">
        <v>96</v>
      </c>
      <c r="G77" s="4" t="s">
        <v>74</v>
      </c>
    </row>
    <row r="78" spans="1:7" ht="12.75">
      <c r="A78" s="98" t="s">
        <v>438</v>
      </c>
      <c r="B78" s="98" t="s">
        <v>439</v>
      </c>
      <c r="C78" s="98"/>
      <c r="D78" s="4" t="s">
        <v>439</v>
      </c>
      <c r="E78" s="7">
        <v>87</v>
      </c>
      <c r="F78" s="7">
        <v>132</v>
      </c>
      <c r="G78" s="4" t="s">
        <v>74</v>
      </c>
    </row>
    <row r="79" spans="1:7" ht="12.75">
      <c r="A79" s="98" t="s">
        <v>440</v>
      </c>
      <c r="B79" s="98" t="s">
        <v>441</v>
      </c>
      <c r="C79" s="98"/>
      <c r="D79" s="4" t="s">
        <v>441</v>
      </c>
      <c r="E79" s="7">
        <v>234</v>
      </c>
      <c r="F79" s="7">
        <v>234</v>
      </c>
      <c r="G79" s="4" t="s">
        <v>74</v>
      </c>
    </row>
    <row r="80" spans="1:7" ht="12.75">
      <c r="A80" s="98" t="s">
        <v>442</v>
      </c>
      <c r="B80" s="98" t="s">
        <v>443</v>
      </c>
      <c r="C80" s="98"/>
      <c r="D80" s="4" t="s">
        <v>443</v>
      </c>
      <c r="E80" s="7">
        <v>11</v>
      </c>
      <c r="F80" s="7">
        <v>1000</v>
      </c>
      <c r="G80" s="4" t="s">
        <v>74</v>
      </c>
    </row>
    <row r="81" spans="1:7" ht="12.75">
      <c r="A81" s="98" t="s">
        <v>444</v>
      </c>
      <c r="B81" s="98" t="s">
        <v>445</v>
      </c>
      <c r="C81" s="98"/>
      <c r="D81" s="4" t="s">
        <v>445</v>
      </c>
      <c r="E81" s="7">
        <v>8</v>
      </c>
      <c r="F81" s="7">
        <v>38</v>
      </c>
      <c r="G81" s="4" t="s">
        <v>74</v>
      </c>
    </row>
    <row r="82" spans="1:7" ht="12.75">
      <c r="A82" s="98" t="s">
        <v>446</v>
      </c>
      <c r="B82" s="98" t="s">
        <v>447</v>
      </c>
      <c r="C82" s="98"/>
      <c r="D82" s="4" t="s">
        <v>447</v>
      </c>
      <c r="E82" s="7">
        <v>83</v>
      </c>
      <c r="F82" s="7">
        <v>83</v>
      </c>
      <c r="G82" s="4" t="s">
        <v>74</v>
      </c>
    </row>
    <row r="83" spans="1:7" ht="12.75">
      <c r="A83" s="98" t="s">
        <v>448</v>
      </c>
      <c r="B83" s="98"/>
      <c r="C83" s="98" t="s">
        <v>428</v>
      </c>
      <c r="D83" s="4" t="s">
        <v>428</v>
      </c>
      <c r="E83" s="7">
        <v>38</v>
      </c>
      <c r="F83" s="7">
        <v>96</v>
      </c>
      <c r="G83" s="4" t="s">
        <v>74</v>
      </c>
    </row>
    <row r="84" spans="1:7" ht="12.75">
      <c r="A84" s="98" t="s">
        <v>449</v>
      </c>
      <c r="B84" s="98" t="s">
        <v>450</v>
      </c>
      <c r="C84" s="98"/>
      <c r="D84" s="4" t="s">
        <v>450</v>
      </c>
      <c r="E84" s="7">
        <v>1364</v>
      </c>
      <c r="F84" s="7">
        <v>2273</v>
      </c>
      <c r="G84" s="4" t="s">
        <v>74</v>
      </c>
    </row>
    <row r="85" spans="1:7" ht="12.75">
      <c r="A85" s="98" t="s">
        <v>451</v>
      </c>
      <c r="B85" s="98" t="s">
        <v>452</v>
      </c>
      <c r="C85" s="98"/>
      <c r="D85" s="4" t="s">
        <v>452</v>
      </c>
      <c r="E85" s="7">
        <v>120</v>
      </c>
      <c r="F85" s="7">
        <v>183</v>
      </c>
      <c r="G85" s="4" t="s">
        <v>74</v>
      </c>
    </row>
    <row r="86" spans="1:7" ht="12.75">
      <c r="A86" s="98" t="s">
        <v>453</v>
      </c>
      <c r="B86" s="98" t="s">
        <v>454</v>
      </c>
      <c r="C86" s="98"/>
      <c r="D86" s="4" t="s">
        <v>454</v>
      </c>
      <c r="E86" s="7">
        <v>2273</v>
      </c>
      <c r="F86" s="7">
        <v>4545</v>
      </c>
      <c r="G86" s="4" t="s">
        <v>74</v>
      </c>
    </row>
    <row r="87" spans="1:7" ht="12.75">
      <c r="A87" s="98" t="s">
        <v>455</v>
      </c>
      <c r="B87" s="98"/>
      <c r="C87" s="98" t="s">
        <v>428</v>
      </c>
      <c r="D87" s="4" t="s">
        <v>428</v>
      </c>
      <c r="E87" s="7">
        <v>38</v>
      </c>
      <c r="F87" s="7">
        <v>96</v>
      </c>
      <c r="G87" s="4" t="s">
        <v>74</v>
      </c>
    </row>
    <row r="88" spans="1:7" ht="12.75">
      <c r="A88" s="98" t="s">
        <v>456</v>
      </c>
      <c r="B88" s="98" t="s">
        <v>457</v>
      </c>
      <c r="C88" s="98"/>
      <c r="D88" s="4" t="s">
        <v>457</v>
      </c>
      <c r="E88" s="7">
        <v>229</v>
      </c>
      <c r="F88" s="7">
        <v>499</v>
      </c>
      <c r="G88" s="4" t="s">
        <v>74</v>
      </c>
    </row>
    <row r="89" spans="1:7" ht="12.75">
      <c r="A89" s="98" t="s">
        <v>458</v>
      </c>
      <c r="B89" s="98" t="s">
        <v>459</v>
      </c>
      <c r="C89" s="98"/>
      <c r="D89" s="4" t="s">
        <v>459</v>
      </c>
      <c r="E89" s="7">
        <v>15000</v>
      </c>
      <c r="F89" s="7">
        <v>20000</v>
      </c>
      <c r="G89" s="4" t="s">
        <v>74</v>
      </c>
    </row>
    <row r="90" spans="1:7" ht="12.75">
      <c r="A90" s="98" t="s">
        <v>460</v>
      </c>
      <c r="B90" s="98" t="s">
        <v>461</v>
      </c>
      <c r="C90" s="98"/>
      <c r="D90" s="4" t="s">
        <v>461</v>
      </c>
      <c r="E90" s="7">
        <v>64</v>
      </c>
      <c r="F90" s="7">
        <v>400</v>
      </c>
      <c r="G90" s="4" t="s">
        <v>74</v>
      </c>
    </row>
    <row r="91" spans="1:7" ht="12.75">
      <c r="A91" s="98" t="s">
        <v>462</v>
      </c>
      <c r="B91" s="98"/>
      <c r="C91" s="98" t="s">
        <v>428</v>
      </c>
      <c r="D91" s="4" t="s">
        <v>428</v>
      </c>
      <c r="E91" s="7">
        <v>38</v>
      </c>
      <c r="F91" s="7">
        <v>96</v>
      </c>
      <c r="G91" s="4" t="s">
        <v>74</v>
      </c>
    </row>
    <row r="92" spans="1:7" ht="12.75">
      <c r="A92" s="98" t="s">
        <v>463</v>
      </c>
      <c r="B92" s="98" t="s">
        <v>464</v>
      </c>
      <c r="C92" s="98"/>
      <c r="D92" s="4" t="s">
        <v>464</v>
      </c>
      <c r="E92" s="7">
        <v>1400</v>
      </c>
      <c r="F92" s="7">
        <v>1400</v>
      </c>
      <c r="G92" s="4" t="s">
        <v>74</v>
      </c>
    </row>
    <row r="93" spans="1:7" ht="12.75">
      <c r="A93" s="98" t="s">
        <v>465</v>
      </c>
      <c r="B93" s="98" t="s">
        <v>466</v>
      </c>
      <c r="C93" s="98"/>
      <c r="D93" s="4" t="s">
        <v>466</v>
      </c>
      <c r="E93" s="7">
        <v>54</v>
      </c>
      <c r="F93" s="7">
        <v>193</v>
      </c>
      <c r="G93" s="4" t="s">
        <v>74</v>
      </c>
    </row>
    <row r="94" spans="1:7" ht="12.75">
      <c r="A94" s="98" t="s">
        <v>467</v>
      </c>
      <c r="B94" s="98" t="s">
        <v>468</v>
      </c>
      <c r="C94" s="98"/>
      <c r="D94" s="4" t="s">
        <v>468</v>
      </c>
      <c r="E94" s="7">
        <v>10689</v>
      </c>
      <c r="F94" s="7">
        <v>10689</v>
      </c>
      <c r="G94" s="4" t="s">
        <v>74</v>
      </c>
    </row>
    <row r="95" spans="1:7" ht="12.75">
      <c r="A95" s="98" t="s">
        <v>469</v>
      </c>
      <c r="B95" s="98" t="s">
        <v>407</v>
      </c>
      <c r="C95" s="98"/>
      <c r="D95" s="4" t="s">
        <v>407</v>
      </c>
      <c r="E95" s="7">
        <v>100</v>
      </c>
      <c r="F95" s="7">
        <v>750</v>
      </c>
      <c r="G95" s="4" t="s">
        <v>74</v>
      </c>
    </row>
    <row r="96" spans="1:7" ht="12.75">
      <c r="A96" s="98" t="s">
        <v>470</v>
      </c>
      <c r="B96" s="98" t="s">
        <v>471</v>
      </c>
      <c r="C96" s="98"/>
      <c r="D96" s="4" t="s">
        <v>471</v>
      </c>
      <c r="E96" s="7">
        <v>2200</v>
      </c>
      <c r="F96" s="7">
        <v>4500</v>
      </c>
      <c r="G96" s="4" t="s">
        <v>74</v>
      </c>
    </row>
    <row r="97" spans="1:7" ht="12.75">
      <c r="A97" s="98" t="s">
        <v>472</v>
      </c>
      <c r="B97" s="98" t="s">
        <v>473</v>
      </c>
      <c r="C97" s="98"/>
      <c r="D97" s="4" t="s">
        <v>473</v>
      </c>
      <c r="E97" s="7">
        <v>900</v>
      </c>
      <c r="F97" s="7">
        <v>1800</v>
      </c>
      <c r="G97" s="4" t="s">
        <v>74</v>
      </c>
    </row>
    <row r="98" spans="1:7" ht="12.75">
      <c r="A98" s="98" t="s">
        <v>474</v>
      </c>
      <c r="B98" s="98" t="s">
        <v>475</v>
      </c>
      <c r="C98" s="98"/>
      <c r="D98" s="4" t="s">
        <v>475</v>
      </c>
      <c r="E98" s="7">
        <v>455</v>
      </c>
      <c r="F98" s="7">
        <v>500</v>
      </c>
      <c r="G98" s="4" t="s">
        <v>74</v>
      </c>
    </row>
    <row r="99" spans="1:7" ht="12.75">
      <c r="A99" s="98" t="s">
        <v>476</v>
      </c>
      <c r="B99" s="98" t="s">
        <v>477</v>
      </c>
      <c r="C99" s="98"/>
      <c r="D99" s="4" t="s">
        <v>477</v>
      </c>
      <c r="E99" s="7">
        <v>400</v>
      </c>
      <c r="F99" s="7">
        <v>600</v>
      </c>
      <c r="G99" s="4" t="s">
        <v>74</v>
      </c>
    </row>
    <row r="100" spans="1:7" ht="12.75">
      <c r="A100" s="98" t="s">
        <v>478</v>
      </c>
      <c r="B100" s="98" t="s">
        <v>479</v>
      </c>
      <c r="C100" s="98"/>
      <c r="D100" s="4" t="s">
        <v>479</v>
      </c>
      <c r="E100" s="7">
        <v>237</v>
      </c>
      <c r="F100" s="7">
        <v>1034</v>
      </c>
      <c r="G100" s="4" t="s">
        <v>74</v>
      </c>
    </row>
    <row r="101" spans="1:7" ht="12.75">
      <c r="A101" s="98" t="s">
        <v>480</v>
      </c>
      <c r="B101" s="98" t="s">
        <v>481</v>
      </c>
      <c r="C101" s="98"/>
      <c r="D101" s="4" t="s">
        <v>481</v>
      </c>
      <c r="E101" s="7">
        <v>5000</v>
      </c>
      <c r="F101" s="7">
        <v>5000</v>
      </c>
      <c r="G101" s="4" t="s">
        <v>74</v>
      </c>
    </row>
    <row r="102" spans="1:7" ht="12.75">
      <c r="A102" s="98" t="s">
        <v>482</v>
      </c>
      <c r="B102" s="98" t="s">
        <v>483</v>
      </c>
      <c r="C102" s="98"/>
      <c r="D102" s="4" t="s">
        <v>483</v>
      </c>
      <c r="E102" s="7">
        <v>3182</v>
      </c>
      <c r="F102" s="7">
        <v>8182</v>
      </c>
      <c r="G102" s="4" t="s">
        <v>74</v>
      </c>
    </row>
    <row r="103" spans="1:7" ht="12.75">
      <c r="A103" s="98" t="s">
        <v>484</v>
      </c>
      <c r="B103" s="98" t="s">
        <v>485</v>
      </c>
      <c r="C103" s="98"/>
      <c r="D103" s="4" t="s">
        <v>485</v>
      </c>
      <c r="E103" s="7">
        <v>100</v>
      </c>
      <c r="F103" s="7">
        <v>100</v>
      </c>
      <c r="G103" s="4" t="s">
        <v>74</v>
      </c>
    </row>
    <row r="104" spans="1:7" ht="12.75">
      <c r="A104" s="98" t="s">
        <v>486</v>
      </c>
      <c r="B104" s="98"/>
      <c r="C104" s="98" t="s">
        <v>428</v>
      </c>
      <c r="D104" s="4" t="s">
        <v>428</v>
      </c>
      <c r="E104" s="7">
        <v>38</v>
      </c>
      <c r="F104" s="7">
        <v>96</v>
      </c>
      <c r="G104" s="4" t="s">
        <v>74</v>
      </c>
    </row>
    <row r="105" spans="1:7" ht="12.75">
      <c r="A105" s="98" t="s">
        <v>487</v>
      </c>
      <c r="B105" s="98" t="s">
        <v>452</v>
      </c>
      <c r="C105" s="98"/>
      <c r="D105" s="4" t="s">
        <v>452</v>
      </c>
      <c r="E105" s="7">
        <v>120</v>
      </c>
      <c r="F105" s="7">
        <v>183</v>
      </c>
      <c r="G105" s="4" t="s">
        <v>74</v>
      </c>
    </row>
    <row r="106" spans="1:7" ht="12.75">
      <c r="A106" s="98" t="s">
        <v>488</v>
      </c>
      <c r="B106" s="99" t="s">
        <v>489</v>
      </c>
      <c r="C106" s="98"/>
      <c r="D106" s="4" t="s">
        <v>489</v>
      </c>
      <c r="E106" s="7">
        <v>3</v>
      </c>
      <c r="F106" s="7">
        <v>22</v>
      </c>
      <c r="G106" s="4" t="s">
        <v>74</v>
      </c>
    </row>
    <row r="107" spans="1:7" ht="12.75">
      <c r="A107" s="98" t="s">
        <v>490</v>
      </c>
      <c r="B107" s="98"/>
      <c r="C107" s="98" t="s">
        <v>428</v>
      </c>
      <c r="D107" s="4" t="s">
        <v>428</v>
      </c>
      <c r="E107" s="7">
        <v>38</v>
      </c>
      <c r="F107" s="7">
        <v>96</v>
      </c>
      <c r="G107" s="4" t="s">
        <v>74</v>
      </c>
    </row>
    <row r="108" spans="1:7" ht="12.75">
      <c r="A108" s="98" t="s">
        <v>491</v>
      </c>
      <c r="B108" s="98" t="s">
        <v>492</v>
      </c>
      <c r="C108" s="98"/>
      <c r="D108" s="4" t="s">
        <v>492</v>
      </c>
      <c r="E108" s="7">
        <v>291</v>
      </c>
      <c r="F108" s="7">
        <v>291</v>
      </c>
      <c r="G108" s="4" t="s">
        <v>74</v>
      </c>
    </row>
    <row r="109" spans="1:7" ht="12.75">
      <c r="A109" s="98" t="s">
        <v>493</v>
      </c>
      <c r="B109" s="99" t="s">
        <v>494</v>
      </c>
      <c r="C109" s="98"/>
      <c r="D109" s="4" t="s">
        <v>494</v>
      </c>
      <c r="E109" s="7">
        <v>10</v>
      </c>
      <c r="F109" s="7">
        <v>10</v>
      </c>
      <c r="G109" s="4" t="s">
        <v>74</v>
      </c>
    </row>
    <row r="110" spans="1:7" ht="12.75">
      <c r="A110" s="98" t="s">
        <v>495</v>
      </c>
      <c r="B110" s="98" t="s">
        <v>496</v>
      </c>
      <c r="C110" s="98"/>
      <c r="D110" s="4" t="s">
        <v>496</v>
      </c>
      <c r="E110" s="7">
        <v>143</v>
      </c>
      <c r="F110" s="7">
        <v>292</v>
      </c>
      <c r="G110" s="4" t="s">
        <v>74</v>
      </c>
    </row>
    <row r="111" spans="1:7" ht="12.75">
      <c r="A111" s="98" t="s">
        <v>497</v>
      </c>
      <c r="B111" s="98" t="s">
        <v>498</v>
      </c>
      <c r="C111" s="98"/>
      <c r="D111" s="4" t="s">
        <v>498</v>
      </c>
      <c r="E111" s="7">
        <v>465</v>
      </c>
      <c r="F111" s="7">
        <v>2030</v>
      </c>
      <c r="G111" s="4" t="s">
        <v>74</v>
      </c>
    </row>
    <row r="112" spans="1:7" ht="12.75">
      <c r="A112" s="98" t="s">
        <v>499</v>
      </c>
      <c r="B112" s="98" t="s">
        <v>500</v>
      </c>
      <c r="C112" s="98"/>
      <c r="D112" s="4" t="s">
        <v>500</v>
      </c>
      <c r="E112" s="7">
        <v>2000</v>
      </c>
      <c r="F112" s="7">
        <v>4000</v>
      </c>
      <c r="G112" s="4" t="s">
        <v>74</v>
      </c>
    </row>
    <row r="113" spans="1:7" ht="12.75">
      <c r="A113" s="98" t="s">
        <v>501</v>
      </c>
      <c r="B113" s="98" t="s">
        <v>502</v>
      </c>
      <c r="C113" s="98"/>
      <c r="D113" s="4" t="s">
        <v>502</v>
      </c>
      <c r="E113" s="7">
        <v>5750</v>
      </c>
      <c r="F113" s="7">
        <v>5900</v>
      </c>
      <c r="G113" s="4" t="s">
        <v>74</v>
      </c>
    </row>
    <row r="114" spans="1:7" ht="12.75">
      <c r="A114" s="98" t="s">
        <v>503</v>
      </c>
      <c r="B114" s="98" t="s">
        <v>504</v>
      </c>
      <c r="C114" s="98"/>
      <c r="D114" s="4" t="s">
        <v>504</v>
      </c>
      <c r="E114" s="7">
        <v>500</v>
      </c>
      <c r="F114" s="7">
        <v>1035</v>
      </c>
      <c r="G114" s="4" t="s">
        <v>74</v>
      </c>
    </row>
    <row r="115" spans="1:7" ht="12.75">
      <c r="A115" s="98" t="s">
        <v>505</v>
      </c>
      <c r="B115" s="98" t="s">
        <v>506</v>
      </c>
      <c r="C115" s="98"/>
      <c r="D115" s="4" t="s">
        <v>506</v>
      </c>
      <c r="E115" s="7">
        <v>20</v>
      </c>
      <c r="F115" s="7">
        <v>2000</v>
      </c>
      <c r="G115" s="4" t="s">
        <v>74</v>
      </c>
    </row>
    <row r="116" spans="1:7" ht="12.75">
      <c r="A116" s="98" t="s">
        <v>507</v>
      </c>
      <c r="B116" s="98" t="s">
        <v>508</v>
      </c>
      <c r="C116" s="98"/>
      <c r="D116" s="4" t="s">
        <v>508</v>
      </c>
      <c r="E116" s="7">
        <v>3</v>
      </c>
      <c r="F116" s="7">
        <v>94</v>
      </c>
      <c r="G116" s="4" t="s">
        <v>74</v>
      </c>
    </row>
    <row r="117" spans="1:7" ht="12.75">
      <c r="A117" s="98" t="s">
        <v>509</v>
      </c>
      <c r="B117" s="98"/>
      <c r="C117" s="98" t="s">
        <v>428</v>
      </c>
      <c r="D117" s="4" t="s">
        <v>428</v>
      </c>
      <c r="E117" s="7">
        <v>38</v>
      </c>
      <c r="F117" s="7">
        <v>96</v>
      </c>
      <c r="G117" s="4" t="s">
        <v>74</v>
      </c>
    </row>
    <row r="118" spans="1:7" ht="12.75">
      <c r="A118" s="98" t="s">
        <v>510</v>
      </c>
      <c r="B118" s="98"/>
      <c r="C118" s="98" t="s">
        <v>428</v>
      </c>
      <c r="D118" s="4" t="s">
        <v>428</v>
      </c>
      <c r="E118" s="7">
        <v>38</v>
      </c>
      <c r="F118" s="7">
        <v>96</v>
      </c>
      <c r="G118" s="4" t="s">
        <v>74</v>
      </c>
    </row>
    <row r="119" spans="1:7" ht="12.75">
      <c r="A119" s="98" t="s">
        <v>511</v>
      </c>
      <c r="B119" s="98"/>
      <c r="C119" s="98" t="s">
        <v>512</v>
      </c>
      <c r="D119" s="4" t="s">
        <v>512</v>
      </c>
      <c r="E119" s="7">
        <v>5950</v>
      </c>
      <c r="F119" s="7">
        <v>10539</v>
      </c>
      <c r="G119" s="4" t="s">
        <v>74</v>
      </c>
    </row>
    <row r="120" spans="1:7" ht="12.75">
      <c r="A120" s="98" t="s">
        <v>513</v>
      </c>
      <c r="B120" s="98" t="s">
        <v>459</v>
      </c>
      <c r="C120" s="98"/>
      <c r="D120" s="4" t="s">
        <v>459</v>
      </c>
      <c r="E120" s="7">
        <v>15000</v>
      </c>
      <c r="F120" s="7">
        <v>20000</v>
      </c>
      <c r="G120" s="4" t="s">
        <v>74</v>
      </c>
    </row>
    <row r="121" spans="1:7" ht="12.75">
      <c r="A121" s="98" t="s">
        <v>514</v>
      </c>
      <c r="B121" s="98" t="s">
        <v>515</v>
      </c>
      <c r="C121" s="98"/>
      <c r="D121" s="4" t="s">
        <v>515</v>
      </c>
      <c r="E121" s="7">
        <v>33</v>
      </c>
      <c r="F121" s="7">
        <v>110</v>
      </c>
      <c r="G121" s="4" t="s">
        <v>74</v>
      </c>
    </row>
    <row r="122" spans="1:7" ht="12.75">
      <c r="A122" s="98" t="s">
        <v>516</v>
      </c>
      <c r="B122" s="98" t="s">
        <v>517</v>
      </c>
      <c r="C122" s="98"/>
      <c r="D122" s="4" t="s">
        <v>517</v>
      </c>
      <c r="E122" s="7">
        <v>2000</v>
      </c>
      <c r="F122" s="7">
        <v>2000</v>
      </c>
      <c r="G122" s="4" t="s">
        <v>74</v>
      </c>
    </row>
    <row r="123" spans="1:7" ht="12.75">
      <c r="A123" s="98" t="s">
        <v>518</v>
      </c>
      <c r="B123" s="98"/>
      <c r="C123" s="98" t="s">
        <v>428</v>
      </c>
      <c r="D123" s="4" t="s">
        <v>428</v>
      </c>
      <c r="E123" s="7">
        <v>38</v>
      </c>
      <c r="F123" s="7">
        <v>96</v>
      </c>
      <c r="G123" s="4" t="s">
        <v>74</v>
      </c>
    </row>
    <row r="124" spans="1:7" ht="12.75">
      <c r="A124" s="98" t="s">
        <v>519</v>
      </c>
      <c r="B124" s="98" t="s">
        <v>520</v>
      </c>
      <c r="C124" s="98"/>
      <c r="D124" s="4" t="s">
        <v>520</v>
      </c>
      <c r="E124" s="7">
        <v>15</v>
      </c>
      <c r="F124" s="7">
        <v>84</v>
      </c>
      <c r="G124" s="4" t="s">
        <v>74</v>
      </c>
    </row>
    <row r="125" spans="1:7" ht="12.75">
      <c r="A125" s="98" t="s">
        <v>521</v>
      </c>
      <c r="B125" s="98" t="s">
        <v>522</v>
      </c>
      <c r="C125" s="98"/>
      <c r="D125" s="4" t="s">
        <v>522</v>
      </c>
      <c r="E125" s="7">
        <v>4540</v>
      </c>
      <c r="F125" s="7">
        <v>21364</v>
      </c>
      <c r="G125" s="4" t="s">
        <v>74</v>
      </c>
    </row>
    <row r="126" spans="1:7" ht="12.75">
      <c r="A126" s="98" t="s">
        <v>523</v>
      </c>
      <c r="B126" s="98"/>
      <c r="C126" s="98" t="s">
        <v>428</v>
      </c>
      <c r="D126" s="4" t="s">
        <v>428</v>
      </c>
      <c r="E126" s="7">
        <v>38</v>
      </c>
      <c r="F126" s="7">
        <v>96</v>
      </c>
      <c r="G126" s="4" t="s">
        <v>74</v>
      </c>
    </row>
    <row r="127" spans="1:7" ht="12.75">
      <c r="A127" s="98" t="s">
        <v>524</v>
      </c>
      <c r="B127" s="98" t="s">
        <v>525</v>
      </c>
      <c r="C127" s="98"/>
      <c r="D127" s="4" t="s">
        <v>525</v>
      </c>
      <c r="E127" s="7">
        <v>5</v>
      </c>
      <c r="F127" s="7">
        <v>69</v>
      </c>
      <c r="G127" s="4" t="s">
        <v>74</v>
      </c>
    </row>
    <row r="128" spans="1:7" ht="12.75">
      <c r="A128" s="98" t="s">
        <v>526</v>
      </c>
      <c r="B128" s="98"/>
      <c r="C128" s="98" t="s">
        <v>428</v>
      </c>
      <c r="D128" s="4" t="s">
        <v>428</v>
      </c>
      <c r="E128" s="7">
        <v>38</v>
      </c>
      <c r="F128" s="7">
        <v>96</v>
      </c>
      <c r="G128" s="4" t="s">
        <v>74</v>
      </c>
    </row>
    <row r="129" spans="1:7" ht="12.75">
      <c r="A129" s="98" t="s">
        <v>527</v>
      </c>
      <c r="B129" s="98"/>
      <c r="C129" s="98" t="s">
        <v>428</v>
      </c>
      <c r="D129" s="4" t="s">
        <v>428</v>
      </c>
      <c r="E129" s="7">
        <v>38</v>
      </c>
      <c r="F129" s="7">
        <v>96</v>
      </c>
      <c r="G129" s="4" t="s">
        <v>74</v>
      </c>
    </row>
    <row r="130" spans="1:7" ht="12.75">
      <c r="A130" s="98" t="s">
        <v>528</v>
      </c>
      <c r="B130" s="98" t="s">
        <v>445</v>
      </c>
      <c r="C130" s="98"/>
      <c r="D130" s="4" t="s">
        <v>445</v>
      </c>
      <c r="E130" s="7">
        <v>8</v>
      </c>
      <c r="F130" s="7">
        <v>38</v>
      </c>
      <c r="G130" s="4" t="s">
        <v>74</v>
      </c>
    </row>
    <row r="131" spans="1:7" ht="12.75">
      <c r="A131" s="98" t="s">
        <v>529</v>
      </c>
      <c r="B131" s="98" t="s">
        <v>530</v>
      </c>
      <c r="C131" s="98"/>
      <c r="D131" s="4" t="s">
        <v>530</v>
      </c>
      <c r="E131" s="7">
        <v>10</v>
      </c>
      <c r="F131" s="7">
        <v>55</v>
      </c>
      <c r="G131" s="4" t="s">
        <v>74</v>
      </c>
    </row>
    <row r="132" spans="1:7" ht="12.75">
      <c r="A132" s="98" t="s">
        <v>531</v>
      </c>
      <c r="B132" s="98"/>
      <c r="C132" s="98" t="s">
        <v>428</v>
      </c>
      <c r="D132" s="4" t="s">
        <v>428</v>
      </c>
      <c r="E132" s="7">
        <v>38</v>
      </c>
      <c r="F132" s="7">
        <v>96</v>
      </c>
      <c r="G132" s="4" t="s">
        <v>74</v>
      </c>
    </row>
    <row r="133" spans="1:7" ht="12.75">
      <c r="A133" s="98" t="s">
        <v>532</v>
      </c>
      <c r="B133" s="98" t="s">
        <v>533</v>
      </c>
      <c r="C133" s="98"/>
      <c r="D133" s="4" t="s">
        <v>533</v>
      </c>
      <c r="E133" s="7">
        <v>162</v>
      </c>
      <c r="F133" s="7">
        <v>349</v>
      </c>
      <c r="G133" s="4" t="s">
        <v>74</v>
      </c>
    </row>
    <row r="134" spans="1:7" ht="12.75">
      <c r="A134" s="98" t="s">
        <v>534</v>
      </c>
      <c r="B134" s="98" t="s">
        <v>535</v>
      </c>
      <c r="C134" s="98"/>
      <c r="D134" s="4" t="s">
        <v>535</v>
      </c>
      <c r="E134" s="7">
        <v>230</v>
      </c>
      <c r="F134" s="7">
        <v>230</v>
      </c>
      <c r="G134" s="4" t="s">
        <v>74</v>
      </c>
    </row>
    <row r="135" spans="1:7" ht="12.75">
      <c r="A135" s="98" t="s">
        <v>536</v>
      </c>
      <c r="B135" s="98"/>
      <c r="C135" s="98" t="s">
        <v>428</v>
      </c>
      <c r="D135" s="4" t="s">
        <v>428</v>
      </c>
      <c r="E135" s="7">
        <v>38</v>
      </c>
      <c r="F135" s="7">
        <v>96</v>
      </c>
      <c r="G135" s="4" t="s">
        <v>74</v>
      </c>
    </row>
    <row r="136" spans="1:7" ht="12.75">
      <c r="A136" s="98" t="s">
        <v>537</v>
      </c>
      <c r="B136" s="98" t="s">
        <v>538</v>
      </c>
      <c r="C136" s="98"/>
      <c r="D136" s="4" t="s">
        <v>538</v>
      </c>
      <c r="E136" s="7">
        <v>160</v>
      </c>
      <c r="F136" s="7">
        <v>160</v>
      </c>
      <c r="G136" s="4" t="s">
        <v>74</v>
      </c>
    </row>
    <row r="137" spans="1:7" ht="12.75">
      <c r="A137" s="98" t="s">
        <v>539</v>
      </c>
      <c r="B137" s="98" t="s">
        <v>540</v>
      </c>
      <c r="C137" s="98"/>
      <c r="D137" s="4" t="s">
        <v>540</v>
      </c>
      <c r="E137" s="7">
        <v>46</v>
      </c>
      <c r="F137" s="7">
        <v>46</v>
      </c>
      <c r="G137" s="4" t="s">
        <v>74</v>
      </c>
    </row>
    <row r="138" spans="1:7" ht="12.75">
      <c r="A138" s="98" t="s">
        <v>541</v>
      </c>
      <c r="B138" s="98" t="s">
        <v>542</v>
      </c>
      <c r="C138" s="98"/>
      <c r="D138" s="4" t="s">
        <v>542</v>
      </c>
      <c r="E138" s="7">
        <v>64</v>
      </c>
      <c r="F138" s="7">
        <v>66</v>
      </c>
      <c r="G138" s="4" t="s">
        <v>74</v>
      </c>
    </row>
    <row r="139" spans="1:7" ht="12.75">
      <c r="A139" s="98" t="s">
        <v>543</v>
      </c>
      <c r="B139" s="98" t="s">
        <v>544</v>
      </c>
      <c r="C139" s="98"/>
      <c r="D139" s="4" t="s">
        <v>544</v>
      </c>
      <c r="E139" s="7">
        <v>30</v>
      </c>
      <c r="F139" s="7">
        <v>224</v>
      </c>
      <c r="G139" s="4" t="s">
        <v>74</v>
      </c>
    </row>
    <row r="140" spans="1:7" ht="12.75">
      <c r="A140" s="98" t="s">
        <v>545</v>
      </c>
      <c r="B140" s="98" t="s">
        <v>546</v>
      </c>
      <c r="C140" s="98"/>
      <c r="D140" s="4" t="s">
        <v>546</v>
      </c>
      <c r="E140" s="7">
        <v>2300</v>
      </c>
      <c r="F140" s="7">
        <v>5000</v>
      </c>
      <c r="G140" s="4" t="s">
        <v>74</v>
      </c>
    </row>
    <row r="141" spans="1:7" ht="12.75">
      <c r="A141" s="98" t="s">
        <v>547</v>
      </c>
      <c r="B141" s="98"/>
      <c r="C141" s="98" t="s">
        <v>428</v>
      </c>
      <c r="D141" s="4" t="s">
        <v>428</v>
      </c>
      <c r="E141" s="7">
        <v>38</v>
      </c>
      <c r="F141" s="7">
        <v>96</v>
      </c>
      <c r="G141" s="4" t="s">
        <v>74</v>
      </c>
    </row>
    <row r="142" spans="1:7" ht="12.75">
      <c r="A142" s="98" t="s">
        <v>548</v>
      </c>
      <c r="B142" s="99" t="s">
        <v>549</v>
      </c>
      <c r="C142" s="98"/>
      <c r="D142" s="4" t="s">
        <v>549</v>
      </c>
      <c r="E142" s="7">
        <v>11</v>
      </c>
      <c r="F142" s="7">
        <v>24</v>
      </c>
      <c r="G142" s="4" t="s">
        <v>74</v>
      </c>
    </row>
    <row r="143" spans="1:7" ht="12.75">
      <c r="A143" s="98" t="s">
        <v>550</v>
      </c>
      <c r="B143" s="98"/>
      <c r="C143" s="98" t="s">
        <v>428</v>
      </c>
      <c r="D143" s="4" t="s">
        <v>428</v>
      </c>
      <c r="E143" s="7">
        <v>38</v>
      </c>
      <c r="F143" s="7">
        <v>96</v>
      </c>
      <c r="G143" s="4" t="s">
        <v>74</v>
      </c>
    </row>
    <row r="144" spans="1:7" ht="12.75">
      <c r="A144" s="98" t="s">
        <v>551</v>
      </c>
      <c r="B144" s="98" t="s">
        <v>552</v>
      </c>
      <c r="C144" s="98"/>
      <c r="D144" s="4" t="s">
        <v>552</v>
      </c>
      <c r="E144" s="7">
        <v>993</v>
      </c>
      <c r="F144" s="7">
        <v>2103</v>
      </c>
      <c r="G144" s="4" t="s">
        <v>74</v>
      </c>
    </row>
    <row r="145" spans="1:7" ht="12.75">
      <c r="A145" s="98" t="s">
        <v>553</v>
      </c>
      <c r="B145" s="98" t="s">
        <v>554</v>
      </c>
      <c r="C145" s="98"/>
      <c r="D145" s="4" t="s">
        <v>554</v>
      </c>
      <c r="E145" s="7">
        <v>1238</v>
      </c>
      <c r="F145" s="7">
        <v>1238</v>
      </c>
      <c r="G145" s="4" t="s">
        <v>74</v>
      </c>
    </row>
    <row r="146" spans="1:7" ht="12.75">
      <c r="A146" s="98" t="s">
        <v>555</v>
      </c>
      <c r="B146" s="98"/>
      <c r="C146" s="98" t="s">
        <v>428</v>
      </c>
      <c r="D146" s="4" t="s">
        <v>428</v>
      </c>
      <c r="E146" s="7">
        <v>38</v>
      </c>
      <c r="F146" s="7">
        <v>96</v>
      </c>
      <c r="G146" s="4" t="s">
        <v>74</v>
      </c>
    </row>
    <row r="147" spans="1:7" ht="12.75">
      <c r="A147" s="98" t="s">
        <v>556</v>
      </c>
      <c r="B147" s="98" t="s">
        <v>557</v>
      </c>
      <c r="C147" s="98"/>
      <c r="D147" s="4" t="s">
        <v>557</v>
      </c>
      <c r="E147" s="7">
        <v>50</v>
      </c>
      <c r="F147" s="7">
        <v>50</v>
      </c>
      <c r="G147" s="4" t="s">
        <v>74</v>
      </c>
    </row>
    <row r="148" spans="1:7" ht="12.75">
      <c r="A148" s="98" t="s">
        <v>558</v>
      </c>
      <c r="B148" s="98" t="s">
        <v>559</v>
      </c>
      <c r="C148" s="98"/>
      <c r="D148" s="4" t="s">
        <v>559</v>
      </c>
      <c r="E148" s="7">
        <v>1500</v>
      </c>
      <c r="F148" s="7">
        <v>1500</v>
      </c>
      <c r="G148" s="4" t="s">
        <v>74</v>
      </c>
    </row>
    <row r="149" spans="1:7" ht="12.75">
      <c r="A149" s="98" t="s">
        <v>560</v>
      </c>
      <c r="B149" s="98" t="s">
        <v>561</v>
      </c>
      <c r="C149" s="98"/>
      <c r="D149" s="4" t="s">
        <v>561</v>
      </c>
      <c r="E149" s="7">
        <v>1295</v>
      </c>
      <c r="F149" s="7">
        <v>1295</v>
      </c>
      <c r="G149" s="4" t="s">
        <v>74</v>
      </c>
    </row>
    <row r="150" spans="1:7" ht="12.75">
      <c r="A150" s="98" t="s">
        <v>562</v>
      </c>
      <c r="B150" s="98"/>
      <c r="C150" s="98" t="s">
        <v>512</v>
      </c>
      <c r="D150" s="4" t="s">
        <v>512</v>
      </c>
      <c r="E150" s="7">
        <v>5950</v>
      </c>
      <c r="F150" s="7">
        <v>10539</v>
      </c>
      <c r="G150" s="4" t="s">
        <v>74</v>
      </c>
    </row>
    <row r="151" spans="1:7" ht="12.75">
      <c r="A151" s="98" t="s">
        <v>563</v>
      </c>
      <c r="B151" s="98" t="s">
        <v>564</v>
      </c>
      <c r="C151" s="98"/>
      <c r="D151" s="4" t="s">
        <v>564</v>
      </c>
      <c r="E151" s="7">
        <v>200</v>
      </c>
      <c r="F151" s="7">
        <v>200</v>
      </c>
      <c r="G151" s="4" t="s">
        <v>74</v>
      </c>
    </row>
    <row r="152" spans="1:7" ht="12.75">
      <c r="A152" s="98" t="s">
        <v>565</v>
      </c>
      <c r="B152" s="98" t="s">
        <v>452</v>
      </c>
      <c r="C152" s="98"/>
      <c r="D152" s="4" t="s">
        <v>452</v>
      </c>
      <c r="E152" s="7">
        <v>120</v>
      </c>
      <c r="F152" s="7">
        <v>183</v>
      </c>
      <c r="G152" s="4" t="s">
        <v>74</v>
      </c>
    </row>
    <row r="153" spans="1:7" ht="12.75">
      <c r="A153" s="98" t="s">
        <v>384</v>
      </c>
      <c r="B153" s="98" t="s">
        <v>566</v>
      </c>
      <c r="C153" s="98"/>
      <c r="D153" s="4" t="s">
        <v>566</v>
      </c>
      <c r="E153" s="7">
        <v>909</v>
      </c>
      <c r="F153" s="7">
        <v>1364</v>
      </c>
      <c r="G153" s="4" t="s">
        <v>74</v>
      </c>
    </row>
    <row r="154" spans="1:7" ht="12.75">
      <c r="A154" s="98" t="s">
        <v>567</v>
      </c>
      <c r="B154" s="98" t="s">
        <v>568</v>
      </c>
      <c r="C154" s="98"/>
      <c r="D154" s="4" t="s">
        <v>568</v>
      </c>
      <c r="E154" s="7">
        <v>187</v>
      </c>
      <c r="F154" s="7">
        <v>9072</v>
      </c>
      <c r="G154" s="4" t="s">
        <v>74</v>
      </c>
    </row>
    <row r="155" spans="1:7" ht="12.75">
      <c r="A155" s="98" t="s">
        <v>569</v>
      </c>
      <c r="B155" s="98"/>
      <c r="C155" s="98" t="s">
        <v>428</v>
      </c>
      <c r="D155" s="4" t="s">
        <v>428</v>
      </c>
      <c r="E155" s="7">
        <v>38</v>
      </c>
      <c r="F155" s="7">
        <v>96</v>
      </c>
      <c r="G155" s="4" t="s">
        <v>74</v>
      </c>
    </row>
    <row r="156" spans="1:7" ht="12.75">
      <c r="A156" s="98" t="s">
        <v>570</v>
      </c>
      <c r="B156" s="98"/>
      <c r="C156" s="98" t="s">
        <v>428</v>
      </c>
      <c r="D156" s="4" t="s">
        <v>428</v>
      </c>
      <c r="E156" s="7">
        <v>38</v>
      </c>
      <c r="F156" s="7">
        <v>96</v>
      </c>
      <c r="G156" s="4" t="s">
        <v>74</v>
      </c>
    </row>
    <row r="157" spans="1:7" ht="12.75">
      <c r="A157" s="98" t="s">
        <v>571</v>
      </c>
      <c r="B157" s="98" t="s">
        <v>572</v>
      </c>
      <c r="C157" s="98"/>
      <c r="D157" s="4" t="s">
        <v>572</v>
      </c>
      <c r="E157" s="7">
        <v>7</v>
      </c>
      <c r="F157" s="7">
        <v>189</v>
      </c>
      <c r="G157" s="4" t="s">
        <v>74</v>
      </c>
    </row>
    <row r="158" spans="1:7" ht="12.75">
      <c r="A158" s="98" t="s">
        <v>573</v>
      </c>
      <c r="B158" s="98" t="s">
        <v>574</v>
      </c>
      <c r="C158" s="98"/>
      <c r="D158" s="4" t="s">
        <v>574</v>
      </c>
      <c r="E158" s="7">
        <v>1057</v>
      </c>
      <c r="F158" s="7">
        <v>27300</v>
      </c>
      <c r="G158" s="4" t="s">
        <v>74</v>
      </c>
    </row>
    <row r="159" spans="1:7" ht="12.75">
      <c r="A159" s="98" t="s">
        <v>575</v>
      </c>
      <c r="B159" s="98" t="s">
        <v>576</v>
      </c>
      <c r="C159" s="98"/>
      <c r="D159" s="4" t="s">
        <v>576</v>
      </c>
      <c r="E159" s="7">
        <v>2273</v>
      </c>
      <c r="F159" s="7">
        <v>25000</v>
      </c>
      <c r="G159" s="4" t="s">
        <v>74</v>
      </c>
    </row>
    <row r="160" spans="1:7" ht="12.75">
      <c r="A160" s="98" t="s">
        <v>577</v>
      </c>
      <c r="B160" s="98" t="s">
        <v>578</v>
      </c>
      <c r="C160" s="98"/>
      <c r="D160" s="4" t="s">
        <v>578</v>
      </c>
      <c r="E160" s="7">
        <v>31000</v>
      </c>
      <c r="F160" s="7">
        <v>60000</v>
      </c>
      <c r="G160" s="4" t="s">
        <v>74</v>
      </c>
    </row>
    <row r="161" spans="1:7" ht="12.75">
      <c r="A161" s="98" t="s">
        <v>579</v>
      </c>
      <c r="B161" s="98" t="s">
        <v>580</v>
      </c>
      <c r="C161" s="98"/>
      <c r="D161" s="4" t="s">
        <v>580</v>
      </c>
      <c r="E161" s="7">
        <v>14412</v>
      </c>
      <c r="F161" s="7">
        <v>16562</v>
      </c>
      <c r="G161" s="4" t="s">
        <v>74</v>
      </c>
    </row>
    <row r="162" spans="1:7" ht="12.75">
      <c r="A162" s="98" t="s">
        <v>581</v>
      </c>
      <c r="B162" s="98" t="s">
        <v>582</v>
      </c>
      <c r="C162" s="98"/>
      <c r="D162" s="4" t="s">
        <v>582</v>
      </c>
      <c r="E162" s="7">
        <v>931</v>
      </c>
      <c r="F162" s="7">
        <v>931</v>
      </c>
      <c r="G162" s="4" t="s">
        <v>74</v>
      </c>
    </row>
    <row r="163" spans="1:7" ht="12.75">
      <c r="A163" s="98" t="s">
        <v>583</v>
      </c>
      <c r="B163" s="98"/>
      <c r="C163" s="98" t="s">
        <v>428</v>
      </c>
      <c r="D163" s="4" t="s">
        <v>428</v>
      </c>
      <c r="E163" s="7">
        <v>38</v>
      </c>
      <c r="F163" s="7">
        <v>96</v>
      </c>
      <c r="G163" s="4" t="s">
        <v>74</v>
      </c>
    </row>
    <row r="164" spans="1:7" ht="12.75">
      <c r="A164" s="98" t="s">
        <v>584</v>
      </c>
      <c r="B164" s="98" t="s">
        <v>585</v>
      </c>
      <c r="C164" s="98"/>
      <c r="D164" s="4" t="s">
        <v>585</v>
      </c>
      <c r="E164" s="7">
        <v>50</v>
      </c>
      <c r="F164" s="7">
        <v>618</v>
      </c>
      <c r="G164" s="4" t="s">
        <v>74</v>
      </c>
    </row>
    <row r="165" spans="1:7" ht="12.75">
      <c r="A165" s="98" t="s">
        <v>586</v>
      </c>
      <c r="B165" s="98" t="s">
        <v>479</v>
      </c>
      <c r="C165" s="98"/>
      <c r="D165" s="4" t="s">
        <v>479</v>
      </c>
      <c r="E165" s="7">
        <v>237</v>
      </c>
      <c r="F165" s="7">
        <v>1034</v>
      </c>
      <c r="G165" s="4" t="s">
        <v>74</v>
      </c>
    </row>
    <row r="166" spans="1:7" ht="12.75">
      <c r="A166" s="98" t="s">
        <v>587</v>
      </c>
      <c r="B166" s="98" t="s">
        <v>588</v>
      </c>
      <c r="C166" s="98"/>
      <c r="D166" s="4" t="s">
        <v>588</v>
      </c>
      <c r="E166" s="7">
        <v>28000</v>
      </c>
      <c r="F166" s="7">
        <v>28000</v>
      </c>
      <c r="G166" s="4" t="s">
        <v>74</v>
      </c>
    </row>
    <row r="167" spans="1:7" ht="12.75">
      <c r="A167" s="98" t="s">
        <v>589</v>
      </c>
      <c r="B167" s="98" t="s">
        <v>590</v>
      </c>
      <c r="C167" s="98"/>
      <c r="D167" s="4" t="s">
        <v>590</v>
      </c>
      <c r="E167" s="7">
        <v>1800</v>
      </c>
      <c r="F167" s="7">
        <v>1800</v>
      </c>
      <c r="G167" s="4" t="s">
        <v>74</v>
      </c>
    </row>
    <row r="168" spans="1:7" ht="12.75">
      <c r="A168" s="98" t="s">
        <v>591</v>
      </c>
      <c r="B168" s="98"/>
      <c r="C168" s="98" t="s">
        <v>428</v>
      </c>
      <c r="D168" s="4" t="s">
        <v>428</v>
      </c>
      <c r="E168" s="7">
        <v>38</v>
      </c>
      <c r="F168" s="7">
        <v>96</v>
      </c>
      <c r="G168" s="4" t="s">
        <v>74</v>
      </c>
    </row>
    <row r="169" spans="1:7" ht="12.75">
      <c r="A169" s="98" t="s">
        <v>592</v>
      </c>
      <c r="B169" s="98"/>
      <c r="C169" s="98" t="s">
        <v>428</v>
      </c>
      <c r="D169" s="4" t="s">
        <v>428</v>
      </c>
      <c r="E169" s="7">
        <v>38</v>
      </c>
      <c r="F169" s="7">
        <v>96</v>
      </c>
      <c r="G169" s="4" t="s">
        <v>74</v>
      </c>
    </row>
    <row r="170" spans="1:7" ht="12.75">
      <c r="A170" s="98" t="s">
        <v>593</v>
      </c>
      <c r="B170" s="98" t="s">
        <v>594</v>
      </c>
      <c r="C170" s="98"/>
      <c r="D170" s="4" t="s">
        <v>594</v>
      </c>
      <c r="E170" s="7">
        <v>2000</v>
      </c>
      <c r="F170" s="7">
        <v>15000</v>
      </c>
      <c r="G170" s="4" t="s">
        <v>74</v>
      </c>
    </row>
    <row r="171" spans="1:7" ht="12.75">
      <c r="A171" s="98" t="s">
        <v>595</v>
      </c>
      <c r="B171" s="98" t="s">
        <v>596</v>
      </c>
      <c r="C171" s="98"/>
      <c r="D171" s="4" t="s">
        <v>596</v>
      </c>
      <c r="E171" s="7">
        <v>638</v>
      </c>
      <c r="F171" s="7">
        <v>1023</v>
      </c>
      <c r="G171" s="4" t="s">
        <v>74</v>
      </c>
    </row>
    <row r="172" spans="1:7" ht="12.75">
      <c r="A172" s="98" t="s">
        <v>597</v>
      </c>
      <c r="B172" s="98" t="s">
        <v>598</v>
      </c>
      <c r="C172" s="98"/>
      <c r="D172" s="4" t="s">
        <v>598</v>
      </c>
      <c r="E172" s="7">
        <v>1100</v>
      </c>
      <c r="F172" s="7">
        <v>1100</v>
      </c>
      <c r="G172" s="4" t="s">
        <v>74</v>
      </c>
    </row>
    <row r="173" spans="1:7" ht="12.75">
      <c r="A173" s="98" t="s">
        <v>599</v>
      </c>
      <c r="B173" s="98" t="s">
        <v>600</v>
      </c>
      <c r="C173" s="98"/>
      <c r="D173" s="4" t="s">
        <v>600</v>
      </c>
      <c r="E173" s="7">
        <v>63</v>
      </c>
      <c r="F173" s="7">
        <v>63</v>
      </c>
      <c r="G173" s="4" t="s">
        <v>74</v>
      </c>
    </row>
    <row r="174" spans="1:7" ht="12.75">
      <c r="A174" s="98" t="s">
        <v>366</v>
      </c>
      <c r="B174" s="98" t="s">
        <v>601</v>
      </c>
      <c r="C174" s="98"/>
      <c r="D174" s="4" t="s">
        <v>601</v>
      </c>
      <c r="E174" s="7">
        <v>1500</v>
      </c>
      <c r="F174" s="7">
        <v>14000</v>
      </c>
      <c r="G174" s="4" t="s">
        <v>74</v>
      </c>
    </row>
    <row r="175" spans="1:7" ht="12.75">
      <c r="A175" s="98" t="s">
        <v>602</v>
      </c>
      <c r="B175" s="98"/>
      <c r="C175" s="98" t="s">
        <v>428</v>
      </c>
      <c r="D175" s="4" t="s">
        <v>428</v>
      </c>
      <c r="E175" s="7">
        <v>38</v>
      </c>
      <c r="F175" s="7">
        <v>96</v>
      </c>
      <c r="G175" s="4" t="s">
        <v>74</v>
      </c>
    </row>
    <row r="176" spans="1:7" ht="12.75">
      <c r="A176" s="98" t="s">
        <v>603</v>
      </c>
      <c r="B176" s="98"/>
      <c r="C176" s="98" t="s">
        <v>428</v>
      </c>
      <c r="D176" s="4" t="s">
        <v>428</v>
      </c>
      <c r="E176" s="7">
        <v>38</v>
      </c>
      <c r="F176" s="7">
        <v>96</v>
      </c>
      <c r="G176" s="4" t="s">
        <v>74</v>
      </c>
    </row>
    <row r="177" spans="1:7" ht="12.75">
      <c r="A177" s="98" t="s">
        <v>604</v>
      </c>
      <c r="B177" s="98"/>
      <c r="C177" s="98" t="s">
        <v>428</v>
      </c>
      <c r="D177" s="4" t="s">
        <v>428</v>
      </c>
      <c r="E177" s="7">
        <v>38</v>
      </c>
      <c r="F177" s="7">
        <v>96</v>
      </c>
      <c r="G177" s="4" t="s">
        <v>74</v>
      </c>
    </row>
    <row r="178" spans="1:7" ht="12.75">
      <c r="A178" s="98" t="s">
        <v>605</v>
      </c>
      <c r="B178" s="98"/>
      <c r="C178" s="98" t="s">
        <v>428</v>
      </c>
      <c r="D178" s="4" t="s">
        <v>428</v>
      </c>
      <c r="E178" s="7">
        <v>38</v>
      </c>
      <c r="F178" s="7">
        <v>96</v>
      </c>
      <c r="G178" s="4" t="s">
        <v>74</v>
      </c>
    </row>
    <row r="179" spans="1:7" ht="12.75">
      <c r="A179" s="98" t="s">
        <v>606</v>
      </c>
      <c r="B179" s="98" t="s">
        <v>607</v>
      </c>
      <c r="C179" s="98"/>
      <c r="D179" s="4" t="s">
        <v>607</v>
      </c>
      <c r="E179" s="7">
        <v>31</v>
      </c>
      <c r="F179" s="7">
        <v>42</v>
      </c>
      <c r="G179" s="4" t="s">
        <v>74</v>
      </c>
    </row>
    <row r="180" spans="1:7" ht="12.75">
      <c r="A180" s="98" t="s">
        <v>608</v>
      </c>
      <c r="B180" s="98" t="s">
        <v>609</v>
      </c>
      <c r="C180" s="98"/>
      <c r="D180" s="4" t="s">
        <v>609</v>
      </c>
      <c r="E180" s="7">
        <v>886</v>
      </c>
      <c r="F180" s="7">
        <v>2699</v>
      </c>
      <c r="G180" s="4" t="s">
        <v>74</v>
      </c>
    </row>
    <row r="181" spans="1:7" ht="12.75">
      <c r="A181" s="98" t="s">
        <v>610</v>
      </c>
      <c r="B181" s="98" t="s">
        <v>611</v>
      </c>
      <c r="C181" s="98"/>
      <c r="D181" s="4" t="s">
        <v>611</v>
      </c>
      <c r="E181" s="7">
        <v>54</v>
      </c>
      <c r="F181" s="7">
        <v>180000</v>
      </c>
      <c r="G181" s="4" t="s">
        <v>74</v>
      </c>
    </row>
    <row r="182" spans="1:7" ht="12.75">
      <c r="A182" s="98" t="s">
        <v>612</v>
      </c>
      <c r="B182" s="98" t="s">
        <v>613</v>
      </c>
      <c r="C182" s="98"/>
      <c r="D182" s="4" t="s">
        <v>613</v>
      </c>
      <c r="E182" s="7">
        <v>451</v>
      </c>
      <c r="F182" s="7">
        <v>3490</v>
      </c>
      <c r="G182" s="4" t="s">
        <v>74</v>
      </c>
    </row>
    <row r="183" spans="1:7" ht="12.75">
      <c r="A183" s="98" t="s">
        <v>614</v>
      </c>
      <c r="B183" s="98"/>
      <c r="C183" s="98" t="s">
        <v>428</v>
      </c>
      <c r="D183" s="4" t="s">
        <v>428</v>
      </c>
      <c r="E183" s="7">
        <v>38</v>
      </c>
      <c r="F183" s="7">
        <v>96</v>
      </c>
      <c r="G183" s="4" t="s">
        <v>74</v>
      </c>
    </row>
    <row r="184" spans="1:7" ht="12.75">
      <c r="A184" s="98" t="s">
        <v>615</v>
      </c>
      <c r="B184" s="98" t="s">
        <v>616</v>
      </c>
      <c r="C184" s="98"/>
      <c r="D184" s="4" t="s">
        <v>616</v>
      </c>
      <c r="E184" s="7">
        <v>583</v>
      </c>
      <c r="F184" s="7">
        <v>583</v>
      </c>
      <c r="G184" s="4" t="s">
        <v>74</v>
      </c>
    </row>
    <row r="185" spans="1:7" ht="12.75">
      <c r="A185" s="98" t="s">
        <v>617</v>
      </c>
      <c r="B185" s="98"/>
      <c r="C185" s="98" t="s">
        <v>428</v>
      </c>
      <c r="D185" s="4" t="s">
        <v>428</v>
      </c>
      <c r="E185" s="7">
        <v>38</v>
      </c>
      <c r="F185" s="7">
        <v>96</v>
      </c>
      <c r="G185" s="4" t="s">
        <v>74</v>
      </c>
    </row>
    <row r="186" spans="1:7" ht="12.75">
      <c r="A186" s="98" t="s">
        <v>618</v>
      </c>
      <c r="B186" s="98" t="s">
        <v>619</v>
      </c>
      <c r="C186" s="98"/>
      <c r="D186" s="4" t="s">
        <v>619</v>
      </c>
      <c r="E186" s="7">
        <v>80</v>
      </c>
      <c r="F186" s="7">
        <v>500</v>
      </c>
      <c r="G186" s="4" t="s">
        <v>74</v>
      </c>
    </row>
    <row r="187" spans="1:7" ht="12.75">
      <c r="A187" s="98" t="s">
        <v>620</v>
      </c>
      <c r="B187" s="98" t="s">
        <v>370</v>
      </c>
      <c r="C187" s="98"/>
      <c r="D187" s="4" t="s">
        <v>370</v>
      </c>
      <c r="E187" s="7">
        <v>400</v>
      </c>
      <c r="F187" s="7">
        <v>400</v>
      </c>
      <c r="G187" s="4" t="s">
        <v>74</v>
      </c>
    </row>
    <row r="188" spans="1:7" ht="12.75">
      <c r="A188" s="98" t="s">
        <v>621</v>
      </c>
      <c r="B188" s="98" t="s">
        <v>622</v>
      </c>
      <c r="C188" s="98"/>
      <c r="D188" s="4" t="s">
        <v>622</v>
      </c>
      <c r="E188" s="7">
        <v>72</v>
      </c>
      <c r="F188" s="7">
        <v>72</v>
      </c>
      <c r="G188" s="4" t="s">
        <v>74</v>
      </c>
    </row>
    <row r="189" spans="1:7" ht="12.75">
      <c r="A189" s="98" t="s">
        <v>623</v>
      </c>
      <c r="B189" s="98"/>
      <c r="C189" s="98" t="s">
        <v>428</v>
      </c>
      <c r="D189" s="4" t="s">
        <v>428</v>
      </c>
      <c r="E189" s="7">
        <v>38</v>
      </c>
      <c r="F189" s="7">
        <v>96</v>
      </c>
      <c r="G189" s="4" t="s">
        <v>74</v>
      </c>
    </row>
    <row r="190" spans="1:7" ht="12.75">
      <c r="A190" s="98" t="s">
        <v>624</v>
      </c>
      <c r="B190" s="98"/>
      <c r="C190" s="98" t="s">
        <v>428</v>
      </c>
      <c r="D190" s="4" t="s">
        <v>428</v>
      </c>
      <c r="E190" s="7">
        <v>38</v>
      </c>
      <c r="F190" s="7">
        <v>96</v>
      </c>
      <c r="G190" s="4" t="s">
        <v>74</v>
      </c>
    </row>
    <row r="191" spans="1:7" ht="12.75">
      <c r="A191" s="98" t="s">
        <v>625</v>
      </c>
      <c r="B191" s="98" t="s">
        <v>626</v>
      </c>
      <c r="C191" s="98"/>
      <c r="D191" s="4" t="s">
        <v>626</v>
      </c>
      <c r="E191" s="7">
        <v>21</v>
      </c>
      <c r="F191" s="7">
        <v>498</v>
      </c>
      <c r="G191" s="4" t="s">
        <v>74</v>
      </c>
    </row>
    <row r="192" spans="1:7" ht="12.75">
      <c r="A192" s="98" t="s">
        <v>627</v>
      </c>
      <c r="B192" s="98" t="s">
        <v>628</v>
      </c>
      <c r="C192" s="98"/>
      <c r="D192" s="4" t="s">
        <v>628</v>
      </c>
      <c r="E192" s="7">
        <v>49</v>
      </c>
      <c r="F192" s="7">
        <v>112</v>
      </c>
      <c r="G192" s="4" t="s">
        <v>74</v>
      </c>
    </row>
    <row r="193" spans="1:7" ht="12.75">
      <c r="A193" s="98" t="s">
        <v>629</v>
      </c>
      <c r="B193" s="98"/>
      <c r="C193" s="98" t="s">
        <v>428</v>
      </c>
      <c r="D193" s="4" t="s">
        <v>428</v>
      </c>
      <c r="E193" s="7">
        <v>38</v>
      </c>
      <c r="F193" s="7">
        <v>96</v>
      </c>
      <c r="G193" s="4" t="s">
        <v>74</v>
      </c>
    </row>
    <row r="194" spans="1:7" ht="12.75">
      <c r="A194" s="98" t="s">
        <v>630</v>
      </c>
      <c r="B194" s="99" t="s">
        <v>631</v>
      </c>
      <c r="C194" s="98"/>
      <c r="D194" s="4" t="s">
        <v>631</v>
      </c>
      <c r="E194" s="7">
        <v>3</v>
      </c>
      <c r="F194" s="7">
        <v>4</v>
      </c>
      <c r="G194" s="4" t="s">
        <v>74</v>
      </c>
    </row>
    <row r="195" spans="1:7" ht="12.75">
      <c r="A195" s="98" t="s">
        <v>632</v>
      </c>
      <c r="B195" s="98"/>
      <c r="C195" s="98" t="s">
        <v>428</v>
      </c>
      <c r="D195" s="4" t="s">
        <v>428</v>
      </c>
      <c r="E195" s="7">
        <v>38</v>
      </c>
      <c r="F195" s="7">
        <v>96</v>
      </c>
      <c r="G195" s="4" t="s">
        <v>74</v>
      </c>
    </row>
    <row r="196" spans="1:7" ht="12.75">
      <c r="A196" s="98" t="s">
        <v>633</v>
      </c>
      <c r="B196" s="98" t="s">
        <v>634</v>
      </c>
      <c r="C196" s="98"/>
      <c r="D196" s="4" t="s">
        <v>634</v>
      </c>
      <c r="E196" s="7">
        <v>195</v>
      </c>
      <c r="F196" s="7">
        <v>195</v>
      </c>
      <c r="G196" s="4" t="s">
        <v>74</v>
      </c>
    </row>
    <row r="197" spans="1:7" ht="12.75">
      <c r="A197" s="98" t="s">
        <v>635</v>
      </c>
      <c r="B197" s="98"/>
      <c r="C197" s="98" t="s">
        <v>428</v>
      </c>
      <c r="D197" s="4" t="s">
        <v>428</v>
      </c>
      <c r="E197" s="7">
        <v>38</v>
      </c>
      <c r="F197" s="7">
        <v>96</v>
      </c>
      <c r="G197" s="4" t="s">
        <v>74</v>
      </c>
    </row>
    <row r="198" spans="1:7" ht="12.75">
      <c r="A198" s="98" t="s">
        <v>636</v>
      </c>
      <c r="B198" s="98"/>
      <c r="C198" s="98" t="s">
        <v>428</v>
      </c>
      <c r="D198" s="4" t="s">
        <v>428</v>
      </c>
      <c r="E198" s="7">
        <v>38</v>
      </c>
      <c r="F198" s="7">
        <v>96</v>
      </c>
      <c r="G198" s="4" t="s">
        <v>74</v>
      </c>
    </row>
    <row r="199" spans="1:7" ht="12.75">
      <c r="A199" s="98" t="s">
        <v>637</v>
      </c>
      <c r="B199" s="98"/>
      <c r="C199" s="98" t="s">
        <v>428</v>
      </c>
      <c r="D199" s="4" t="s">
        <v>428</v>
      </c>
      <c r="E199" s="7">
        <v>38</v>
      </c>
      <c r="F199" s="7">
        <v>96</v>
      </c>
      <c r="G199" s="4" t="s">
        <v>74</v>
      </c>
    </row>
    <row r="200" spans="1:7" ht="12.75">
      <c r="A200" s="98" t="s">
        <v>638</v>
      </c>
      <c r="B200" s="98" t="s">
        <v>639</v>
      </c>
      <c r="C200" s="98"/>
      <c r="D200" s="4" t="s">
        <v>639</v>
      </c>
      <c r="E200" s="7">
        <v>1562</v>
      </c>
      <c r="F200" s="7">
        <v>2130</v>
      </c>
      <c r="G200" s="4" t="s">
        <v>74</v>
      </c>
    </row>
    <row r="201" spans="1:7" ht="12.75">
      <c r="A201" s="98" t="s">
        <v>640</v>
      </c>
      <c r="B201" s="98"/>
      <c r="C201" s="98" t="s">
        <v>428</v>
      </c>
      <c r="D201" s="4" t="s">
        <v>428</v>
      </c>
      <c r="E201" s="7">
        <v>38</v>
      </c>
      <c r="F201" s="7">
        <v>96</v>
      </c>
      <c r="G201" s="4" t="s">
        <v>74</v>
      </c>
    </row>
    <row r="202" spans="1:7" ht="12.75">
      <c r="A202" s="98" t="s">
        <v>641</v>
      </c>
      <c r="B202" s="98" t="s">
        <v>642</v>
      </c>
      <c r="C202" s="98"/>
      <c r="D202" s="4" t="s">
        <v>642</v>
      </c>
      <c r="E202" s="7">
        <v>20</v>
      </c>
      <c r="F202" s="7">
        <v>28</v>
      </c>
      <c r="G202" s="4" t="s">
        <v>74</v>
      </c>
    </row>
    <row r="203" spans="1:7" ht="12.75">
      <c r="A203" s="98" t="s">
        <v>643</v>
      </c>
      <c r="B203" s="98"/>
      <c r="C203" s="98" t="s">
        <v>428</v>
      </c>
      <c r="D203" s="4" t="s">
        <v>428</v>
      </c>
      <c r="E203" s="7">
        <v>38</v>
      </c>
      <c r="F203" s="7">
        <v>96</v>
      </c>
      <c r="G203" s="4" t="s">
        <v>74</v>
      </c>
    </row>
    <row r="204" spans="1:7" ht="12.75">
      <c r="A204" s="98" t="s">
        <v>644</v>
      </c>
      <c r="B204" s="98"/>
      <c r="C204" s="98" t="s">
        <v>428</v>
      </c>
      <c r="D204" s="4" t="s">
        <v>428</v>
      </c>
      <c r="E204" s="7">
        <v>38</v>
      </c>
      <c r="F204" s="7">
        <v>96</v>
      </c>
      <c r="G204" s="4" t="s">
        <v>74</v>
      </c>
    </row>
    <row r="205" spans="1:7" ht="12.75">
      <c r="A205" s="98" t="s">
        <v>645</v>
      </c>
      <c r="B205" s="98"/>
      <c r="C205" s="98" t="s">
        <v>428</v>
      </c>
      <c r="D205" s="4" t="s">
        <v>428</v>
      </c>
      <c r="E205" s="7">
        <v>38</v>
      </c>
      <c r="F205" s="7">
        <v>96</v>
      </c>
      <c r="G205" s="4" t="s">
        <v>74</v>
      </c>
    </row>
    <row r="206" spans="1:7" ht="12.75">
      <c r="A206" s="98" t="s">
        <v>646</v>
      </c>
      <c r="B206" s="98"/>
      <c r="C206" s="98" t="s">
        <v>428</v>
      </c>
      <c r="D206" s="4" t="s">
        <v>428</v>
      </c>
      <c r="E206" s="7">
        <v>38</v>
      </c>
      <c r="F206" s="7">
        <v>96</v>
      </c>
      <c r="G206" s="4" t="s">
        <v>74</v>
      </c>
    </row>
    <row r="207" spans="1:7" ht="12.75">
      <c r="A207" s="98" t="s">
        <v>647</v>
      </c>
      <c r="B207" s="98" t="s">
        <v>648</v>
      </c>
      <c r="C207" s="98"/>
      <c r="D207" s="4" t="s">
        <v>648</v>
      </c>
      <c r="E207" s="7">
        <v>90</v>
      </c>
      <c r="F207" s="7">
        <v>757</v>
      </c>
      <c r="G207" s="4" t="s">
        <v>74</v>
      </c>
    </row>
    <row r="208" spans="1:7" ht="12.75">
      <c r="A208" s="98" t="s">
        <v>649</v>
      </c>
      <c r="B208" s="98" t="s">
        <v>475</v>
      </c>
      <c r="C208" s="98"/>
      <c r="D208" s="4" t="s">
        <v>475</v>
      </c>
      <c r="E208" s="7">
        <v>455</v>
      </c>
      <c r="F208" s="7">
        <v>500</v>
      </c>
      <c r="G208" s="4" t="s">
        <v>74</v>
      </c>
    </row>
    <row r="209" spans="1:7" ht="12.75">
      <c r="A209" s="98" t="s">
        <v>650</v>
      </c>
      <c r="B209" s="98"/>
      <c r="C209" s="98" t="s">
        <v>428</v>
      </c>
      <c r="D209" s="4" t="s">
        <v>428</v>
      </c>
      <c r="E209" s="7">
        <v>38</v>
      </c>
      <c r="F209" s="7">
        <v>96</v>
      </c>
      <c r="G209" s="4" t="s">
        <v>74</v>
      </c>
    </row>
    <row r="210" spans="1:7" ht="12.75">
      <c r="A210" s="98" t="s">
        <v>651</v>
      </c>
      <c r="B210" s="98"/>
      <c r="C210" s="98" t="s">
        <v>428</v>
      </c>
      <c r="D210" s="4" t="s">
        <v>428</v>
      </c>
      <c r="E210" s="7">
        <v>38</v>
      </c>
      <c r="F210" s="7">
        <v>96</v>
      </c>
      <c r="G210" s="4" t="s">
        <v>74</v>
      </c>
    </row>
    <row r="211" spans="1:7" ht="12.75">
      <c r="A211" s="98" t="s">
        <v>353</v>
      </c>
      <c r="B211" s="98" t="s">
        <v>652</v>
      </c>
      <c r="C211" s="98"/>
      <c r="D211" s="4" t="s">
        <v>652</v>
      </c>
      <c r="E211" s="7">
        <v>5411</v>
      </c>
      <c r="F211" s="7">
        <v>8249</v>
      </c>
      <c r="G211" s="4" t="s">
        <v>74</v>
      </c>
    </row>
    <row r="212" spans="1:7" ht="12.75">
      <c r="A212" s="98" t="s">
        <v>653</v>
      </c>
      <c r="B212" s="98" t="s">
        <v>654</v>
      </c>
      <c r="C212" s="98"/>
      <c r="D212" s="4" t="s">
        <v>654</v>
      </c>
      <c r="E212" s="7">
        <v>29</v>
      </c>
      <c r="F212" s="7">
        <v>40</v>
      </c>
      <c r="G212" s="4" t="s">
        <v>74</v>
      </c>
    </row>
    <row r="213" spans="1:7" ht="12.75">
      <c r="A213" s="98" t="s">
        <v>655</v>
      </c>
      <c r="B213" s="98" t="s">
        <v>656</v>
      </c>
      <c r="C213" s="98"/>
      <c r="D213" s="4" t="s">
        <v>656</v>
      </c>
      <c r="E213" s="7">
        <v>697</v>
      </c>
      <c r="F213" s="7">
        <v>748</v>
      </c>
      <c r="G213" s="4" t="s">
        <v>74</v>
      </c>
    </row>
    <row r="214" spans="1:7" ht="12.75">
      <c r="A214" s="98" t="s">
        <v>657</v>
      </c>
      <c r="B214" s="98" t="s">
        <v>658</v>
      </c>
      <c r="C214" s="98"/>
      <c r="D214" s="4" t="s">
        <v>658</v>
      </c>
      <c r="E214" s="7">
        <v>730</v>
      </c>
      <c r="F214" s="7">
        <v>730</v>
      </c>
      <c r="G214" s="4" t="s">
        <v>74</v>
      </c>
    </row>
    <row r="215" spans="1:7" ht="12.75">
      <c r="A215" s="98" t="s">
        <v>659</v>
      </c>
      <c r="B215" s="98" t="s">
        <v>660</v>
      </c>
      <c r="C215" s="98"/>
      <c r="D215" s="4" t="s">
        <v>660</v>
      </c>
      <c r="E215" s="7">
        <v>109</v>
      </c>
      <c r="F215" s="7">
        <v>1284</v>
      </c>
      <c r="G215" s="4" t="s">
        <v>74</v>
      </c>
    </row>
    <row r="216" spans="1:7" ht="12.75">
      <c r="A216" s="98" t="s">
        <v>661</v>
      </c>
      <c r="B216" s="98"/>
      <c r="C216" s="98" t="s">
        <v>428</v>
      </c>
      <c r="D216" s="4" t="s">
        <v>428</v>
      </c>
      <c r="E216" s="7">
        <v>38</v>
      </c>
      <c r="F216" s="7">
        <v>96</v>
      </c>
      <c r="G216" s="4" t="s">
        <v>74</v>
      </c>
    </row>
    <row r="217" spans="1:7" ht="12.75">
      <c r="A217" s="98" t="s">
        <v>662</v>
      </c>
      <c r="B217" s="98"/>
      <c r="C217" s="98" t="s">
        <v>428</v>
      </c>
      <c r="D217" s="4" t="s">
        <v>428</v>
      </c>
      <c r="E217" s="7">
        <v>38</v>
      </c>
      <c r="F217" s="7">
        <v>96</v>
      </c>
      <c r="G217" s="4" t="s">
        <v>74</v>
      </c>
    </row>
    <row r="218" spans="1:7" ht="12.75">
      <c r="A218" s="98" t="s">
        <v>663</v>
      </c>
      <c r="B218" s="98" t="s">
        <v>664</v>
      </c>
      <c r="C218" s="98"/>
      <c r="D218" s="4" t="s">
        <v>664</v>
      </c>
      <c r="E218" s="7">
        <v>3600</v>
      </c>
      <c r="F218" s="7">
        <v>3600</v>
      </c>
      <c r="G218" s="4" t="s">
        <v>74</v>
      </c>
    </row>
    <row r="219" spans="1:7" ht="12.75">
      <c r="A219" s="98" t="s">
        <v>665</v>
      </c>
      <c r="B219" s="98"/>
      <c r="C219" s="98" t="s">
        <v>428</v>
      </c>
      <c r="D219" s="4" t="s">
        <v>428</v>
      </c>
      <c r="E219" s="7">
        <v>38</v>
      </c>
      <c r="F219" s="7">
        <v>96</v>
      </c>
      <c r="G219" s="4" t="s">
        <v>74</v>
      </c>
    </row>
    <row r="220" spans="1:7" ht="12.75">
      <c r="A220" s="98" t="s">
        <v>666</v>
      </c>
      <c r="B220" s="98"/>
      <c r="C220" s="98" t="s">
        <v>428</v>
      </c>
      <c r="D220" s="4" t="s">
        <v>428</v>
      </c>
      <c r="E220" s="7">
        <v>38</v>
      </c>
      <c r="F220" s="7">
        <v>96</v>
      </c>
      <c r="G220" s="4" t="s">
        <v>74</v>
      </c>
    </row>
    <row r="221" spans="1:7" ht="12.75">
      <c r="A221" s="98" t="s">
        <v>667</v>
      </c>
      <c r="B221" s="98"/>
      <c r="C221" s="98" t="s">
        <v>428</v>
      </c>
      <c r="D221" s="4" t="s">
        <v>428</v>
      </c>
      <c r="E221" s="7">
        <v>38</v>
      </c>
      <c r="F221" s="7">
        <v>96</v>
      </c>
      <c r="G221" s="4" t="s">
        <v>74</v>
      </c>
    </row>
    <row r="222" spans="1:7" ht="12.75">
      <c r="A222" s="98" t="s">
        <v>668</v>
      </c>
      <c r="B222" s="98" t="s">
        <v>669</v>
      </c>
      <c r="C222" s="98"/>
      <c r="D222" s="4" t="s">
        <v>669</v>
      </c>
      <c r="E222" s="7">
        <v>122</v>
      </c>
      <c r="F222" s="7">
        <v>165</v>
      </c>
      <c r="G222" s="4" t="s">
        <v>74</v>
      </c>
    </row>
    <row r="223" spans="1:7" ht="12.75">
      <c r="A223" s="98" t="s">
        <v>670</v>
      </c>
      <c r="B223" s="98"/>
      <c r="C223" s="98" t="s">
        <v>428</v>
      </c>
      <c r="D223" s="4" t="s">
        <v>428</v>
      </c>
      <c r="E223" s="7">
        <v>38</v>
      </c>
      <c r="F223" s="7">
        <v>96</v>
      </c>
      <c r="G223" s="4" t="s">
        <v>74</v>
      </c>
    </row>
    <row r="224" spans="1:7" ht="12.75">
      <c r="A224" s="98" t="s">
        <v>671</v>
      </c>
      <c r="B224" s="98"/>
      <c r="C224" s="98" t="s">
        <v>428</v>
      </c>
      <c r="D224" s="4" t="s">
        <v>428</v>
      </c>
      <c r="E224" s="7">
        <v>38</v>
      </c>
      <c r="F224" s="7">
        <v>96</v>
      </c>
      <c r="G224" s="4" t="s">
        <v>74</v>
      </c>
    </row>
    <row r="225" spans="1:7" ht="12.75">
      <c r="A225" s="98" t="s">
        <v>672</v>
      </c>
      <c r="B225" s="98" t="s">
        <v>464</v>
      </c>
      <c r="C225" s="98"/>
      <c r="D225" s="4" t="s">
        <v>464</v>
      </c>
      <c r="E225" s="7">
        <v>1400</v>
      </c>
      <c r="F225" s="7">
        <v>1400</v>
      </c>
      <c r="G225" s="4" t="s">
        <v>74</v>
      </c>
    </row>
    <row r="226" spans="1:7" ht="12.75">
      <c r="A226" s="98" t="s">
        <v>673</v>
      </c>
      <c r="B226" s="98" t="s">
        <v>674</v>
      </c>
      <c r="C226" s="98"/>
      <c r="D226" s="4" t="s">
        <v>674</v>
      </c>
      <c r="E226" s="7">
        <v>4000</v>
      </c>
      <c r="F226" s="7">
        <v>4000</v>
      </c>
      <c r="G226" s="4" t="s">
        <v>74</v>
      </c>
    </row>
    <row r="227" spans="1:7" ht="12.75">
      <c r="A227" s="98" t="s">
        <v>675</v>
      </c>
      <c r="B227" s="98"/>
      <c r="C227" s="98" t="s">
        <v>428</v>
      </c>
      <c r="D227" s="4" t="s">
        <v>428</v>
      </c>
      <c r="E227" s="7">
        <v>38</v>
      </c>
      <c r="F227" s="7">
        <v>96</v>
      </c>
      <c r="G227" s="4" t="s">
        <v>74</v>
      </c>
    </row>
    <row r="228" spans="1:7" ht="12.75">
      <c r="A228" s="98" t="s">
        <v>676</v>
      </c>
      <c r="B228" s="98" t="s">
        <v>677</v>
      </c>
      <c r="C228" s="98"/>
      <c r="D228" s="4" t="s">
        <v>677</v>
      </c>
      <c r="E228" s="7">
        <v>2289</v>
      </c>
      <c r="F228" s="7">
        <v>2289</v>
      </c>
      <c r="G228" s="4" t="s">
        <v>74</v>
      </c>
    </row>
    <row r="229" spans="1:7" ht="12.75">
      <c r="A229" s="98" t="s">
        <v>678</v>
      </c>
      <c r="B229" s="98" t="s">
        <v>679</v>
      </c>
      <c r="C229" s="98"/>
      <c r="D229" s="4" t="s">
        <v>679</v>
      </c>
      <c r="E229" s="7">
        <v>22</v>
      </c>
      <c r="F229" s="7">
        <v>22</v>
      </c>
      <c r="G229" s="4" t="s">
        <v>74</v>
      </c>
    </row>
    <row r="230" spans="1:7" ht="12.75">
      <c r="A230" s="98" t="s">
        <v>680</v>
      </c>
      <c r="B230" s="98"/>
      <c r="C230" s="98" t="s">
        <v>428</v>
      </c>
      <c r="D230" s="4" t="s">
        <v>428</v>
      </c>
      <c r="E230" s="7">
        <v>38</v>
      </c>
      <c r="F230" s="7">
        <v>96</v>
      </c>
      <c r="G230" s="4" t="s">
        <v>74</v>
      </c>
    </row>
    <row r="231" spans="1:7" ht="12.75">
      <c r="A231" s="98" t="s">
        <v>681</v>
      </c>
      <c r="B231" s="98"/>
      <c r="C231" s="98" t="s">
        <v>428</v>
      </c>
      <c r="D231" s="4" t="s">
        <v>428</v>
      </c>
      <c r="E231" s="7">
        <v>38</v>
      </c>
      <c r="F231" s="7">
        <v>96</v>
      </c>
      <c r="G231" s="4" t="s">
        <v>74</v>
      </c>
    </row>
    <row r="232" spans="1:7" ht="12.75">
      <c r="A232" s="98" t="s">
        <v>682</v>
      </c>
      <c r="B232" s="98" t="s">
        <v>683</v>
      </c>
      <c r="C232" s="98"/>
      <c r="D232" s="4" t="s">
        <v>683</v>
      </c>
      <c r="E232" s="7">
        <v>131</v>
      </c>
      <c r="F232" s="7">
        <v>260</v>
      </c>
      <c r="G232" s="4" t="s">
        <v>74</v>
      </c>
    </row>
    <row r="233" spans="1:7" ht="12.75">
      <c r="A233" s="98" t="s">
        <v>684</v>
      </c>
      <c r="B233" s="98"/>
      <c r="C233" s="98" t="s">
        <v>428</v>
      </c>
      <c r="D233" s="4" t="s">
        <v>428</v>
      </c>
      <c r="E233" s="7">
        <v>38</v>
      </c>
      <c r="F233" s="7">
        <v>96</v>
      </c>
      <c r="G233" s="4" t="s">
        <v>74</v>
      </c>
    </row>
    <row r="234" spans="1:7" ht="12.75">
      <c r="A234" s="98" t="s">
        <v>685</v>
      </c>
      <c r="B234" s="98"/>
      <c r="C234" s="98" t="s">
        <v>512</v>
      </c>
      <c r="D234" s="4" t="s">
        <v>512</v>
      </c>
      <c r="E234" s="7">
        <v>5950</v>
      </c>
      <c r="F234" s="7">
        <v>10539</v>
      </c>
      <c r="G234" s="4" t="s">
        <v>74</v>
      </c>
    </row>
    <row r="235" spans="1:7" ht="12.75">
      <c r="A235" s="98" t="s">
        <v>686</v>
      </c>
      <c r="B235" s="98" t="s">
        <v>687</v>
      </c>
      <c r="C235" s="98"/>
      <c r="D235" s="4" t="s">
        <v>687</v>
      </c>
      <c r="E235" s="7">
        <v>180000</v>
      </c>
      <c r="F235" s="7">
        <v>180000</v>
      </c>
      <c r="G235" s="4" t="s">
        <v>74</v>
      </c>
    </row>
    <row r="236" spans="1:7" ht="12.75">
      <c r="A236" s="98" t="s">
        <v>688</v>
      </c>
      <c r="B236" s="98" t="s">
        <v>689</v>
      </c>
      <c r="C236" s="98"/>
      <c r="D236" s="4" t="s">
        <v>689</v>
      </c>
      <c r="E236" s="7">
        <v>58</v>
      </c>
      <c r="F236" s="7">
        <v>112</v>
      </c>
      <c r="G236" s="4" t="s">
        <v>74</v>
      </c>
    </row>
    <row r="237" spans="1:7" ht="12.75">
      <c r="A237" s="98" t="s">
        <v>690</v>
      </c>
      <c r="B237" s="98" t="s">
        <v>691</v>
      </c>
      <c r="C237" s="98"/>
      <c r="D237" s="4" t="s">
        <v>691</v>
      </c>
      <c r="E237" s="7">
        <v>56</v>
      </c>
      <c r="F237" s="7">
        <v>1079</v>
      </c>
      <c r="G237" s="4" t="s">
        <v>74</v>
      </c>
    </row>
    <row r="238" spans="1:7" ht="12.75">
      <c r="A238" s="98" t="s">
        <v>692</v>
      </c>
      <c r="B238" s="98"/>
      <c r="C238" s="98" t="s">
        <v>428</v>
      </c>
      <c r="D238" s="4" t="s">
        <v>428</v>
      </c>
      <c r="E238" s="7">
        <v>38</v>
      </c>
      <c r="F238" s="7">
        <v>96</v>
      </c>
      <c r="G238" s="4" t="s">
        <v>74</v>
      </c>
    </row>
    <row r="239" spans="1:7" ht="12.75">
      <c r="A239" s="98" t="s">
        <v>693</v>
      </c>
      <c r="B239" s="98"/>
      <c r="C239" s="98" t="s">
        <v>512</v>
      </c>
      <c r="D239" s="4" t="s">
        <v>512</v>
      </c>
      <c r="E239" s="7">
        <v>5950</v>
      </c>
      <c r="F239" s="7">
        <v>10539</v>
      </c>
      <c r="G239" s="4" t="s">
        <v>74</v>
      </c>
    </row>
    <row r="240" spans="1:7" ht="12.75">
      <c r="A240" s="98" t="s">
        <v>694</v>
      </c>
      <c r="B240" s="98" t="s">
        <v>695</v>
      </c>
      <c r="C240" s="98"/>
      <c r="D240" s="4" t="s">
        <v>695</v>
      </c>
      <c r="E240" s="7">
        <v>23</v>
      </c>
      <c r="F240" s="7">
        <v>971</v>
      </c>
      <c r="G240" s="4" t="s">
        <v>74</v>
      </c>
    </row>
    <row r="241" spans="1:7" ht="12.75">
      <c r="A241" s="98" t="s">
        <v>696</v>
      </c>
      <c r="B241" s="98"/>
      <c r="C241" s="98" t="s">
        <v>428</v>
      </c>
      <c r="D241" s="4" t="s">
        <v>428</v>
      </c>
      <c r="E241" s="7">
        <v>38</v>
      </c>
      <c r="F241" s="7">
        <v>96</v>
      </c>
      <c r="G241" s="4" t="s">
        <v>74</v>
      </c>
    </row>
    <row r="242" spans="1:7" ht="12.75">
      <c r="A242" s="98" t="s">
        <v>697</v>
      </c>
      <c r="B242" s="98" t="s">
        <v>413</v>
      </c>
      <c r="C242" s="98"/>
      <c r="D242" s="4" t="s">
        <v>413</v>
      </c>
      <c r="E242" s="7">
        <v>5000</v>
      </c>
      <c r="F242" s="7">
        <v>20000</v>
      </c>
      <c r="G242" s="4" t="s">
        <v>74</v>
      </c>
    </row>
    <row r="243" spans="1:7" ht="12.75">
      <c r="A243" s="98" t="s">
        <v>698</v>
      </c>
      <c r="B243" s="98" t="s">
        <v>699</v>
      </c>
      <c r="C243" s="98"/>
      <c r="D243" s="4" t="s">
        <v>699</v>
      </c>
      <c r="E243" s="7">
        <v>23</v>
      </c>
      <c r="F243" s="7">
        <v>28</v>
      </c>
      <c r="G243" s="4" t="s">
        <v>74</v>
      </c>
    </row>
    <row r="244" spans="1:7" ht="12.75">
      <c r="A244" s="98" t="s">
        <v>700</v>
      </c>
      <c r="B244" s="98"/>
      <c r="C244" s="98" t="s">
        <v>428</v>
      </c>
      <c r="D244" s="4" t="s">
        <v>428</v>
      </c>
      <c r="E244" s="7">
        <v>38</v>
      </c>
      <c r="F244" s="7">
        <v>96</v>
      </c>
      <c r="G244" s="4" t="s">
        <v>74</v>
      </c>
    </row>
    <row r="245" spans="1:7" ht="12.75">
      <c r="A245" s="98" t="s">
        <v>701</v>
      </c>
      <c r="B245" s="98"/>
      <c r="C245" s="98" t="s">
        <v>428</v>
      </c>
      <c r="D245" s="4" t="s">
        <v>428</v>
      </c>
      <c r="E245" s="7">
        <v>38</v>
      </c>
      <c r="F245" s="7">
        <v>96</v>
      </c>
      <c r="G245" s="4" t="s">
        <v>74</v>
      </c>
    </row>
    <row r="246" spans="1:7" ht="12.75">
      <c r="A246" s="98" t="s">
        <v>702</v>
      </c>
      <c r="B246" s="98"/>
      <c r="C246" s="98" t="s">
        <v>428</v>
      </c>
      <c r="D246" s="4" t="s">
        <v>428</v>
      </c>
      <c r="E246" s="7">
        <v>38</v>
      </c>
      <c r="F246" s="7">
        <v>96</v>
      </c>
      <c r="G246" s="4" t="s">
        <v>74</v>
      </c>
    </row>
    <row r="247" spans="1:7" ht="12.75">
      <c r="A247" s="98" t="s">
        <v>703</v>
      </c>
      <c r="B247" s="98"/>
      <c r="C247" s="98" t="s">
        <v>428</v>
      </c>
      <c r="D247" s="4" t="s">
        <v>428</v>
      </c>
      <c r="E247" s="7">
        <v>38</v>
      </c>
      <c r="F247" s="7">
        <v>96</v>
      </c>
      <c r="G247" s="4" t="s">
        <v>74</v>
      </c>
    </row>
    <row r="248" spans="1:7" ht="12.75">
      <c r="A248" s="98" t="s">
        <v>704</v>
      </c>
      <c r="B248" s="98" t="s">
        <v>705</v>
      </c>
      <c r="C248" s="98"/>
      <c r="D248" s="4" t="s">
        <v>705</v>
      </c>
      <c r="E248" s="7">
        <v>7</v>
      </c>
      <c r="F248" s="7">
        <v>313</v>
      </c>
      <c r="G248" s="4" t="s">
        <v>74</v>
      </c>
    </row>
    <row r="249" spans="1:7" ht="12.75">
      <c r="A249" s="98" t="s">
        <v>706</v>
      </c>
      <c r="B249" s="98" t="s">
        <v>707</v>
      </c>
      <c r="C249" s="98"/>
      <c r="D249" s="4" t="s">
        <v>707</v>
      </c>
      <c r="E249" s="7">
        <v>21</v>
      </c>
      <c r="F249" s="7">
        <v>10000</v>
      </c>
      <c r="G249" s="4" t="s">
        <v>74</v>
      </c>
    </row>
    <row r="250" spans="1:7" ht="12.75">
      <c r="A250" s="98" t="s">
        <v>708</v>
      </c>
      <c r="B250" s="98" t="s">
        <v>709</v>
      </c>
      <c r="C250" s="98"/>
      <c r="D250" s="4" t="s">
        <v>709</v>
      </c>
      <c r="E250" s="7">
        <v>1818</v>
      </c>
      <c r="F250" s="7">
        <v>5000</v>
      </c>
      <c r="G250" s="4" t="s">
        <v>74</v>
      </c>
    </row>
    <row r="251" spans="1:7" ht="12.75">
      <c r="A251" s="98" t="s">
        <v>710</v>
      </c>
      <c r="B251" s="98" t="s">
        <v>711</v>
      </c>
      <c r="C251" s="98"/>
      <c r="D251" s="4" t="s">
        <v>711</v>
      </c>
      <c r="E251" s="7">
        <v>16</v>
      </c>
      <c r="F251" s="7">
        <v>19</v>
      </c>
      <c r="G251" s="4" t="s">
        <v>74</v>
      </c>
    </row>
    <row r="252" spans="1:7" ht="12.75">
      <c r="A252" s="98" t="s">
        <v>712</v>
      </c>
      <c r="B252" s="98"/>
      <c r="C252" s="98" t="s">
        <v>428</v>
      </c>
      <c r="D252" s="4" t="s">
        <v>428</v>
      </c>
      <c r="E252" s="7">
        <v>38</v>
      </c>
      <c r="F252" s="7">
        <v>96</v>
      </c>
      <c r="G252" s="4" t="s">
        <v>74</v>
      </c>
    </row>
    <row r="253" spans="1:7" ht="12.75">
      <c r="A253" s="98" t="s">
        <v>382</v>
      </c>
      <c r="B253" s="98" t="s">
        <v>713</v>
      </c>
      <c r="C253" s="98"/>
      <c r="D253" s="4" t="s">
        <v>713</v>
      </c>
      <c r="E253" s="7">
        <v>154</v>
      </c>
      <c r="F253" s="7">
        <v>154</v>
      </c>
      <c r="G253" s="4" t="s">
        <v>74</v>
      </c>
    </row>
    <row r="254" spans="1:7" ht="12.75">
      <c r="A254" s="98" t="s">
        <v>714</v>
      </c>
      <c r="B254" s="98"/>
      <c r="C254" s="98" t="s">
        <v>428</v>
      </c>
      <c r="D254" s="4" t="s">
        <v>428</v>
      </c>
      <c r="E254" s="7">
        <v>38</v>
      </c>
      <c r="F254" s="7">
        <v>96</v>
      </c>
      <c r="G254" s="4" t="s">
        <v>74</v>
      </c>
    </row>
    <row r="255" spans="1:7" ht="12.75">
      <c r="A255" s="98" t="s">
        <v>715</v>
      </c>
      <c r="B255" s="98" t="s">
        <v>716</v>
      </c>
      <c r="C255" s="98"/>
      <c r="D255" s="4" t="s">
        <v>716</v>
      </c>
      <c r="E255" s="7">
        <v>10</v>
      </c>
      <c r="F255" s="7">
        <v>45</v>
      </c>
      <c r="G255" s="4" t="s">
        <v>74</v>
      </c>
    </row>
    <row r="256" spans="1:7" ht="12.75">
      <c r="A256" s="98" t="s">
        <v>717</v>
      </c>
      <c r="B256" s="98"/>
      <c r="C256" s="98" t="s">
        <v>428</v>
      </c>
      <c r="D256" s="4" t="s">
        <v>428</v>
      </c>
      <c r="E256" s="7">
        <v>38</v>
      </c>
      <c r="F256" s="7">
        <v>96</v>
      </c>
      <c r="G256" s="4" t="s">
        <v>74</v>
      </c>
    </row>
    <row r="257" spans="1:7" ht="12.75">
      <c r="A257" s="98" t="s">
        <v>718</v>
      </c>
      <c r="B257" s="98" t="s">
        <v>719</v>
      </c>
      <c r="C257" s="98"/>
      <c r="D257" s="4" t="s">
        <v>719</v>
      </c>
      <c r="E257" s="7">
        <v>30000</v>
      </c>
      <c r="F257" s="7">
        <v>30000</v>
      </c>
      <c r="G257" s="4" t="s">
        <v>74</v>
      </c>
    </row>
    <row r="258" spans="1:7" ht="12.75">
      <c r="A258" s="98" t="s">
        <v>720</v>
      </c>
      <c r="B258" s="98" t="s">
        <v>721</v>
      </c>
      <c r="C258" s="98"/>
      <c r="D258" s="4" t="s">
        <v>721</v>
      </c>
      <c r="E258" s="7">
        <v>13640</v>
      </c>
      <c r="F258" s="7">
        <v>27270</v>
      </c>
      <c r="G258" s="4" t="s">
        <v>74</v>
      </c>
    </row>
    <row r="259" spans="1:7" ht="12.75">
      <c r="A259" s="98" t="s">
        <v>722</v>
      </c>
      <c r="B259" s="98"/>
      <c r="C259" s="98" t="s">
        <v>428</v>
      </c>
      <c r="D259" s="4" t="s">
        <v>428</v>
      </c>
      <c r="E259" s="7">
        <v>38</v>
      </c>
      <c r="F259" s="7">
        <v>96</v>
      </c>
      <c r="G259" s="4" t="s">
        <v>74</v>
      </c>
    </row>
    <row r="260" spans="1:7" ht="12.75">
      <c r="A260" s="98" t="s">
        <v>723</v>
      </c>
      <c r="B260" s="98" t="s">
        <v>600</v>
      </c>
      <c r="C260" s="98"/>
      <c r="D260" s="4" t="s">
        <v>600</v>
      </c>
      <c r="E260" s="7">
        <v>63</v>
      </c>
      <c r="F260" s="7">
        <v>63</v>
      </c>
      <c r="G260" s="4" t="s">
        <v>74</v>
      </c>
    </row>
    <row r="261" spans="1:7" ht="12.75">
      <c r="A261" s="98" t="s">
        <v>724</v>
      </c>
      <c r="B261" s="98"/>
      <c r="C261" s="98" t="s">
        <v>428</v>
      </c>
      <c r="D261" s="4" t="s">
        <v>428</v>
      </c>
      <c r="E261" s="7">
        <v>38</v>
      </c>
      <c r="F261" s="7">
        <v>96</v>
      </c>
      <c r="G261" s="4" t="s">
        <v>74</v>
      </c>
    </row>
    <row r="262" spans="1:7" ht="12.75">
      <c r="A262" s="98" t="s">
        <v>725</v>
      </c>
      <c r="B262" s="98"/>
      <c r="C262" s="98" t="s">
        <v>428</v>
      </c>
      <c r="D262" s="4" t="s">
        <v>428</v>
      </c>
      <c r="E262" s="7">
        <v>38</v>
      </c>
      <c r="F262" s="7">
        <v>96</v>
      </c>
      <c r="G262" s="4" t="s">
        <v>74</v>
      </c>
    </row>
    <row r="263" spans="1:7" ht="12.75">
      <c r="A263" s="98" t="s">
        <v>726</v>
      </c>
      <c r="B263" s="98" t="s">
        <v>727</v>
      </c>
      <c r="C263" s="98"/>
      <c r="D263" s="4" t="s">
        <v>727</v>
      </c>
      <c r="E263" s="7">
        <v>1200</v>
      </c>
      <c r="F263" s="7">
        <v>1200</v>
      </c>
      <c r="G263" s="4" t="s">
        <v>74</v>
      </c>
    </row>
    <row r="264" spans="1:7" ht="12.75">
      <c r="A264" s="98" t="s">
        <v>728</v>
      </c>
      <c r="B264" s="98"/>
      <c r="C264" s="98" t="s">
        <v>428</v>
      </c>
      <c r="D264" s="4" t="s">
        <v>428</v>
      </c>
      <c r="E264" s="7">
        <v>38</v>
      </c>
      <c r="F264" s="7">
        <v>96</v>
      </c>
      <c r="G264" s="4" t="s">
        <v>74</v>
      </c>
    </row>
    <row r="265" spans="1:7" ht="12.75">
      <c r="A265" s="98" t="s">
        <v>729</v>
      </c>
      <c r="B265" s="98" t="s">
        <v>730</v>
      </c>
      <c r="C265" s="98"/>
      <c r="D265" s="4" t="s">
        <v>730</v>
      </c>
      <c r="E265" s="7">
        <v>13640</v>
      </c>
      <c r="F265" s="7">
        <v>18180</v>
      </c>
      <c r="G265" s="4" t="s">
        <v>74</v>
      </c>
    </row>
    <row r="266" spans="1:7" ht="12.75">
      <c r="A266" s="98" t="s">
        <v>731</v>
      </c>
      <c r="B266" s="98" t="s">
        <v>732</v>
      </c>
      <c r="C266" s="98"/>
      <c r="D266" s="4" t="s">
        <v>732</v>
      </c>
      <c r="E266" s="7">
        <v>29540</v>
      </c>
      <c r="F266" s="7">
        <v>36360</v>
      </c>
      <c r="G266" s="4" t="s">
        <v>74</v>
      </c>
    </row>
    <row r="267" spans="1:7" ht="12.75">
      <c r="A267" s="98" t="s">
        <v>733</v>
      </c>
      <c r="B267" s="98" t="s">
        <v>734</v>
      </c>
      <c r="C267" s="98"/>
      <c r="D267" s="4" t="s">
        <v>734</v>
      </c>
      <c r="E267" s="7">
        <v>4500</v>
      </c>
      <c r="F267" s="7">
        <v>4500</v>
      </c>
      <c r="G267" s="4" t="s">
        <v>74</v>
      </c>
    </row>
    <row r="268" spans="1:7" ht="12.75">
      <c r="A268" s="98" t="s">
        <v>735</v>
      </c>
      <c r="B268" s="98"/>
      <c r="C268" s="98" t="s">
        <v>428</v>
      </c>
      <c r="D268" s="4" t="s">
        <v>428</v>
      </c>
      <c r="E268" s="7">
        <v>38</v>
      </c>
      <c r="F268" s="7">
        <v>96</v>
      </c>
      <c r="G268" s="4" t="s">
        <v>74</v>
      </c>
    </row>
    <row r="269" spans="1:7" ht="12.75">
      <c r="A269" s="98" t="s">
        <v>736</v>
      </c>
      <c r="B269" s="98"/>
      <c r="C269" s="98" t="s">
        <v>428</v>
      </c>
      <c r="D269" s="4" t="s">
        <v>428</v>
      </c>
      <c r="E269" s="7">
        <v>38</v>
      </c>
      <c r="F269" s="7">
        <v>96</v>
      </c>
      <c r="G269" s="4" t="s">
        <v>74</v>
      </c>
    </row>
    <row r="270" spans="1:7" ht="12.75">
      <c r="A270" s="98" t="s">
        <v>737</v>
      </c>
      <c r="B270" s="98" t="s">
        <v>738</v>
      </c>
      <c r="C270" s="98"/>
      <c r="D270" s="4" t="s">
        <v>738</v>
      </c>
      <c r="E270" s="7">
        <v>941</v>
      </c>
      <c r="F270" s="7">
        <v>941</v>
      </c>
      <c r="G270" s="4" t="s">
        <v>74</v>
      </c>
    </row>
    <row r="271" spans="1:7" ht="12.75">
      <c r="A271" s="98" t="s">
        <v>739</v>
      </c>
      <c r="B271" s="98" t="s">
        <v>740</v>
      </c>
      <c r="C271" s="98"/>
      <c r="D271" s="4" t="s">
        <v>740</v>
      </c>
      <c r="E271" s="7">
        <v>8000</v>
      </c>
      <c r="F271" s="7">
        <v>8000</v>
      </c>
      <c r="G271" s="4" t="s">
        <v>74</v>
      </c>
    </row>
    <row r="272" spans="1:7" ht="12.75">
      <c r="A272" s="98" t="s">
        <v>741</v>
      </c>
      <c r="B272" s="98"/>
      <c r="C272" s="98" t="s">
        <v>512</v>
      </c>
      <c r="D272" s="4" t="s">
        <v>512</v>
      </c>
      <c r="E272" s="7">
        <v>5950</v>
      </c>
      <c r="F272" s="7">
        <v>10539</v>
      </c>
      <c r="G272" s="4" t="s">
        <v>74</v>
      </c>
    </row>
    <row r="273" spans="1:7" ht="12.75">
      <c r="A273" s="98" t="s">
        <v>742</v>
      </c>
      <c r="B273" s="98"/>
      <c r="C273" s="98" t="s">
        <v>428</v>
      </c>
      <c r="D273" s="4" t="s">
        <v>428</v>
      </c>
      <c r="E273" s="7">
        <v>38</v>
      </c>
      <c r="F273" s="7">
        <v>96</v>
      </c>
      <c r="G273" s="4" t="s">
        <v>74</v>
      </c>
    </row>
    <row r="274" spans="1:7" ht="12.75">
      <c r="A274" s="98" t="s">
        <v>743</v>
      </c>
      <c r="B274" s="98"/>
      <c r="C274" s="98" t="s">
        <v>428</v>
      </c>
      <c r="D274" s="4" t="s">
        <v>428</v>
      </c>
      <c r="E274" s="7">
        <v>38</v>
      </c>
      <c r="F274" s="7">
        <v>96</v>
      </c>
      <c r="G274" s="4" t="s">
        <v>74</v>
      </c>
    </row>
    <row r="275" spans="1:7" ht="12.75">
      <c r="A275" s="98" t="s">
        <v>744</v>
      </c>
      <c r="B275" s="98" t="s">
        <v>745</v>
      </c>
      <c r="C275" s="98"/>
      <c r="D275" s="4" t="s">
        <v>745</v>
      </c>
      <c r="E275" s="7">
        <v>216</v>
      </c>
      <c r="F275" s="7">
        <v>216</v>
      </c>
      <c r="G275" s="4" t="s">
        <v>74</v>
      </c>
    </row>
    <row r="276" spans="1:7" ht="12.75">
      <c r="A276" s="98" t="s">
        <v>746</v>
      </c>
      <c r="B276" s="98"/>
      <c r="C276" s="98" t="s">
        <v>428</v>
      </c>
      <c r="D276" s="4" t="s">
        <v>428</v>
      </c>
      <c r="E276" s="7">
        <v>38</v>
      </c>
      <c r="F276" s="7">
        <v>96</v>
      </c>
      <c r="G276" s="4" t="s">
        <v>74</v>
      </c>
    </row>
    <row r="277" spans="1:7" ht="12.75">
      <c r="A277" s="98" t="s">
        <v>747</v>
      </c>
      <c r="B277" s="98"/>
      <c r="C277" s="98" t="s">
        <v>428</v>
      </c>
      <c r="D277" s="4" t="s">
        <v>428</v>
      </c>
      <c r="E277" s="7">
        <v>38</v>
      </c>
      <c r="F277" s="7">
        <v>96</v>
      </c>
      <c r="G277" s="4" t="s">
        <v>74</v>
      </c>
    </row>
    <row r="278" spans="1:7" ht="12.75">
      <c r="A278" s="98" t="s">
        <v>748</v>
      </c>
      <c r="B278" s="98"/>
      <c r="C278" s="98" t="s">
        <v>428</v>
      </c>
      <c r="D278" s="4" t="s">
        <v>428</v>
      </c>
      <c r="E278" s="7">
        <v>38</v>
      </c>
      <c r="F278" s="7">
        <v>96</v>
      </c>
      <c r="G278" s="4" t="s">
        <v>74</v>
      </c>
    </row>
    <row r="279" spans="1:7" ht="12.75">
      <c r="A279" s="98" t="s">
        <v>749</v>
      </c>
      <c r="B279" s="98"/>
      <c r="C279" s="98" t="s">
        <v>428</v>
      </c>
      <c r="D279" s="4" t="s">
        <v>428</v>
      </c>
      <c r="E279" s="7">
        <v>38</v>
      </c>
      <c r="F279" s="7">
        <v>96</v>
      </c>
      <c r="G279" s="4" t="s">
        <v>74</v>
      </c>
    </row>
    <row r="280" spans="1:7" ht="12.75">
      <c r="A280" s="98" t="s">
        <v>750</v>
      </c>
      <c r="B280" s="98"/>
      <c r="C280" s="98" t="s">
        <v>428</v>
      </c>
      <c r="D280" s="4" t="s">
        <v>428</v>
      </c>
      <c r="E280" s="7">
        <v>38</v>
      </c>
      <c r="F280" s="7">
        <v>96</v>
      </c>
      <c r="G280" s="4" t="s">
        <v>74</v>
      </c>
    </row>
    <row r="281" spans="1:7" ht="12.75">
      <c r="A281" s="98" t="s">
        <v>751</v>
      </c>
      <c r="B281" s="98" t="s">
        <v>752</v>
      </c>
      <c r="C281" s="98"/>
      <c r="D281" s="4" t="s">
        <v>752</v>
      </c>
      <c r="E281" s="7">
        <v>9000</v>
      </c>
      <c r="F281" s="7">
        <v>10000</v>
      </c>
      <c r="G281" s="4" t="s">
        <v>74</v>
      </c>
    </row>
    <row r="282" spans="1:7" ht="12.75">
      <c r="A282" s="98" t="s">
        <v>753</v>
      </c>
      <c r="B282" s="98" t="s">
        <v>754</v>
      </c>
      <c r="C282" s="98"/>
      <c r="D282" s="4" t="s">
        <v>754</v>
      </c>
      <c r="E282" s="7">
        <v>11</v>
      </c>
      <c r="F282" s="7">
        <v>600</v>
      </c>
      <c r="G282" s="4" t="s">
        <v>74</v>
      </c>
    </row>
    <row r="283" spans="1:7" ht="12.75">
      <c r="A283" s="98" t="s">
        <v>755</v>
      </c>
      <c r="B283" s="98" t="s">
        <v>756</v>
      </c>
      <c r="C283" s="98"/>
      <c r="D283" s="4" t="s">
        <v>756</v>
      </c>
      <c r="E283" s="7">
        <v>6000</v>
      </c>
      <c r="F283" s="7">
        <v>6000</v>
      </c>
      <c r="G283" s="4" t="s">
        <v>74</v>
      </c>
    </row>
    <row r="284" spans="1:7" ht="12.75">
      <c r="A284" s="98" t="s">
        <v>757</v>
      </c>
      <c r="B284" s="98"/>
      <c r="C284" s="98" t="s">
        <v>428</v>
      </c>
      <c r="D284" s="4" t="s">
        <v>428</v>
      </c>
      <c r="E284" s="7">
        <v>38</v>
      </c>
      <c r="F284" s="7">
        <v>96</v>
      </c>
      <c r="G284" s="4" t="s">
        <v>74</v>
      </c>
    </row>
    <row r="285" spans="1:7" ht="12.75">
      <c r="A285" s="98" t="s">
        <v>758</v>
      </c>
      <c r="B285" s="98"/>
      <c r="C285" s="98" t="s">
        <v>428</v>
      </c>
      <c r="D285" s="4" t="s">
        <v>428</v>
      </c>
      <c r="E285" s="7">
        <v>38</v>
      </c>
      <c r="F285" s="7">
        <v>96</v>
      </c>
      <c r="G285" s="4" t="s">
        <v>74</v>
      </c>
    </row>
    <row r="286" spans="1:7" ht="12.75">
      <c r="A286" s="98" t="s">
        <v>759</v>
      </c>
      <c r="B286" s="98"/>
      <c r="C286" s="98" t="s">
        <v>428</v>
      </c>
      <c r="D286" s="4" t="s">
        <v>428</v>
      </c>
      <c r="E286" s="7">
        <v>38</v>
      </c>
      <c r="F286" s="7">
        <v>96</v>
      </c>
      <c r="G286" s="4" t="s">
        <v>74</v>
      </c>
    </row>
    <row r="287" spans="1:7" ht="12.75">
      <c r="A287" s="98" t="s">
        <v>760</v>
      </c>
      <c r="B287" s="98" t="s">
        <v>761</v>
      </c>
      <c r="C287" s="98"/>
      <c r="D287" s="4" t="s">
        <v>761</v>
      </c>
      <c r="E287" s="7">
        <v>21</v>
      </c>
      <c r="F287" s="7">
        <v>140</v>
      </c>
      <c r="G287" s="4" t="s">
        <v>74</v>
      </c>
    </row>
    <row r="288" spans="1:7" ht="12.75">
      <c r="A288" s="98" t="s">
        <v>762</v>
      </c>
      <c r="B288" s="98"/>
      <c r="C288" s="98" t="s">
        <v>428</v>
      </c>
      <c r="D288" s="4" t="s">
        <v>428</v>
      </c>
      <c r="E288" s="7">
        <v>38</v>
      </c>
      <c r="F288" s="7">
        <v>96</v>
      </c>
      <c r="G288" s="4" t="s">
        <v>74</v>
      </c>
    </row>
    <row r="289" spans="1:7" ht="12.75">
      <c r="A289" s="98" t="s">
        <v>763</v>
      </c>
      <c r="B289" s="98" t="s">
        <v>764</v>
      </c>
      <c r="C289" s="98"/>
      <c r="D289" s="4" t="s">
        <v>764</v>
      </c>
      <c r="E289" s="7">
        <v>4536</v>
      </c>
      <c r="F289" s="7">
        <v>4536</v>
      </c>
      <c r="G289" s="4" t="s">
        <v>74</v>
      </c>
    </row>
    <row r="290" spans="1:7" ht="12.75">
      <c r="A290" s="98" t="s">
        <v>765</v>
      </c>
      <c r="B290" s="98" t="s">
        <v>766</v>
      </c>
      <c r="C290" s="98"/>
      <c r="D290" s="4" t="s">
        <v>766</v>
      </c>
      <c r="E290" s="7">
        <v>3723</v>
      </c>
      <c r="F290" s="7">
        <v>5548</v>
      </c>
      <c r="G290" s="4" t="s">
        <v>74</v>
      </c>
    </row>
    <row r="291" spans="1:7" ht="12.75">
      <c r="A291" s="98" t="s">
        <v>767</v>
      </c>
      <c r="B291" s="98"/>
      <c r="C291" s="98" t="s">
        <v>428</v>
      </c>
      <c r="D291" s="4" t="s">
        <v>428</v>
      </c>
      <c r="E291" s="7">
        <v>38</v>
      </c>
      <c r="F291" s="7">
        <v>96</v>
      </c>
      <c r="G291" s="4" t="s">
        <v>74</v>
      </c>
    </row>
    <row r="292" spans="1:7" ht="12.75">
      <c r="A292" s="98" t="s">
        <v>768</v>
      </c>
      <c r="B292" s="98" t="s">
        <v>769</v>
      </c>
      <c r="C292" s="98"/>
      <c r="D292" s="4" t="s">
        <v>769</v>
      </c>
      <c r="E292" s="7">
        <v>239</v>
      </c>
      <c r="F292" s="7">
        <v>367</v>
      </c>
      <c r="G292" s="4" t="s">
        <v>74</v>
      </c>
    </row>
    <row r="293" spans="1:7" ht="12.75">
      <c r="A293" s="98" t="s">
        <v>770</v>
      </c>
      <c r="B293" s="98"/>
      <c r="C293" s="98" t="s">
        <v>428</v>
      </c>
      <c r="D293" s="4" t="s">
        <v>428</v>
      </c>
      <c r="E293" s="7">
        <v>38</v>
      </c>
      <c r="F293" s="7">
        <v>96</v>
      </c>
      <c r="G293" s="4" t="s">
        <v>74</v>
      </c>
    </row>
    <row r="294" spans="1:7" ht="12.75">
      <c r="A294" s="98" t="s">
        <v>771</v>
      </c>
      <c r="B294" s="98"/>
      <c r="C294" s="98" t="s">
        <v>428</v>
      </c>
      <c r="D294" s="4" t="s">
        <v>428</v>
      </c>
      <c r="E294" s="7">
        <v>38</v>
      </c>
      <c r="F294" s="7">
        <v>96</v>
      </c>
      <c r="G294" s="4" t="s">
        <v>74</v>
      </c>
    </row>
    <row r="295" spans="1:7" ht="12.75">
      <c r="A295" s="98" t="s">
        <v>772</v>
      </c>
      <c r="B295" s="98"/>
      <c r="C295" s="98" t="s">
        <v>428</v>
      </c>
      <c r="D295" s="4" t="s">
        <v>428</v>
      </c>
      <c r="E295" s="7">
        <v>38</v>
      </c>
      <c r="F295" s="7">
        <v>96</v>
      </c>
      <c r="G295" s="4" t="s">
        <v>74</v>
      </c>
    </row>
    <row r="296" spans="1:7" ht="12.75">
      <c r="A296" s="98" t="s">
        <v>773</v>
      </c>
      <c r="B296" s="98"/>
      <c r="C296" s="98" t="s">
        <v>428</v>
      </c>
      <c r="D296" s="4" t="s">
        <v>428</v>
      </c>
      <c r="E296" s="7">
        <v>38</v>
      </c>
      <c r="F296" s="7">
        <v>96</v>
      </c>
      <c r="G296" s="4" t="s">
        <v>74</v>
      </c>
    </row>
    <row r="297" spans="1:7" ht="12.75">
      <c r="A297" s="98" t="s">
        <v>774</v>
      </c>
      <c r="B297" s="98"/>
      <c r="C297" s="98" t="s">
        <v>428</v>
      </c>
      <c r="D297" s="4" t="s">
        <v>428</v>
      </c>
      <c r="E297" s="7">
        <v>38</v>
      </c>
      <c r="F297" s="7">
        <v>96</v>
      </c>
      <c r="G297" s="4" t="s">
        <v>74</v>
      </c>
    </row>
    <row r="298" spans="1:7" ht="12.75">
      <c r="A298" s="98" t="s">
        <v>775</v>
      </c>
      <c r="B298" s="98" t="s">
        <v>776</v>
      </c>
      <c r="C298" s="98"/>
      <c r="D298" s="4" t="s">
        <v>776</v>
      </c>
      <c r="E298" s="7">
        <v>4</v>
      </c>
      <c r="F298" s="7">
        <v>31</v>
      </c>
      <c r="G298" s="4" t="s">
        <v>74</v>
      </c>
    </row>
    <row r="299" spans="1:7" ht="12.75">
      <c r="A299" s="98" t="s">
        <v>777</v>
      </c>
      <c r="B299" s="98"/>
      <c r="C299" s="98" t="s">
        <v>428</v>
      </c>
      <c r="D299" s="4" t="s">
        <v>428</v>
      </c>
      <c r="E299" s="7">
        <v>38</v>
      </c>
      <c r="F299" s="7">
        <v>96</v>
      </c>
      <c r="G299" s="4" t="s">
        <v>74</v>
      </c>
    </row>
    <row r="300" spans="1:7" ht="12.75">
      <c r="A300" s="98" t="s">
        <v>778</v>
      </c>
      <c r="B300" s="98"/>
      <c r="C300" s="98" t="s">
        <v>428</v>
      </c>
      <c r="D300" s="4" t="s">
        <v>428</v>
      </c>
      <c r="E300" s="7">
        <v>38</v>
      </c>
      <c r="F300" s="7">
        <v>96</v>
      </c>
      <c r="G300" s="4" t="s">
        <v>74</v>
      </c>
    </row>
    <row r="301" spans="1:7" ht="12.75">
      <c r="A301" s="98" t="s">
        <v>779</v>
      </c>
      <c r="B301" s="98"/>
      <c r="C301" s="98" t="s">
        <v>428</v>
      </c>
      <c r="D301" s="4" t="s">
        <v>428</v>
      </c>
      <c r="E301" s="7">
        <v>38</v>
      </c>
      <c r="F301" s="7">
        <v>96</v>
      </c>
      <c r="G301" s="4" t="s">
        <v>74</v>
      </c>
    </row>
    <row r="302" spans="1:7" ht="12.75">
      <c r="A302" s="98" t="s">
        <v>780</v>
      </c>
      <c r="B302" s="98" t="s">
        <v>781</v>
      </c>
      <c r="C302" s="98"/>
      <c r="D302" s="4" t="s">
        <v>781</v>
      </c>
      <c r="E302" s="7">
        <v>10000</v>
      </c>
      <c r="F302" s="7">
        <v>10000</v>
      </c>
      <c r="G302" s="4" t="s">
        <v>74</v>
      </c>
    </row>
    <row r="303" spans="1:7" ht="12.75">
      <c r="A303" s="98" t="s">
        <v>782</v>
      </c>
      <c r="B303" s="98" t="s">
        <v>783</v>
      </c>
      <c r="C303" s="98"/>
      <c r="D303" s="4" t="s">
        <v>783</v>
      </c>
      <c r="E303" s="7">
        <v>2244</v>
      </c>
      <c r="F303" s="7">
        <v>3060</v>
      </c>
      <c r="G303" s="4" t="s">
        <v>74</v>
      </c>
    </row>
    <row r="304" spans="1:7" ht="12.75">
      <c r="A304" s="98" t="s">
        <v>784</v>
      </c>
      <c r="B304" s="98"/>
      <c r="C304" s="98" t="s">
        <v>428</v>
      </c>
      <c r="D304" s="4" t="s">
        <v>428</v>
      </c>
      <c r="E304" s="7">
        <v>38</v>
      </c>
      <c r="F304" s="7">
        <v>96</v>
      </c>
      <c r="G304" s="4" t="s">
        <v>74</v>
      </c>
    </row>
    <row r="305" spans="1:7" ht="12.75">
      <c r="A305" s="98" t="s">
        <v>785</v>
      </c>
      <c r="B305" s="98" t="s">
        <v>786</v>
      </c>
      <c r="C305" s="98"/>
      <c r="D305" s="4" t="s">
        <v>786</v>
      </c>
      <c r="E305" s="7">
        <v>78</v>
      </c>
      <c r="F305" s="7">
        <v>79</v>
      </c>
      <c r="G305" s="4" t="s">
        <v>74</v>
      </c>
    </row>
    <row r="306" spans="1:7" ht="12.75">
      <c r="A306" s="98" t="s">
        <v>787</v>
      </c>
      <c r="B306" s="98"/>
      <c r="C306" s="98" t="s">
        <v>428</v>
      </c>
      <c r="D306" s="4" t="s">
        <v>428</v>
      </c>
      <c r="E306" s="7">
        <v>38</v>
      </c>
      <c r="F306" s="7">
        <v>96</v>
      </c>
      <c r="G306" s="4" t="s">
        <v>74</v>
      </c>
    </row>
    <row r="307" spans="1:7" ht="12.75">
      <c r="A307" s="98" t="s">
        <v>314</v>
      </c>
      <c r="B307" s="98" t="s">
        <v>788</v>
      </c>
      <c r="C307" s="98"/>
      <c r="D307" s="4" t="s">
        <v>788</v>
      </c>
      <c r="E307" s="7">
        <v>12794</v>
      </c>
      <c r="F307" s="7">
        <v>12794</v>
      </c>
      <c r="G307" s="4" t="s">
        <v>74</v>
      </c>
    </row>
    <row r="308" spans="1:7" ht="12.75">
      <c r="A308" s="98" t="s">
        <v>789</v>
      </c>
      <c r="B308" s="98" t="s">
        <v>790</v>
      </c>
      <c r="C308" s="98"/>
      <c r="D308" s="4" t="s">
        <v>790</v>
      </c>
      <c r="E308" s="7">
        <v>262000</v>
      </c>
      <c r="F308" s="7">
        <v>262000</v>
      </c>
      <c r="G308" s="4" t="s">
        <v>74</v>
      </c>
    </row>
    <row r="309" spans="1:7" ht="12.75">
      <c r="A309" s="98" t="s">
        <v>791</v>
      </c>
      <c r="B309" s="98" t="s">
        <v>792</v>
      </c>
      <c r="C309" s="98"/>
      <c r="D309" s="4" t="s">
        <v>792</v>
      </c>
      <c r="E309" s="7">
        <v>39</v>
      </c>
      <c r="F309" s="7">
        <v>53</v>
      </c>
      <c r="G309" s="4" t="s">
        <v>74</v>
      </c>
    </row>
    <row r="310" spans="1:7" ht="12.75">
      <c r="A310" s="98" t="s">
        <v>793</v>
      </c>
      <c r="B310" s="98" t="s">
        <v>794</v>
      </c>
      <c r="C310" s="98"/>
      <c r="D310" s="4" t="s">
        <v>794</v>
      </c>
      <c r="E310" s="7">
        <v>146</v>
      </c>
      <c r="F310" s="7">
        <v>1200</v>
      </c>
      <c r="G310" s="4" t="s">
        <v>74</v>
      </c>
    </row>
    <row r="311" spans="1:7" ht="12.75">
      <c r="A311" s="98" t="s">
        <v>795</v>
      </c>
      <c r="B311" s="98"/>
      <c r="C311" s="98" t="s">
        <v>428</v>
      </c>
      <c r="D311" s="4" t="s">
        <v>428</v>
      </c>
      <c r="E311" s="7">
        <v>38</v>
      </c>
      <c r="F311" s="7">
        <v>96</v>
      </c>
      <c r="G311" s="4" t="s">
        <v>74</v>
      </c>
    </row>
    <row r="312" spans="1:7" ht="12.75">
      <c r="A312" s="98" t="s">
        <v>796</v>
      </c>
      <c r="B312" s="98" t="s">
        <v>797</v>
      </c>
      <c r="C312" s="98"/>
      <c r="D312" s="4" t="s">
        <v>797</v>
      </c>
      <c r="E312" s="7">
        <v>217</v>
      </c>
      <c r="F312" s="7">
        <v>5100</v>
      </c>
      <c r="G312" s="4" t="s">
        <v>74</v>
      </c>
    </row>
    <row r="313" spans="1:7" ht="12.75">
      <c r="A313" s="98" t="s">
        <v>798</v>
      </c>
      <c r="B313" s="98"/>
      <c r="C313" s="98" t="s">
        <v>428</v>
      </c>
      <c r="D313" s="4" t="s">
        <v>428</v>
      </c>
      <c r="E313" s="7">
        <v>38</v>
      </c>
      <c r="F313" s="7">
        <v>96</v>
      </c>
      <c r="G313" s="4" t="s">
        <v>74</v>
      </c>
    </row>
    <row r="314" spans="1:7" ht="12.75">
      <c r="A314" s="98" t="s">
        <v>799</v>
      </c>
      <c r="B314" s="98"/>
      <c r="C314" s="98" t="s">
        <v>428</v>
      </c>
      <c r="D314" s="4" t="s">
        <v>428</v>
      </c>
      <c r="E314" s="7">
        <v>38</v>
      </c>
      <c r="F314" s="7">
        <v>96</v>
      </c>
      <c r="G314" s="4" t="s">
        <v>74</v>
      </c>
    </row>
    <row r="315" spans="1:7" ht="12.75">
      <c r="A315" s="98" t="s">
        <v>800</v>
      </c>
      <c r="B315" s="98" t="s">
        <v>801</v>
      </c>
      <c r="C315" s="98"/>
      <c r="D315" s="4" t="s">
        <v>801</v>
      </c>
      <c r="E315" s="7">
        <v>951</v>
      </c>
      <c r="F315" s="7">
        <v>1296</v>
      </c>
      <c r="G315" s="4" t="s">
        <v>74</v>
      </c>
    </row>
    <row r="316" spans="1:7" ht="12.75">
      <c r="A316" s="98" t="s">
        <v>802</v>
      </c>
      <c r="B316" s="98"/>
      <c r="C316" s="98" t="s">
        <v>428</v>
      </c>
      <c r="D316" s="4" t="s">
        <v>428</v>
      </c>
      <c r="E316" s="7">
        <v>38</v>
      </c>
      <c r="F316" s="7">
        <v>96</v>
      </c>
      <c r="G316" s="4" t="s">
        <v>74</v>
      </c>
    </row>
    <row r="317" spans="1:7" ht="12.75">
      <c r="A317" s="98" t="s">
        <v>803</v>
      </c>
      <c r="B317" s="98"/>
      <c r="C317" s="98" t="s">
        <v>428</v>
      </c>
      <c r="D317" s="4" t="s">
        <v>428</v>
      </c>
      <c r="E317" s="7">
        <v>38</v>
      </c>
      <c r="F317" s="7">
        <v>96</v>
      </c>
      <c r="G317" s="4" t="s">
        <v>74</v>
      </c>
    </row>
    <row r="318" spans="1:7" ht="12.75">
      <c r="A318" s="98" t="s">
        <v>804</v>
      </c>
      <c r="B318" s="98" t="s">
        <v>805</v>
      </c>
      <c r="C318" s="98"/>
      <c r="D318" s="4" t="s">
        <v>805</v>
      </c>
      <c r="E318" s="7">
        <v>1298</v>
      </c>
      <c r="F318" s="7">
        <v>1524</v>
      </c>
      <c r="G318" s="4" t="s">
        <v>74</v>
      </c>
    </row>
    <row r="319" spans="1:7" ht="12.75">
      <c r="A319" s="98" t="s">
        <v>806</v>
      </c>
      <c r="B319" s="98"/>
      <c r="C319" s="98" t="s">
        <v>428</v>
      </c>
      <c r="D319" s="4" t="s">
        <v>428</v>
      </c>
      <c r="E319" s="7">
        <v>38</v>
      </c>
      <c r="F319" s="7">
        <v>96</v>
      </c>
      <c r="G319" s="4" t="s">
        <v>74</v>
      </c>
    </row>
    <row r="320" spans="1:7" ht="12.75">
      <c r="A320" s="98" t="s">
        <v>807</v>
      </c>
      <c r="B320" s="98" t="s">
        <v>808</v>
      </c>
      <c r="C320" s="98"/>
      <c r="D320" s="4" t="s">
        <v>808</v>
      </c>
      <c r="E320" s="7">
        <v>1943</v>
      </c>
      <c r="F320" s="7">
        <v>1943</v>
      </c>
      <c r="G320" s="4" t="s">
        <v>74</v>
      </c>
    </row>
    <row r="321" spans="1:7" ht="12.75">
      <c r="A321" s="98" t="s">
        <v>809</v>
      </c>
      <c r="B321" s="98" t="s">
        <v>810</v>
      </c>
      <c r="C321" s="98"/>
      <c r="D321" s="4" t="s">
        <v>810</v>
      </c>
      <c r="E321" s="7">
        <v>38000</v>
      </c>
      <c r="F321" s="7">
        <v>99300</v>
      </c>
      <c r="G321" s="4" t="s">
        <v>74</v>
      </c>
    </row>
    <row r="322" spans="1:7" ht="12.75">
      <c r="A322" s="98" t="s">
        <v>811</v>
      </c>
      <c r="B322" s="98"/>
      <c r="C322" s="98" t="s">
        <v>428</v>
      </c>
      <c r="D322" s="4" t="s">
        <v>428</v>
      </c>
      <c r="E322" s="7">
        <v>38</v>
      </c>
      <c r="F322" s="7">
        <v>96</v>
      </c>
      <c r="G322" s="4" t="s">
        <v>74</v>
      </c>
    </row>
    <row r="323" spans="1:7" ht="12.75">
      <c r="A323" s="98" t="s">
        <v>812</v>
      </c>
      <c r="B323" s="98" t="s">
        <v>813</v>
      </c>
      <c r="C323" s="98"/>
      <c r="D323" s="4" t="s">
        <v>813</v>
      </c>
      <c r="E323" s="7">
        <v>85000</v>
      </c>
      <c r="F323" s="7">
        <v>90000</v>
      </c>
      <c r="G323" s="4" t="s">
        <v>74</v>
      </c>
    </row>
    <row r="324" spans="1:7" ht="12.75">
      <c r="A324" s="98" t="s">
        <v>814</v>
      </c>
      <c r="B324" s="98"/>
      <c r="C324" s="98" t="s">
        <v>428</v>
      </c>
      <c r="D324" s="4" t="s">
        <v>428</v>
      </c>
      <c r="E324" s="7">
        <v>38</v>
      </c>
      <c r="F324" s="7">
        <v>96</v>
      </c>
      <c r="G324" s="4" t="s">
        <v>74</v>
      </c>
    </row>
    <row r="325" spans="1:7" ht="12.75">
      <c r="A325" s="98" t="s">
        <v>815</v>
      </c>
      <c r="B325" s="98" t="s">
        <v>816</v>
      </c>
      <c r="C325" s="98"/>
      <c r="D325" s="4" t="s">
        <v>816</v>
      </c>
      <c r="E325" s="7">
        <v>394</v>
      </c>
      <c r="F325" s="7">
        <v>739</v>
      </c>
      <c r="G325" s="4" t="s">
        <v>74</v>
      </c>
    </row>
    <row r="326" spans="1:7" ht="12.75">
      <c r="A326" s="98" t="s">
        <v>817</v>
      </c>
      <c r="B326" s="98" t="s">
        <v>818</v>
      </c>
      <c r="C326" s="98"/>
      <c r="D326" s="4" t="s">
        <v>818</v>
      </c>
      <c r="E326" s="7">
        <v>3000</v>
      </c>
      <c r="F326" s="7">
        <v>4500</v>
      </c>
      <c r="G326" s="4" t="s">
        <v>74</v>
      </c>
    </row>
    <row r="327" spans="1:7" ht="12.75">
      <c r="A327" s="98" t="s">
        <v>819</v>
      </c>
      <c r="B327" s="98" t="s">
        <v>368</v>
      </c>
      <c r="C327" s="98"/>
      <c r="D327" s="4" t="s">
        <v>368</v>
      </c>
      <c r="E327" s="7">
        <v>1000</v>
      </c>
      <c r="F327" s="7">
        <v>1000</v>
      </c>
      <c r="G327" s="4" t="s">
        <v>74</v>
      </c>
    </row>
    <row r="328" spans="1:7" ht="12.75">
      <c r="A328" s="98" t="s">
        <v>820</v>
      </c>
      <c r="B328" s="98" t="s">
        <v>352</v>
      </c>
      <c r="C328" s="98"/>
      <c r="D328" s="4" t="s">
        <v>352</v>
      </c>
      <c r="E328" s="7">
        <v>500</v>
      </c>
      <c r="F328" s="7">
        <v>1000</v>
      </c>
      <c r="G328" s="4" t="s">
        <v>74</v>
      </c>
    </row>
    <row r="329" spans="1:7" ht="12.75">
      <c r="A329" s="98" t="s">
        <v>821</v>
      </c>
      <c r="B329" s="98"/>
      <c r="C329" s="98" t="s">
        <v>428</v>
      </c>
      <c r="D329" s="4" t="s">
        <v>428</v>
      </c>
      <c r="E329" s="7">
        <v>38</v>
      </c>
      <c r="F329" s="7">
        <v>96</v>
      </c>
      <c r="G329" s="4" t="s">
        <v>74</v>
      </c>
    </row>
    <row r="330" spans="1:7" ht="12.75">
      <c r="A330" s="98" t="s">
        <v>822</v>
      </c>
      <c r="B330" s="98"/>
      <c r="C330" s="98" t="s">
        <v>428</v>
      </c>
      <c r="D330" s="4" t="s">
        <v>428</v>
      </c>
      <c r="E330" s="7">
        <v>38</v>
      </c>
      <c r="F330" s="7">
        <v>96</v>
      </c>
      <c r="G330" s="4" t="s">
        <v>74</v>
      </c>
    </row>
    <row r="331" spans="1:7" ht="12.75">
      <c r="A331" s="98" t="s">
        <v>823</v>
      </c>
      <c r="B331" s="98" t="s">
        <v>824</v>
      </c>
      <c r="C331" s="98"/>
      <c r="D331" s="4" t="s">
        <v>824</v>
      </c>
      <c r="E331" s="7">
        <v>2000</v>
      </c>
      <c r="F331" s="7">
        <v>7000</v>
      </c>
      <c r="G331" s="4" t="s">
        <v>74</v>
      </c>
    </row>
    <row r="332" spans="1:7" ht="12.75">
      <c r="A332" s="98" t="s">
        <v>825</v>
      </c>
      <c r="B332" s="98"/>
      <c r="C332" s="98" t="s">
        <v>428</v>
      </c>
      <c r="D332" s="4" t="s">
        <v>428</v>
      </c>
      <c r="E332" s="7">
        <v>38</v>
      </c>
      <c r="F332" s="7">
        <v>96</v>
      </c>
      <c r="G332" s="4" t="s">
        <v>74</v>
      </c>
    </row>
    <row r="333" spans="1:7" ht="12.75">
      <c r="A333" s="98" t="s">
        <v>826</v>
      </c>
      <c r="B333" s="98"/>
      <c r="C333" s="98" t="s">
        <v>428</v>
      </c>
      <c r="D333" s="4" t="s">
        <v>428</v>
      </c>
      <c r="E333" s="7">
        <v>38</v>
      </c>
      <c r="F333" s="7">
        <v>96</v>
      </c>
      <c r="G333" s="4" t="s">
        <v>74</v>
      </c>
    </row>
    <row r="334" spans="1:7" ht="12.75">
      <c r="A334" s="98" t="s">
        <v>371</v>
      </c>
      <c r="B334" s="98" t="s">
        <v>368</v>
      </c>
      <c r="C334" s="98"/>
      <c r="D334" s="4" t="s">
        <v>368</v>
      </c>
      <c r="E334" s="7">
        <v>1000</v>
      </c>
      <c r="F334" s="7">
        <v>1000</v>
      </c>
      <c r="G334" s="4" t="s">
        <v>74</v>
      </c>
    </row>
    <row r="335" spans="1:7" ht="12.75">
      <c r="A335" s="98" t="s">
        <v>827</v>
      </c>
      <c r="B335" s="98"/>
      <c r="C335" s="98" t="s">
        <v>428</v>
      </c>
      <c r="D335" s="4" t="s">
        <v>428</v>
      </c>
      <c r="E335" s="7">
        <v>38</v>
      </c>
      <c r="F335" s="7">
        <v>96</v>
      </c>
      <c r="G335" s="4" t="s">
        <v>74</v>
      </c>
    </row>
    <row r="336" spans="1:7" ht="12.75">
      <c r="A336" s="98" t="s">
        <v>828</v>
      </c>
      <c r="B336" s="98" t="s">
        <v>829</v>
      </c>
      <c r="C336" s="98"/>
      <c r="D336" s="4" t="s">
        <v>829</v>
      </c>
      <c r="E336" s="7">
        <v>1718</v>
      </c>
      <c r="F336" s="7">
        <v>14854</v>
      </c>
      <c r="G336" s="4" t="s">
        <v>74</v>
      </c>
    </row>
    <row r="337" spans="1:7" ht="12.75">
      <c r="A337" s="98" t="s">
        <v>830</v>
      </c>
      <c r="B337" s="98" t="s">
        <v>781</v>
      </c>
      <c r="C337" s="98"/>
      <c r="D337" s="4" t="s">
        <v>781</v>
      </c>
      <c r="E337" s="7">
        <v>10000</v>
      </c>
      <c r="F337" s="7">
        <v>10000</v>
      </c>
      <c r="G337" s="4" t="s">
        <v>74</v>
      </c>
    </row>
    <row r="338" spans="1:7" ht="12.75">
      <c r="A338" s="98" t="s">
        <v>831</v>
      </c>
      <c r="B338" s="98" t="s">
        <v>832</v>
      </c>
      <c r="C338" s="98"/>
      <c r="D338" s="4" t="s">
        <v>832</v>
      </c>
      <c r="E338" s="7">
        <v>413</v>
      </c>
      <c r="F338" s="7">
        <v>30000</v>
      </c>
      <c r="G338" s="4" t="s">
        <v>74</v>
      </c>
    </row>
    <row r="339" spans="1:7" ht="12.75">
      <c r="A339" s="98" t="s">
        <v>833</v>
      </c>
      <c r="B339" s="98"/>
      <c r="C339" s="98" t="s">
        <v>396</v>
      </c>
      <c r="D339" s="4" t="s">
        <v>396</v>
      </c>
      <c r="E339" s="7">
        <v>38</v>
      </c>
      <c r="F339" s="7">
        <v>97</v>
      </c>
      <c r="G339" s="4" t="s">
        <v>74</v>
      </c>
    </row>
    <row r="340" spans="1:7" ht="12.75">
      <c r="A340" s="98" t="s">
        <v>834</v>
      </c>
      <c r="B340" s="98" t="s">
        <v>835</v>
      </c>
      <c r="C340" s="98"/>
      <c r="D340" s="4" t="s">
        <v>835</v>
      </c>
      <c r="E340" s="7">
        <v>81</v>
      </c>
      <c r="F340" s="7">
        <v>260</v>
      </c>
      <c r="G340" s="4" t="s">
        <v>74</v>
      </c>
    </row>
    <row r="341" spans="1:7" ht="12.75">
      <c r="A341" s="98" t="s">
        <v>836</v>
      </c>
      <c r="B341" s="98"/>
      <c r="C341" s="98" t="s">
        <v>396</v>
      </c>
      <c r="D341" s="4" t="s">
        <v>396</v>
      </c>
      <c r="E341" s="7">
        <v>38</v>
      </c>
      <c r="F341" s="7">
        <v>97</v>
      </c>
      <c r="G341" s="4" t="s">
        <v>74</v>
      </c>
    </row>
    <row r="342" spans="1:7" ht="12.75">
      <c r="A342" s="98" t="s">
        <v>837</v>
      </c>
      <c r="B342" s="98" t="s">
        <v>838</v>
      </c>
      <c r="C342" s="98"/>
      <c r="D342" s="4" t="s">
        <v>838</v>
      </c>
      <c r="E342" s="7">
        <v>907</v>
      </c>
      <c r="F342" s="7">
        <v>9072</v>
      </c>
      <c r="G342" s="4" t="s">
        <v>74</v>
      </c>
    </row>
    <row r="343" spans="1:7" ht="12.75">
      <c r="A343" s="98" t="s">
        <v>839</v>
      </c>
      <c r="B343" s="98" t="s">
        <v>840</v>
      </c>
      <c r="C343" s="98"/>
      <c r="D343" s="4" t="s">
        <v>840</v>
      </c>
      <c r="E343" s="7">
        <v>6804</v>
      </c>
      <c r="F343" s="7">
        <v>6804</v>
      </c>
      <c r="G343" s="4" t="s">
        <v>74</v>
      </c>
    </row>
    <row r="344" spans="1:7" ht="12.75">
      <c r="A344" s="98" t="s">
        <v>841</v>
      </c>
      <c r="B344" s="98" t="s">
        <v>842</v>
      </c>
      <c r="C344" s="98"/>
      <c r="D344" s="4" t="s">
        <v>842</v>
      </c>
      <c r="E344" s="7">
        <v>65</v>
      </c>
      <c r="F344" s="7">
        <v>91</v>
      </c>
      <c r="G344" s="4" t="s">
        <v>74</v>
      </c>
    </row>
    <row r="345" spans="1:7" ht="12.75">
      <c r="A345" s="98" t="s">
        <v>843</v>
      </c>
      <c r="B345" s="98"/>
      <c r="C345" s="98" t="s">
        <v>428</v>
      </c>
      <c r="D345" s="4" t="s">
        <v>428</v>
      </c>
      <c r="E345" s="7">
        <v>38</v>
      </c>
      <c r="F345" s="7">
        <v>96</v>
      </c>
      <c r="G345" s="4" t="s">
        <v>74</v>
      </c>
    </row>
    <row r="346" spans="1:7" ht="12.75">
      <c r="A346" s="98" t="s">
        <v>844</v>
      </c>
      <c r="B346" s="98" t="s">
        <v>845</v>
      </c>
      <c r="C346" s="98"/>
      <c r="D346" s="4" t="s">
        <v>845</v>
      </c>
      <c r="E346" s="7">
        <v>4070</v>
      </c>
      <c r="F346" s="7">
        <v>5550</v>
      </c>
      <c r="G346" s="4" t="s">
        <v>74</v>
      </c>
    </row>
    <row r="347" spans="1:7" ht="12.75">
      <c r="A347" s="98" t="s">
        <v>846</v>
      </c>
      <c r="B347" s="98"/>
      <c r="C347" s="98" t="s">
        <v>428</v>
      </c>
      <c r="D347" s="4" t="s">
        <v>428</v>
      </c>
      <c r="E347" s="7">
        <v>38</v>
      </c>
      <c r="F347" s="7">
        <v>96</v>
      </c>
      <c r="G347" s="4" t="s">
        <v>74</v>
      </c>
    </row>
    <row r="348" spans="1:7" ht="12.75">
      <c r="A348" s="98" t="s">
        <v>847</v>
      </c>
      <c r="B348" s="98"/>
      <c r="C348" s="98" t="s">
        <v>428</v>
      </c>
      <c r="D348" s="4" t="s">
        <v>428</v>
      </c>
      <c r="E348" s="7">
        <v>38</v>
      </c>
      <c r="F348" s="7">
        <v>96</v>
      </c>
      <c r="G348" s="4" t="s">
        <v>74</v>
      </c>
    </row>
    <row r="349" spans="1:7" ht="12.75">
      <c r="A349" s="98" t="s">
        <v>848</v>
      </c>
      <c r="B349" s="98"/>
      <c r="C349" s="98" t="s">
        <v>428</v>
      </c>
      <c r="D349" s="4" t="s">
        <v>428</v>
      </c>
      <c r="E349" s="7">
        <v>38</v>
      </c>
      <c r="F349" s="7">
        <v>96</v>
      </c>
      <c r="G349" s="4" t="s">
        <v>74</v>
      </c>
    </row>
    <row r="350" spans="1:7" ht="12.75">
      <c r="A350" s="98" t="s">
        <v>849</v>
      </c>
      <c r="B350" s="98"/>
      <c r="C350" s="98" t="s">
        <v>428</v>
      </c>
      <c r="D350" s="4" t="s">
        <v>428</v>
      </c>
      <c r="E350" s="7">
        <v>38</v>
      </c>
      <c r="F350" s="7">
        <v>96</v>
      </c>
      <c r="G350" s="4" t="s">
        <v>74</v>
      </c>
    </row>
    <row r="351" spans="1:7" ht="12.75">
      <c r="A351" s="98" t="s">
        <v>850</v>
      </c>
      <c r="B351" s="98"/>
      <c r="C351" s="98" t="s">
        <v>428</v>
      </c>
      <c r="D351" s="4" t="s">
        <v>428</v>
      </c>
      <c r="E351" s="7">
        <v>38</v>
      </c>
      <c r="F351" s="7">
        <v>96</v>
      </c>
      <c r="G351" s="4" t="s">
        <v>74</v>
      </c>
    </row>
    <row r="352" spans="1:7" ht="12.75">
      <c r="A352" s="98" t="s">
        <v>851</v>
      </c>
      <c r="B352" s="98"/>
      <c r="C352" s="98" t="s">
        <v>428</v>
      </c>
      <c r="D352" s="4" t="s">
        <v>428</v>
      </c>
      <c r="E352" s="7">
        <v>38</v>
      </c>
      <c r="F352" s="7">
        <v>96</v>
      </c>
      <c r="G352" s="4" t="s">
        <v>74</v>
      </c>
    </row>
    <row r="353" spans="1:7" ht="12.75">
      <c r="A353" s="98" t="s">
        <v>852</v>
      </c>
      <c r="B353" s="98"/>
      <c r="C353" s="98" t="s">
        <v>428</v>
      </c>
      <c r="D353" s="4" t="s">
        <v>428</v>
      </c>
      <c r="E353" s="7">
        <v>38</v>
      </c>
      <c r="F353" s="7">
        <v>96</v>
      </c>
      <c r="G353" s="4" t="s">
        <v>74</v>
      </c>
    </row>
    <row r="354" spans="1:7" ht="12.75">
      <c r="A354" s="98" t="s">
        <v>853</v>
      </c>
      <c r="B354" s="98"/>
      <c r="C354" s="98" t="s">
        <v>428</v>
      </c>
      <c r="D354" s="4" t="s">
        <v>428</v>
      </c>
      <c r="E354" s="7">
        <v>38</v>
      </c>
      <c r="F354" s="7">
        <v>96</v>
      </c>
      <c r="G354" s="4" t="s">
        <v>74</v>
      </c>
    </row>
    <row r="355" spans="1:7" ht="12.75">
      <c r="A355" s="98" t="s">
        <v>375</v>
      </c>
      <c r="B355" s="98" t="s">
        <v>854</v>
      </c>
      <c r="C355" s="98"/>
      <c r="D355" s="4" t="s">
        <v>854</v>
      </c>
      <c r="E355" s="7">
        <v>6364</v>
      </c>
      <c r="F355" s="7">
        <v>18182</v>
      </c>
      <c r="G355" s="4" t="s">
        <v>74</v>
      </c>
    </row>
    <row r="356" spans="1:7" ht="12.75">
      <c r="A356" s="98" t="s">
        <v>855</v>
      </c>
      <c r="B356" s="98"/>
      <c r="C356" s="98" t="s">
        <v>428</v>
      </c>
      <c r="D356" s="4" t="s">
        <v>428</v>
      </c>
      <c r="E356" s="7">
        <v>38</v>
      </c>
      <c r="F356" s="7">
        <v>96</v>
      </c>
      <c r="G356" s="4" t="s">
        <v>74</v>
      </c>
    </row>
    <row r="357" spans="1:7" ht="12.75">
      <c r="A357" s="98" t="s">
        <v>856</v>
      </c>
      <c r="B357" s="98" t="s">
        <v>857</v>
      </c>
      <c r="C357" s="98"/>
      <c r="D357" s="4" t="s">
        <v>857</v>
      </c>
      <c r="E357" s="7">
        <v>100000</v>
      </c>
      <c r="F357" s="7">
        <v>200000</v>
      </c>
      <c r="G357" s="4" t="s">
        <v>74</v>
      </c>
    </row>
    <row r="358" spans="1:7" ht="12.75">
      <c r="A358" s="98" t="s">
        <v>858</v>
      </c>
      <c r="B358" s="98"/>
      <c r="C358" s="98" t="s">
        <v>512</v>
      </c>
      <c r="D358" s="4" t="s">
        <v>512</v>
      </c>
      <c r="E358" s="7">
        <v>5950</v>
      </c>
      <c r="F358" s="7">
        <v>10539</v>
      </c>
      <c r="G358" s="4" t="s">
        <v>74</v>
      </c>
    </row>
    <row r="359" spans="1:7" ht="12.75">
      <c r="A359" s="98" t="s">
        <v>329</v>
      </c>
      <c r="B359" s="98" t="s">
        <v>859</v>
      </c>
      <c r="C359" s="98"/>
      <c r="D359" s="4" t="s">
        <v>859</v>
      </c>
      <c r="E359" s="7">
        <v>600</v>
      </c>
      <c r="F359" s="7">
        <v>600</v>
      </c>
      <c r="G359" s="4" t="s">
        <v>74</v>
      </c>
    </row>
    <row r="360" spans="1:7" ht="12.75">
      <c r="A360" s="98" t="s">
        <v>860</v>
      </c>
      <c r="B360" s="98"/>
      <c r="C360" s="98" t="s">
        <v>512</v>
      </c>
      <c r="D360" s="4" t="s">
        <v>512</v>
      </c>
      <c r="E360" s="7">
        <v>5950</v>
      </c>
      <c r="F360" s="7">
        <v>10539</v>
      </c>
      <c r="G360" s="4" t="s">
        <v>74</v>
      </c>
    </row>
    <row r="361" spans="1:7" ht="12.75">
      <c r="A361" s="98" t="s">
        <v>861</v>
      </c>
      <c r="B361" s="98"/>
      <c r="C361" s="98" t="s">
        <v>428</v>
      </c>
      <c r="D361" s="4" t="s">
        <v>428</v>
      </c>
      <c r="E361" s="7">
        <v>38</v>
      </c>
      <c r="F361" s="7">
        <v>96</v>
      </c>
      <c r="G361" s="4" t="s">
        <v>74</v>
      </c>
    </row>
    <row r="362" spans="1:7" ht="12.75">
      <c r="A362" s="98" t="s">
        <v>862</v>
      </c>
      <c r="B362" s="98" t="s">
        <v>863</v>
      </c>
      <c r="C362" s="98"/>
      <c r="D362" s="4" t="s">
        <v>863</v>
      </c>
      <c r="E362" s="7">
        <v>60000</v>
      </c>
      <c r="F362" s="7">
        <v>135000</v>
      </c>
      <c r="G362" s="4" t="s">
        <v>74</v>
      </c>
    </row>
    <row r="363" spans="1:7" ht="12.75">
      <c r="A363" s="98" t="s">
        <v>864</v>
      </c>
      <c r="B363" s="98"/>
      <c r="C363" s="98" t="s">
        <v>428</v>
      </c>
      <c r="D363" s="4" t="s">
        <v>428</v>
      </c>
      <c r="E363" s="7">
        <v>38</v>
      </c>
      <c r="F363" s="7">
        <v>96</v>
      </c>
      <c r="G363" s="4" t="s">
        <v>74</v>
      </c>
    </row>
    <row r="364" spans="1:7" ht="12.75">
      <c r="A364" s="98" t="s">
        <v>865</v>
      </c>
      <c r="B364" s="98"/>
      <c r="C364" s="98" t="s">
        <v>428</v>
      </c>
      <c r="D364" s="4" t="s">
        <v>428</v>
      </c>
      <c r="E364" s="7">
        <v>38</v>
      </c>
      <c r="F364" s="7">
        <v>96</v>
      </c>
      <c r="G364" s="4" t="s">
        <v>74</v>
      </c>
    </row>
    <row r="365" spans="1:7" ht="12.75">
      <c r="A365" s="98" t="s">
        <v>866</v>
      </c>
      <c r="B365" s="98"/>
      <c r="C365" s="98" t="s">
        <v>428</v>
      </c>
      <c r="D365" s="4" t="s">
        <v>428</v>
      </c>
      <c r="E365" s="7">
        <v>38</v>
      </c>
      <c r="F365" s="7">
        <v>96</v>
      </c>
      <c r="G365" s="4" t="s">
        <v>74</v>
      </c>
    </row>
    <row r="366" spans="1:7" ht="12.75">
      <c r="A366" s="98" t="s">
        <v>867</v>
      </c>
      <c r="B366" s="98" t="s">
        <v>868</v>
      </c>
      <c r="C366" s="98"/>
      <c r="D366" s="4" t="s">
        <v>868</v>
      </c>
      <c r="E366" s="7">
        <v>1361</v>
      </c>
      <c r="F366" s="7">
        <v>2268</v>
      </c>
      <c r="G366" s="4" t="s">
        <v>74</v>
      </c>
    </row>
    <row r="367" spans="1:7" ht="12.75">
      <c r="A367" s="98" t="s">
        <v>378</v>
      </c>
      <c r="B367" s="98" t="s">
        <v>869</v>
      </c>
      <c r="C367" s="98"/>
      <c r="D367" s="4" t="s">
        <v>869</v>
      </c>
      <c r="E367" s="7">
        <v>6042</v>
      </c>
      <c r="F367" s="7">
        <v>6298</v>
      </c>
      <c r="G367" s="4" t="s">
        <v>74</v>
      </c>
    </row>
    <row r="368" spans="1:7" ht="12.75">
      <c r="A368" s="98" t="s">
        <v>870</v>
      </c>
      <c r="B368" s="98"/>
      <c r="C368" s="98" t="s">
        <v>428</v>
      </c>
      <c r="D368" s="4" t="s">
        <v>428</v>
      </c>
      <c r="E368" s="7">
        <v>38</v>
      </c>
      <c r="F368" s="7">
        <v>96</v>
      </c>
      <c r="G368" s="4" t="s">
        <v>74</v>
      </c>
    </row>
    <row r="369" spans="1:7" ht="12.75">
      <c r="A369" s="98" t="s">
        <v>871</v>
      </c>
      <c r="B369" s="98"/>
      <c r="C369" s="98" t="s">
        <v>428</v>
      </c>
      <c r="D369" s="4" t="s">
        <v>428</v>
      </c>
      <c r="E369" s="7">
        <v>38</v>
      </c>
      <c r="F369" s="7">
        <v>96</v>
      </c>
      <c r="G369" s="4" t="s">
        <v>74</v>
      </c>
    </row>
    <row r="370" spans="1:7" ht="12.75">
      <c r="A370" s="98" t="s">
        <v>872</v>
      </c>
      <c r="B370" s="98" t="s">
        <v>873</v>
      </c>
      <c r="C370" s="98"/>
      <c r="D370" s="4" t="s">
        <v>873</v>
      </c>
      <c r="E370" s="7">
        <v>660</v>
      </c>
      <c r="F370" s="7">
        <v>660</v>
      </c>
      <c r="G370" s="4" t="s">
        <v>74</v>
      </c>
    </row>
    <row r="371" spans="1:7" ht="12.75">
      <c r="A371" s="98" t="s">
        <v>874</v>
      </c>
      <c r="B371" s="98" t="s">
        <v>875</v>
      </c>
      <c r="C371" s="98"/>
      <c r="D371" s="4" t="s">
        <v>875</v>
      </c>
      <c r="E371" s="7">
        <v>737</v>
      </c>
      <c r="F371" s="7">
        <v>1260</v>
      </c>
      <c r="G371" s="4" t="s">
        <v>74</v>
      </c>
    </row>
    <row r="372" spans="1:7" ht="12.75">
      <c r="A372" s="98" t="s">
        <v>876</v>
      </c>
      <c r="B372" s="98" t="s">
        <v>877</v>
      </c>
      <c r="C372" s="98"/>
      <c r="D372" s="4" t="s">
        <v>877</v>
      </c>
      <c r="E372" s="7">
        <v>1814</v>
      </c>
      <c r="F372" s="7">
        <v>1814</v>
      </c>
      <c r="G372" s="4" t="s">
        <v>74</v>
      </c>
    </row>
    <row r="373" spans="1:7" ht="12.75">
      <c r="A373" s="98" t="s">
        <v>878</v>
      </c>
      <c r="B373" s="98"/>
      <c r="C373" s="98" t="s">
        <v>428</v>
      </c>
      <c r="D373" s="4" t="s">
        <v>428</v>
      </c>
      <c r="E373" s="7">
        <v>38</v>
      </c>
      <c r="F373" s="7">
        <v>96</v>
      </c>
      <c r="G373" s="4" t="s">
        <v>74</v>
      </c>
    </row>
    <row r="374" spans="1:7" ht="12.75">
      <c r="A374" s="98" t="s">
        <v>879</v>
      </c>
      <c r="B374" s="98" t="s">
        <v>880</v>
      </c>
      <c r="C374" s="98"/>
      <c r="D374" s="4" t="s">
        <v>880</v>
      </c>
      <c r="E374" s="7">
        <v>7000</v>
      </c>
      <c r="F374" s="7">
        <v>28333</v>
      </c>
      <c r="G374" s="4" t="s">
        <v>74</v>
      </c>
    </row>
    <row r="375" spans="1:7" ht="12.75">
      <c r="A375" s="98" t="s">
        <v>881</v>
      </c>
      <c r="B375" s="98" t="s">
        <v>882</v>
      </c>
      <c r="C375" s="98"/>
      <c r="D375" s="4" t="s">
        <v>882</v>
      </c>
      <c r="E375" s="7">
        <v>1000</v>
      </c>
      <c r="F375" s="7">
        <v>2300</v>
      </c>
      <c r="G375" s="4" t="s">
        <v>74</v>
      </c>
    </row>
    <row r="376" spans="1:7" ht="12.75">
      <c r="A376" s="98" t="s">
        <v>883</v>
      </c>
      <c r="B376" s="98"/>
      <c r="C376" s="98" t="s">
        <v>428</v>
      </c>
      <c r="D376" s="4" t="s">
        <v>428</v>
      </c>
      <c r="E376" s="7">
        <v>38</v>
      </c>
      <c r="F376" s="7">
        <v>96</v>
      </c>
      <c r="G376" s="4" t="s">
        <v>74</v>
      </c>
    </row>
    <row r="377" spans="1:7" ht="12.75">
      <c r="A377" s="98" t="s">
        <v>884</v>
      </c>
      <c r="B377" s="98" t="s">
        <v>885</v>
      </c>
      <c r="C377" s="98"/>
      <c r="D377" s="4" t="s">
        <v>885</v>
      </c>
      <c r="E377" s="7">
        <v>81</v>
      </c>
      <c r="F377" s="7">
        <v>1000</v>
      </c>
      <c r="G377" s="4" t="s">
        <v>74</v>
      </c>
    </row>
    <row r="378" spans="1:7" ht="12.75">
      <c r="A378" s="98" t="s">
        <v>886</v>
      </c>
      <c r="B378" s="98"/>
      <c r="C378" s="98" t="s">
        <v>428</v>
      </c>
      <c r="D378" s="4" t="s">
        <v>428</v>
      </c>
      <c r="E378" s="7">
        <v>38</v>
      </c>
      <c r="F378" s="7">
        <v>96</v>
      </c>
      <c r="G378" s="4" t="s">
        <v>74</v>
      </c>
    </row>
    <row r="379" spans="1:7" ht="12.75">
      <c r="A379" s="98" t="s">
        <v>887</v>
      </c>
      <c r="B379" s="98" t="s">
        <v>559</v>
      </c>
      <c r="C379" s="98"/>
      <c r="D379" s="4" t="s">
        <v>559</v>
      </c>
      <c r="E379" s="7">
        <v>1500</v>
      </c>
      <c r="F379" s="7">
        <v>1500</v>
      </c>
      <c r="G379" s="4" t="s">
        <v>74</v>
      </c>
    </row>
    <row r="380" spans="1:7" ht="12.75">
      <c r="A380" s="98" t="s">
        <v>888</v>
      </c>
      <c r="B380" s="98"/>
      <c r="C380" s="98" t="s">
        <v>428</v>
      </c>
      <c r="D380" s="4" t="s">
        <v>428</v>
      </c>
      <c r="E380" s="7">
        <v>38</v>
      </c>
      <c r="F380" s="7">
        <v>96</v>
      </c>
      <c r="G380" s="4" t="s">
        <v>74</v>
      </c>
    </row>
    <row r="381" spans="1:7" ht="12.75">
      <c r="A381" s="98" t="s">
        <v>889</v>
      </c>
      <c r="B381" s="98" t="s">
        <v>890</v>
      </c>
      <c r="C381" s="98"/>
      <c r="D381" s="4" t="s">
        <v>890</v>
      </c>
      <c r="E381" s="7">
        <v>300</v>
      </c>
      <c r="F381" s="7">
        <v>1000</v>
      </c>
      <c r="G381" s="4" t="s">
        <v>74</v>
      </c>
    </row>
    <row r="382" spans="1:7" ht="12.75">
      <c r="A382" s="98" t="s">
        <v>891</v>
      </c>
      <c r="B382" s="98" t="s">
        <v>892</v>
      </c>
      <c r="C382" s="98"/>
      <c r="D382" s="4" t="s">
        <v>892</v>
      </c>
      <c r="E382" s="7">
        <v>166</v>
      </c>
      <c r="F382" s="7">
        <v>178</v>
      </c>
      <c r="G382" s="4" t="s">
        <v>74</v>
      </c>
    </row>
    <row r="383" spans="1:7" ht="12.75">
      <c r="A383" s="98" t="s">
        <v>893</v>
      </c>
      <c r="B383" s="98"/>
      <c r="C383" s="98" t="s">
        <v>428</v>
      </c>
      <c r="D383" s="4" t="s">
        <v>428</v>
      </c>
      <c r="E383" s="7">
        <v>38</v>
      </c>
      <c r="F383" s="7">
        <v>96</v>
      </c>
      <c r="G383" s="4" t="s">
        <v>74</v>
      </c>
    </row>
    <row r="384" spans="1:7" ht="12.75">
      <c r="A384" s="98" t="s">
        <v>894</v>
      </c>
      <c r="B384" s="98"/>
      <c r="C384" s="98" t="s">
        <v>428</v>
      </c>
      <c r="D384" s="4" t="s">
        <v>428</v>
      </c>
      <c r="E384" s="7">
        <v>38</v>
      </c>
      <c r="F384" s="7">
        <v>96</v>
      </c>
      <c r="G384" s="4" t="s">
        <v>74</v>
      </c>
    </row>
    <row r="385" spans="1:7" ht="12.75">
      <c r="A385" s="98" t="s">
        <v>895</v>
      </c>
      <c r="B385" s="98" t="s">
        <v>896</v>
      </c>
      <c r="C385" s="98"/>
      <c r="D385" s="4" t="s">
        <v>896</v>
      </c>
      <c r="E385" s="7">
        <v>649</v>
      </c>
      <c r="F385" s="7">
        <v>885</v>
      </c>
      <c r="G385" s="4" t="s">
        <v>74</v>
      </c>
    </row>
    <row r="386" spans="1:7" ht="12.75">
      <c r="A386" s="98" t="s">
        <v>897</v>
      </c>
      <c r="B386" s="98" t="s">
        <v>464</v>
      </c>
      <c r="C386" s="98"/>
      <c r="D386" s="4" t="s">
        <v>464</v>
      </c>
      <c r="E386" s="7">
        <v>1400</v>
      </c>
      <c r="F386" s="7">
        <v>1400</v>
      </c>
      <c r="G386" s="4" t="s">
        <v>74</v>
      </c>
    </row>
    <row r="387" spans="1:7" ht="12.75">
      <c r="A387" s="98" t="s">
        <v>898</v>
      </c>
      <c r="B387" s="98"/>
      <c r="C387" s="98" t="s">
        <v>428</v>
      </c>
      <c r="D387" s="4" t="s">
        <v>428</v>
      </c>
      <c r="E387" s="7">
        <v>38</v>
      </c>
      <c r="F387" s="7">
        <v>96</v>
      </c>
      <c r="G387" s="4" t="s">
        <v>74</v>
      </c>
    </row>
    <row r="388" spans="1:7" ht="12.75">
      <c r="A388" s="98" t="s">
        <v>899</v>
      </c>
      <c r="B388" s="98"/>
      <c r="C388" s="98" t="s">
        <v>428</v>
      </c>
      <c r="D388" s="4" t="s">
        <v>428</v>
      </c>
      <c r="E388" s="7">
        <v>38</v>
      </c>
      <c r="F388" s="7">
        <v>96</v>
      </c>
      <c r="G388" s="4" t="s">
        <v>74</v>
      </c>
    </row>
    <row r="389" spans="1:7" ht="12.75">
      <c r="A389" s="98" t="s">
        <v>900</v>
      </c>
      <c r="B389" s="98"/>
      <c r="C389" s="98" t="s">
        <v>428</v>
      </c>
      <c r="D389" s="4" t="s">
        <v>428</v>
      </c>
      <c r="E389" s="7">
        <v>38</v>
      </c>
      <c r="F389" s="7">
        <v>96</v>
      </c>
      <c r="G389" s="4" t="s">
        <v>74</v>
      </c>
    </row>
    <row r="390" spans="1:7" ht="12.75">
      <c r="A390" s="98" t="s">
        <v>901</v>
      </c>
      <c r="B390" s="98"/>
      <c r="C390" s="98" t="s">
        <v>428</v>
      </c>
      <c r="D390" s="4" t="s">
        <v>428</v>
      </c>
      <c r="E390" s="7">
        <v>38</v>
      </c>
      <c r="F390" s="7">
        <v>96</v>
      </c>
      <c r="G390" s="4" t="s">
        <v>74</v>
      </c>
    </row>
    <row r="391" spans="1:7" ht="12.75">
      <c r="A391" s="98" t="s">
        <v>902</v>
      </c>
      <c r="B391" s="98" t="s">
        <v>903</v>
      </c>
      <c r="C391" s="98"/>
      <c r="D391" s="4" t="s">
        <v>903</v>
      </c>
      <c r="E391" s="7">
        <v>83</v>
      </c>
      <c r="F391" s="7">
        <v>112</v>
      </c>
      <c r="G391" s="4" t="s">
        <v>74</v>
      </c>
    </row>
    <row r="392" spans="1:7" ht="12.75">
      <c r="A392" s="98" t="s">
        <v>904</v>
      </c>
      <c r="B392" s="98"/>
      <c r="C392" s="98" t="s">
        <v>428</v>
      </c>
      <c r="D392" s="4" t="s">
        <v>428</v>
      </c>
      <c r="E392" s="7">
        <v>38</v>
      </c>
      <c r="F392" s="7">
        <v>96</v>
      </c>
      <c r="G392" s="4" t="s">
        <v>74</v>
      </c>
    </row>
    <row r="393" spans="1:7" ht="12.75">
      <c r="A393" s="98" t="s">
        <v>905</v>
      </c>
      <c r="B393" s="98"/>
      <c r="C393" s="98" t="s">
        <v>428</v>
      </c>
      <c r="D393" s="4" t="s">
        <v>428</v>
      </c>
      <c r="E393" s="7">
        <v>38</v>
      </c>
      <c r="F393" s="7">
        <v>96</v>
      </c>
      <c r="G393" s="4" t="s">
        <v>74</v>
      </c>
    </row>
    <row r="394" spans="1:7" ht="12.75">
      <c r="A394" s="98" t="s">
        <v>906</v>
      </c>
      <c r="B394" s="98" t="s">
        <v>907</v>
      </c>
      <c r="C394" s="98"/>
      <c r="D394" s="4" t="s">
        <v>907</v>
      </c>
      <c r="E394" s="7">
        <v>210</v>
      </c>
      <c r="F394" s="7">
        <v>329</v>
      </c>
      <c r="G394" s="4" t="s">
        <v>74</v>
      </c>
    </row>
    <row r="395" spans="1:7" ht="12.75">
      <c r="A395" s="98" t="s">
        <v>908</v>
      </c>
      <c r="B395" s="98" t="s">
        <v>781</v>
      </c>
      <c r="C395" s="98"/>
      <c r="D395" s="4" t="s">
        <v>781</v>
      </c>
      <c r="E395" s="7">
        <v>10000</v>
      </c>
      <c r="F395" s="7">
        <v>10000</v>
      </c>
      <c r="G395" s="4" t="s">
        <v>74</v>
      </c>
    </row>
    <row r="396" spans="1:7" ht="12.75">
      <c r="A396" s="98" t="s">
        <v>909</v>
      </c>
      <c r="B396" s="98"/>
      <c r="C396" s="98" t="s">
        <v>512</v>
      </c>
      <c r="D396" s="4" t="s">
        <v>512</v>
      </c>
      <c r="E396" s="7">
        <v>5950</v>
      </c>
      <c r="F396" s="7">
        <v>10539</v>
      </c>
      <c r="G396" s="4" t="s">
        <v>74</v>
      </c>
    </row>
    <row r="397" spans="1:7" ht="12.75">
      <c r="A397" s="98" t="s">
        <v>910</v>
      </c>
      <c r="B397" s="98"/>
      <c r="C397" s="98" t="s">
        <v>428</v>
      </c>
      <c r="D397" s="4" t="s">
        <v>428</v>
      </c>
      <c r="E397" s="7">
        <v>38</v>
      </c>
      <c r="F397" s="7">
        <v>96</v>
      </c>
      <c r="G397" s="4" t="s">
        <v>74</v>
      </c>
    </row>
    <row r="398" spans="1:7" ht="12.75">
      <c r="A398" s="98" t="s">
        <v>911</v>
      </c>
      <c r="B398" s="98"/>
      <c r="C398" s="98" t="s">
        <v>428</v>
      </c>
      <c r="D398" s="4" t="s">
        <v>428</v>
      </c>
      <c r="E398" s="7">
        <v>38</v>
      </c>
      <c r="F398" s="7">
        <v>96</v>
      </c>
      <c r="G398" s="4" t="s">
        <v>74</v>
      </c>
    </row>
    <row r="399" spans="1:7" ht="12.75">
      <c r="A399" s="98" t="s">
        <v>912</v>
      </c>
      <c r="B399" s="98" t="s">
        <v>913</v>
      </c>
      <c r="C399" s="98"/>
      <c r="D399" s="4" t="s">
        <v>913</v>
      </c>
      <c r="E399" s="7">
        <v>3182</v>
      </c>
      <c r="F399" s="7">
        <v>6818</v>
      </c>
      <c r="G399" s="4" t="s">
        <v>74</v>
      </c>
    </row>
    <row r="400" spans="1:7" ht="12.75">
      <c r="A400" s="98" t="s">
        <v>914</v>
      </c>
      <c r="B400" s="98" t="s">
        <v>915</v>
      </c>
      <c r="C400" s="98"/>
      <c r="D400" s="4" t="s">
        <v>915</v>
      </c>
      <c r="E400" s="7">
        <v>368</v>
      </c>
      <c r="F400" s="7">
        <v>754</v>
      </c>
      <c r="G400" s="4" t="s">
        <v>74</v>
      </c>
    </row>
    <row r="401" spans="1:7" ht="12.75">
      <c r="A401" s="98" t="s">
        <v>916</v>
      </c>
      <c r="B401" s="98"/>
      <c r="C401" s="98" t="s">
        <v>428</v>
      </c>
      <c r="D401" s="4" t="s">
        <v>428</v>
      </c>
      <c r="E401" s="7">
        <v>38</v>
      </c>
      <c r="F401" s="7">
        <v>96</v>
      </c>
      <c r="G401" s="4" t="s">
        <v>74</v>
      </c>
    </row>
    <row r="402" spans="1:7" ht="12.75">
      <c r="A402" s="98" t="s">
        <v>917</v>
      </c>
      <c r="B402" s="98" t="s">
        <v>918</v>
      </c>
      <c r="C402" s="98"/>
      <c r="D402" s="4" t="s">
        <v>918</v>
      </c>
      <c r="E402" s="7">
        <v>69</v>
      </c>
      <c r="F402" s="7">
        <v>255</v>
      </c>
      <c r="G402" s="4" t="s">
        <v>74</v>
      </c>
    </row>
    <row r="403" spans="1:7" ht="12.75">
      <c r="A403" s="98" t="s">
        <v>919</v>
      </c>
      <c r="B403" s="98" t="s">
        <v>920</v>
      </c>
      <c r="C403" s="98"/>
      <c r="D403" s="4" t="s">
        <v>920</v>
      </c>
      <c r="E403" s="7">
        <v>56750</v>
      </c>
      <c r="F403" s="7">
        <v>113500</v>
      </c>
      <c r="G403" s="4" t="s">
        <v>74</v>
      </c>
    </row>
    <row r="404" spans="1:7" ht="12.75">
      <c r="A404" s="98" t="s">
        <v>921</v>
      </c>
      <c r="B404" s="98"/>
      <c r="C404" s="98" t="s">
        <v>428</v>
      </c>
      <c r="D404" s="4" t="s">
        <v>428</v>
      </c>
      <c r="E404" s="7">
        <v>38</v>
      </c>
      <c r="F404" s="7">
        <v>96</v>
      </c>
      <c r="G404" s="4" t="s">
        <v>74</v>
      </c>
    </row>
    <row r="405" spans="1:7" ht="12.75">
      <c r="A405" s="98" t="s">
        <v>922</v>
      </c>
      <c r="B405" s="98"/>
      <c r="C405" s="98" t="s">
        <v>428</v>
      </c>
      <c r="D405" s="4" t="s">
        <v>428</v>
      </c>
      <c r="E405" s="7">
        <v>38</v>
      </c>
      <c r="F405" s="7">
        <v>96</v>
      </c>
      <c r="G405" s="4" t="s">
        <v>74</v>
      </c>
    </row>
    <row r="406" spans="1:7" ht="12.75">
      <c r="A406" s="98" t="s">
        <v>387</v>
      </c>
      <c r="B406" s="98" t="s">
        <v>923</v>
      </c>
      <c r="C406" s="98"/>
      <c r="D406" s="4" t="s">
        <v>923</v>
      </c>
      <c r="E406" s="7">
        <v>150</v>
      </c>
      <c r="F406" s="7">
        <v>150</v>
      </c>
      <c r="G406" s="4" t="s">
        <v>74</v>
      </c>
    </row>
    <row r="407" spans="1:7" ht="12.75">
      <c r="A407" s="98" t="s">
        <v>924</v>
      </c>
      <c r="B407" s="98"/>
      <c r="C407" s="98" t="s">
        <v>428</v>
      </c>
      <c r="D407" s="4" t="s">
        <v>428</v>
      </c>
      <c r="E407" s="7">
        <v>38</v>
      </c>
      <c r="F407" s="7">
        <v>96</v>
      </c>
      <c r="G407" s="4" t="s">
        <v>74</v>
      </c>
    </row>
    <row r="408" spans="1:7" ht="12.75">
      <c r="A408" s="98" t="s">
        <v>925</v>
      </c>
      <c r="B408" s="98"/>
      <c r="C408" s="98" t="s">
        <v>428</v>
      </c>
      <c r="D408" s="4" t="s">
        <v>428</v>
      </c>
      <c r="E408" s="7">
        <v>38</v>
      </c>
      <c r="F408" s="7">
        <v>96</v>
      </c>
      <c r="G408" s="4" t="s">
        <v>74</v>
      </c>
    </row>
    <row r="409" spans="1:7" ht="12.75">
      <c r="A409" s="98" t="s">
        <v>926</v>
      </c>
      <c r="B409" s="98"/>
      <c r="C409" s="98" t="s">
        <v>428</v>
      </c>
      <c r="D409" s="4" t="s">
        <v>428</v>
      </c>
      <c r="E409" s="7">
        <v>38</v>
      </c>
      <c r="F409" s="7">
        <v>96</v>
      </c>
      <c r="G409" s="4" t="s">
        <v>74</v>
      </c>
    </row>
    <row r="410" spans="1:7" ht="12.75">
      <c r="A410" s="98" t="s">
        <v>927</v>
      </c>
      <c r="B410" s="98"/>
      <c r="C410" s="98" t="s">
        <v>428</v>
      </c>
      <c r="D410" s="4" t="s">
        <v>428</v>
      </c>
      <c r="E410" s="7">
        <v>38</v>
      </c>
      <c r="F410" s="7">
        <v>96</v>
      </c>
      <c r="G410" s="4" t="s">
        <v>74</v>
      </c>
    </row>
    <row r="411" spans="1:7" ht="12.75">
      <c r="A411" s="98" t="s">
        <v>928</v>
      </c>
      <c r="B411" s="98"/>
      <c r="C411" s="98" t="s">
        <v>428</v>
      </c>
      <c r="D411" s="4" t="s">
        <v>428</v>
      </c>
      <c r="E411" s="7">
        <v>38</v>
      </c>
      <c r="F411" s="7">
        <v>96</v>
      </c>
      <c r="G411" s="4" t="s">
        <v>74</v>
      </c>
    </row>
    <row r="412" spans="1:7" ht="12.75">
      <c r="A412" s="98" t="s">
        <v>929</v>
      </c>
      <c r="B412" s="98" t="s">
        <v>930</v>
      </c>
      <c r="C412" s="98"/>
      <c r="D412" s="4" t="s">
        <v>930</v>
      </c>
      <c r="E412" s="7">
        <v>499</v>
      </c>
      <c r="F412" s="7">
        <v>499</v>
      </c>
      <c r="G412" s="4" t="s">
        <v>74</v>
      </c>
    </row>
    <row r="413" spans="1:7" ht="12.75">
      <c r="A413" s="98" t="s">
        <v>931</v>
      </c>
      <c r="B413" s="98"/>
      <c r="C413" s="98" t="s">
        <v>428</v>
      </c>
      <c r="D413" s="4" t="s">
        <v>428</v>
      </c>
      <c r="E413" s="7">
        <v>38</v>
      </c>
      <c r="F413" s="7">
        <v>96</v>
      </c>
      <c r="G413" s="4" t="s">
        <v>74</v>
      </c>
    </row>
    <row r="414" spans="1:7" ht="12.75">
      <c r="A414" s="98" t="s">
        <v>932</v>
      </c>
      <c r="B414" s="98"/>
      <c r="C414" s="98" t="s">
        <v>512</v>
      </c>
      <c r="D414" s="4" t="s">
        <v>512</v>
      </c>
      <c r="E414" s="7">
        <v>5950</v>
      </c>
      <c r="F414" s="7">
        <v>10539</v>
      </c>
      <c r="G414" s="4" t="s">
        <v>74</v>
      </c>
    </row>
    <row r="415" spans="1:7" ht="12.75">
      <c r="A415" s="98" t="s">
        <v>933</v>
      </c>
      <c r="B415" s="98"/>
      <c r="C415" s="98" t="s">
        <v>428</v>
      </c>
      <c r="D415" s="4" t="s">
        <v>428</v>
      </c>
      <c r="E415" s="7">
        <v>38</v>
      </c>
      <c r="F415" s="7">
        <v>96</v>
      </c>
      <c r="G415" s="4" t="s">
        <v>74</v>
      </c>
    </row>
    <row r="416" spans="1:7" ht="12.75">
      <c r="A416" s="98" t="s">
        <v>934</v>
      </c>
      <c r="B416" s="98" t="s">
        <v>935</v>
      </c>
      <c r="C416" s="98"/>
      <c r="D416" s="4" t="s">
        <v>935</v>
      </c>
      <c r="E416" s="7">
        <v>500</v>
      </c>
      <c r="F416" s="7">
        <v>600</v>
      </c>
      <c r="G416" s="4" t="s">
        <v>74</v>
      </c>
    </row>
    <row r="417" spans="1:7" ht="12.75">
      <c r="A417" s="98" t="s">
        <v>936</v>
      </c>
      <c r="B417" s="98" t="s">
        <v>937</v>
      </c>
      <c r="C417" s="98"/>
      <c r="D417" s="4" t="s">
        <v>937</v>
      </c>
      <c r="E417" s="7">
        <v>750</v>
      </c>
      <c r="F417" s="7">
        <v>2000</v>
      </c>
      <c r="G417" s="4" t="s">
        <v>74</v>
      </c>
    </row>
    <row r="418" spans="1:7" ht="12.75">
      <c r="A418" s="98" t="s">
        <v>356</v>
      </c>
      <c r="B418" s="98" t="s">
        <v>938</v>
      </c>
      <c r="C418" s="98"/>
      <c r="D418" s="4" t="s">
        <v>938</v>
      </c>
      <c r="E418" s="7">
        <v>300</v>
      </c>
      <c r="F418" s="7">
        <v>10000</v>
      </c>
      <c r="G418" s="4" t="s">
        <v>74</v>
      </c>
    </row>
    <row r="419" spans="1:7" ht="12.75">
      <c r="A419" s="98" t="s">
        <v>939</v>
      </c>
      <c r="B419" s="98"/>
      <c r="C419" s="98" t="s">
        <v>428</v>
      </c>
      <c r="D419" s="4" t="s">
        <v>428</v>
      </c>
      <c r="E419" s="7">
        <v>38</v>
      </c>
      <c r="F419" s="7">
        <v>96</v>
      </c>
      <c r="G419" s="4" t="s">
        <v>74</v>
      </c>
    </row>
    <row r="420" spans="1:7" ht="12.75">
      <c r="A420" s="98" t="s">
        <v>940</v>
      </c>
      <c r="B420" s="98"/>
      <c r="C420" s="98" t="s">
        <v>428</v>
      </c>
      <c r="D420" s="4" t="s">
        <v>428</v>
      </c>
      <c r="E420" s="7">
        <v>38</v>
      </c>
      <c r="F420" s="7">
        <v>96</v>
      </c>
      <c r="G420" s="4" t="s">
        <v>74</v>
      </c>
    </row>
    <row r="421" spans="1:7" ht="12.75">
      <c r="A421" s="98" t="s">
        <v>941</v>
      </c>
      <c r="B421" s="98"/>
      <c r="C421" s="98" t="s">
        <v>428</v>
      </c>
      <c r="D421" s="4" t="s">
        <v>428</v>
      </c>
      <c r="E421" s="7">
        <v>38</v>
      </c>
      <c r="F421" s="7">
        <v>96</v>
      </c>
      <c r="G421" s="4" t="s">
        <v>74</v>
      </c>
    </row>
    <row r="422" spans="1:7" ht="12.75">
      <c r="A422" s="98" t="s">
        <v>942</v>
      </c>
      <c r="B422" s="98"/>
      <c r="C422" s="98" t="s">
        <v>428</v>
      </c>
      <c r="D422" s="4" t="s">
        <v>428</v>
      </c>
      <c r="E422" s="7">
        <v>38</v>
      </c>
      <c r="F422" s="7">
        <v>96</v>
      </c>
      <c r="G422" s="4" t="s">
        <v>74</v>
      </c>
    </row>
    <row r="423" spans="1:7" ht="12.75">
      <c r="A423" s="98" t="s">
        <v>943</v>
      </c>
      <c r="B423" s="98"/>
      <c r="C423" s="98" t="s">
        <v>428</v>
      </c>
      <c r="D423" s="4" t="s">
        <v>428</v>
      </c>
      <c r="E423" s="7">
        <v>38</v>
      </c>
      <c r="F423" s="7">
        <v>96</v>
      </c>
      <c r="G423" s="4" t="s">
        <v>74</v>
      </c>
    </row>
    <row r="424" spans="1:7" ht="12.75">
      <c r="A424" s="98" t="s">
        <v>944</v>
      </c>
      <c r="B424" s="98" t="s">
        <v>945</v>
      </c>
      <c r="C424" s="98"/>
      <c r="D424" s="4" t="s">
        <v>945</v>
      </c>
      <c r="E424" s="7">
        <v>8341</v>
      </c>
      <c r="F424" s="7">
        <v>8341</v>
      </c>
      <c r="G424" s="4" t="s">
        <v>74</v>
      </c>
    </row>
    <row r="425" spans="1:7" ht="12.75">
      <c r="A425" s="98" t="s">
        <v>946</v>
      </c>
      <c r="B425" s="98" t="s">
        <v>368</v>
      </c>
      <c r="C425" s="98"/>
      <c r="D425" s="4" t="s">
        <v>368</v>
      </c>
      <c r="E425" s="7">
        <v>1000</v>
      </c>
      <c r="F425" s="7">
        <v>1000</v>
      </c>
      <c r="G425" s="4" t="s">
        <v>74</v>
      </c>
    </row>
    <row r="426" spans="1:7" ht="12.75">
      <c r="A426" s="98" t="s">
        <v>947</v>
      </c>
      <c r="B426" s="98" t="s">
        <v>948</v>
      </c>
      <c r="C426" s="98"/>
      <c r="D426" s="4" t="s">
        <v>948</v>
      </c>
      <c r="E426" s="7">
        <v>4</v>
      </c>
      <c r="F426" s="7">
        <v>33</v>
      </c>
      <c r="G426" s="4" t="s">
        <v>74</v>
      </c>
    </row>
    <row r="427" spans="1:7" ht="12.75">
      <c r="A427" s="98" t="s">
        <v>949</v>
      </c>
      <c r="B427" s="98"/>
      <c r="C427" s="98" t="s">
        <v>428</v>
      </c>
      <c r="D427" s="4" t="s">
        <v>428</v>
      </c>
      <c r="E427" s="7">
        <v>38</v>
      </c>
      <c r="F427" s="7">
        <v>96</v>
      </c>
      <c r="G427" s="4" t="s">
        <v>74</v>
      </c>
    </row>
    <row r="428" spans="1:7" ht="12.75">
      <c r="A428" s="98" t="s">
        <v>950</v>
      </c>
      <c r="B428" s="98" t="s">
        <v>951</v>
      </c>
      <c r="C428" s="98"/>
      <c r="D428" s="4" t="s">
        <v>951</v>
      </c>
      <c r="E428" s="7">
        <v>907</v>
      </c>
      <c r="F428" s="7">
        <v>2722</v>
      </c>
      <c r="G428" s="4" t="s">
        <v>74</v>
      </c>
    </row>
    <row r="429" spans="1:7" ht="12.75">
      <c r="A429" s="98" t="s">
        <v>952</v>
      </c>
      <c r="B429" s="98"/>
      <c r="C429" s="98" t="s">
        <v>428</v>
      </c>
      <c r="D429" s="4" t="s">
        <v>428</v>
      </c>
      <c r="E429" s="7">
        <v>38</v>
      </c>
      <c r="F429" s="7">
        <v>96</v>
      </c>
      <c r="G429" s="4" t="s">
        <v>74</v>
      </c>
    </row>
    <row r="430" spans="1:7" ht="12.75">
      <c r="A430" s="98" t="s">
        <v>953</v>
      </c>
      <c r="B430" s="98"/>
      <c r="C430" s="98" t="s">
        <v>428</v>
      </c>
      <c r="D430" s="4" t="s">
        <v>428</v>
      </c>
      <c r="E430" s="7">
        <v>38</v>
      </c>
      <c r="F430" s="7">
        <v>96</v>
      </c>
      <c r="G430" s="4" t="s">
        <v>74</v>
      </c>
    </row>
    <row r="431" spans="1:7" ht="12.75">
      <c r="A431" s="98" t="s">
        <v>954</v>
      </c>
      <c r="B431" s="98" t="s">
        <v>955</v>
      </c>
      <c r="C431" s="98"/>
      <c r="D431" s="4" t="s">
        <v>955</v>
      </c>
      <c r="E431" s="7">
        <v>7</v>
      </c>
      <c r="F431" s="7">
        <v>567</v>
      </c>
      <c r="G431" s="4" t="s">
        <v>74</v>
      </c>
    </row>
    <row r="432" spans="1:7" ht="12.75">
      <c r="A432" s="98" t="s">
        <v>956</v>
      </c>
      <c r="B432" s="98" t="s">
        <v>957</v>
      </c>
      <c r="C432" s="98"/>
      <c r="D432" s="4" t="s">
        <v>957</v>
      </c>
      <c r="E432" s="7">
        <v>861</v>
      </c>
      <c r="F432" s="7">
        <v>890</v>
      </c>
      <c r="G432" s="4" t="s">
        <v>74</v>
      </c>
    </row>
    <row r="433" spans="1:7" ht="12.75">
      <c r="A433" s="98" t="s">
        <v>958</v>
      </c>
      <c r="B433" s="98"/>
      <c r="C433" s="98" t="s">
        <v>428</v>
      </c>
      <c r="D433" s="4" t="s">
        <v>428</v>
      </c>
      <c r="E433" s="7">
        <v>38</v>
      </c>
      <c r="F433" s="7">
        <v>96</v>
      </c>
      <c r="G433" s="4" t="s">
        <v>74</v>
      </c>
    </row>
    <row r="434" spans="1:7" ht="12.75">
      <c r="A434" s="98" t="s">
        <v>959</v>
      </c>
      <c r="B434" s="98"/>
      <c r="C434" s="98" t="s">
        <v>428</v>
      </c>
      <c r="D434" s="4" t="s">
        <v>428</v>
      </c>
      <c r="E434" s="7">
        <v>38</v>
      </c>
      <c r="F434" s="7">
        <v>96</v>
      </c>
      <c r="G434" s="4" t="s">
        <v>74</v>
      </c>
    </row>
    <row r="435" spans="1:7" ht="12.75">
      <c r="A435" s="98" t="s">
        <v>960</v>
      </c>
      <c r="B435" s="98" t="s">
        <v>961</v>
      </c>
      <c r="C435" s="98"/>
      <c r="D435" s="4" t="s">
        <v>961</v>
      </c>
      <c r="E435" s="7">
        <v>3</v>
      </c>
      <c r="F435" s="7">
        <v>40500</v>
      </c>
      <c r="G435" s="4" t="s">
        <v>74</v>
      </c>
    </row>
    <row r="436" spans="1:7" ht="12.75">
      <c r="A436" s="98" t="s">
        <v>962</v>
      </c>
      <c r="B436" s="98"/>
      <c r="C436" s="98" t="s">
        <v>428</v>
      </c>
      <c r="D436" s="4" t="s">
        <v>428</v>
      </c>
      <c r="E436" s="7">
        <v>38</v>
      </c>
      <c r="F436" s="7">
        <v>96</v>
      </c>
      <c r="G436" s="4" t="s">
        <v>74</v>
      </c>
    </row>
    <row r="437" spans="1:7" ht="12.75">
      <c r="A437" s="98" t="s">
        <v>354</v>
      </c>
      <c r="B437" s="98" t="s">
        <v>963</v>
      </c>
      <c r="C437" s="98"/>
      <c r="D437" s="4" t="s">
        <v>963</v>
      </c>
      <c r="E437" s="7">
        <v>590</v>
      </c>
      <c r="F437" s="7">
        <v>6254</v>
      </c>
      <c r="G437" s="4" t="s">
        <v>74</v>
      </c>
    </row>
    <row r="438" spans="1:7" ht="12.75">
      <c r="A438" s="98" t="s">
        <v>964</v>
      </c>
      <c r="B438" s="98" t="s">
        <v>965</v>
      </c>
      <c r="C438" s="98"/>
      <c r="D438" s="4" t="s">
        <v>965</v>
      </c>
      <c r="E438" s="7">
        <v>6600</v>
      </c>
      <c r="F438" s="7">
        <v>9000</v>
      </c>
      <c r="G438" s="4" t="s">
        <v>74</v>
      </c>
    </row>
    <row r="439" spans="1:7" ht="12.75">
      <c r="A439" s="98" t="s">
        <v>966</v>
      </c>
      <c r="B439" s="98" t="s">
        <v>967</v>
      </c>
      <c r="C439" s="98"/>
      <c r="D439" s="4" t="s">
        <v>967</v>
      </c>
      <c r="E439" s="7">
        <v>953</v>
      </c>
      <c r="F439" s="7">
        <v>953</v>
      </c>
      <c r="G439" s="4" t="s">
        <v>74</v>
      </c>
    </row>
    <row r="440" spans="1:7" ht="12.75">
      <c r="A440" s="98" t="s">
        <v>968</v>
      </c>
      <c r="B440" s="98"/>
      <c r="C440" s="98" t="s">
        <v>428</v>
      </c>
      <c r="D440" s="4" t="s">
        <v>428</v>
      </c>
      <c r="E440" s="7">
        <v>38</v>
      </c>
      <c r="F440" s="7">
        <v>96</v>
      </c>
      <c r="G440" s="4" t="s">
        <v>74</v>
      </c>
    </row>
    <row r="441" spans="1:7" ht="12.75">
      <c r="A441" s="98" t="s">
        <v>969</v>
      </c>
      <c r="B441" s="98" t="s">
        <v>970</v>
      </c>
      <c r="C441" s="98"/>
      <c r="D441" s="4" t="s">
        <v>970</v>
      </c>
      <c r="E441" s="7">
        <v>1164</v>
      </c>
      <c r="F441" s="7">
        <v>1164</v>
      </c>
      <c r="G441" s="4" t="s">
        <v>74</v>
      </c>
    </row>
    <row r="442" spans="1:7" ht="12.75">
      <c r="A442" s="98" t="s">
        <v>971</v>
      </c>
      <c r="B442" s="98"/>
      <c r="C442" s="98" t="s">
        <v>428</v>
      </c>
      <c r="D442" s="4" t="s">
        <v>428</v>
      </c>
      <c r="E442" s="7">
        <v>38</v>
      </c>
      <c r="F442" s="7">
        <v>96</v>
      </c>
      <c r="G442" s="4" t="s">
        <v>74</v>
      </c>
    </row>
    <row r="443" spans="1:7" ht="12.75">
      <c r="A443" s="98" t="s">
        <v>972</v>
      </c>
      <c r="B443" s="98" t="s">
        <v>973</v>
      </c>
      <c r="C443" s="98"/>
      <c r="D443" s="4" t="s">
        <v>973</v>
      </c>
      <c r="E443" s="7">
        <v>907</v>
      </c>
      <c r="F443" s="7">
        <v>1814</v>
      </c>
      <c r="G443" s="4" t="s">
        <v>74</v>
      </c>
    </row>
    <row r="444" spans="1:7" ht="12.75">
      <c r="A444" s="98" t="s">
        <v>974</v>
      </c>
      <c r="B444" s="98"/>
      <c r="C444" s="98" t="s">
        <v>428</v>
      </c>
      <c r="D444" s="4" t="s">
        <v>428</v>
      </c>
      <c r="E444" s="7">
        <v>38</v>
      </c>
      <c r="F444" s="7">
        <v>96</v>
      </c>
      <c r="G444" s="4" t="s">
        <v>74</v>
      </c>
    </row>
    <row r="445" spans="1:7" ht="12.75">
      <c r="A445" s="98" t="s">
        <v>975</v>
      </c>
      <c r="B445" s="98"/>
      <c r="C445" s="98" t="s">
        <v>428</v>
      </c>
      <c r="D445" s="4" t="s">
        <v>428</v>
      </c>
      <c r="E445" s="7">
        <v>38</v>
      </c>
      <c r="F445" s="7">
        <v>96</v>
      </c>
      <c r="G445" s="4" t="s">
        <v>74</v>
      </c>
    </row>
    <row r="446" spans="1:7" ht="12.75">
      <c r="A446" s="98" t="s">
        <v>976</v>
      </c>
      <c r="B446" s="98"/>
      <c r="C446" s="98" t="s">
        <v>428</v>
      </c>
      <c r="D446" s="4" t="s">
        <v>428</v>
      </c>
      <c r="E446" s="7">
        <v>38</v>
      </c>
      <c r="F446" s="7">
        <v>96</v>
      </c>
      <c r="G446" s="4" t="s">
        <v>74</v>
      </c>
    </row>
    <row r="447" spans="1:7" ht="12.75">
      <c r="A447" s="98" t="s">
        <v>977</v>
      </c>
      <c r="B447" s="98"/>
      <c r="C447" s="98" t="s">
        <v>428</v>
      </c>
      <c r="D447" s="4" t="s">
        <v>428</v>
      </c>
      <c r="E447" s="7">
        <v>38</v>
      </c>
      <c r="F447" s="7">
        <v>96</v>
      </c>
      <c r="G447" s="4" t="s">
        <v>74</v>
      </c>
    </row>
    <row r="448" spans="1:7" ht="12.75">
      <c r="A448" s="98" t="s">
        <v>978</v>
      </c>
      <c r="B448" s="98"/>
      <c r="C448" s="98" t="s">
        <v>428</v>
      </c>
      <c r="D448" s="4" t="s">
        <v>428</v>
      </c>
      <c r="E448" s="7">
        <v>38</v>
      </c>
      <c r="F448" s="7">
        <v>96</v>
      </c>
      <c r="G448" s="4" t="s">
        <v>74</v>
      </c>
    </row>
    <row r="449" spans="1:7" ht="12.75">
      <c r="A449" s="98" t="s">
        <v>979</v>
      </c>
      <c r="B449" s="98"/>
      <c r="C449" s="98" t="s">
        <v>428</v>
      </c>
      <c r="D449" s="4" t="s">
        <v>428</v>
      </c>
      <c r="E449" s="7">
        <v>38</v>
      </c>
      <c r="F449" s="7">
        <v>96</v>
      </c>
      <c r="G449" s="4" t="s">
        <v>74</v>
      </c>
    </row>
    <row r="450" spans="1:7" ht="12.75">
      <c r="A450" s="98" t="s">
        <v>980</v>
      </c>
      <c r="B450" s="98" t="s">
        <v>981</v>
      </c>
      <c r="C450" s="98"/>
      <c r="D450" s="4" t="s">
        <v>981</v>
      </c>
      <c r="E450" s="7">
        <v>3300</v>
      </c>
      <c r="F450" s="7">
        <v>4500</v>
      </c>
      <c r="G450" s="4" t="s">
        <v>74</v>
      </c>
    </row>
    <row r="451" spans="1:7" ht="12.75">
      <c r="A451" s="98" t="s">
        <v>982</v>
      </c>
      <c r="B451" s="98" t="s">
        <v>983</v>
      </c>
      <c r="C451" s="98"/>
      <c r="D451" s="4" t="s">
        <v>983</v>
      </c>
      <c r="E451" s="7">
        <v>850</v>
      </c>
      <c r="F451" s="7">
        <v>850</v>
      </c>
      <c r="G451" s="4" t="s">
        <v>74</v>
      </c>
    </row>
    <row r="452" spans="1:7" ht="12.75">
      <c r="A452" s="98" t="s">
        <v>984</v>
      </c>
      <c r="B452" s="98" t="s">
        <v>985</v>
      </c>
      <c r="C452" s="98"/>
      <c r="D452" s="4" t="s">
        <v>985</v>
      </c>
      <c r="E452" s="7">
        <v>90</v>
      </c>
      <c r="F452" s="7">
        <v>123</v>
      </c>
      <c r="G452" s="4" t="s">
        <v>74</v>
      </c>
    </row>
    <row r="453" spans="1:7" ht="12.75">
      <c r="A453" s="98" t="s">
        <v>986</v>
      </c>
      <c r="B453" s="98"/>
      <c r="C453" s="98" t="s">
        <v>512</v>
      </c>
      <c r="D453" s="4" t="s">
        <v>512</v>
      </c>
      <c r="E453" s="7">
        <v>5950</v>
      </c>
      <c r="F453" s="7">
        <v>10539</v>
      </c>
      <c r="G453" s="4" t="s">
        <v>74</v>
      </c>
    </row>
    <row r="454" spans="1:7" ht="12.75">
      <c r="A454" s="98" t="s">
        <v>987</v>
      </c>
      <c r="B454" s="98"/>
      <c r="C454" s="98" t="s">
        <v>512</v>
      </c>
      <c r="D454" s="4" t="s">
        <v>512</v>
      </c>
      <c r="E454" s="7">
        <v>5950</v>
      </c>
      <c r="F454" s="7">
        <v>10539</v>
      </c>
      <c r="G454" s="4" t="s">
        <v>74</v>
      </c>
    </row>
    <row r="455" spans="1:7" ht="12.75">
      <c r="A455" s="98" t="s">
        <v>988</v>
      </c>
      <c r="B455" s="98"/>
      <c r="C455" s="98" t="s">
        <v>512</v>
      </c>
      <c r="D455" s="4" t="s">
        <v>512</v>
      </c>
      <c r="E455" s="7">
        <v>5950</v>
      </c>
      <c r="F455" s="7">
        <v>10539</v>
      </c>
      <c r="G455" s="4" t="s">
        <v>74</v>
      </c>
    </row>
    <row r="456" spans="1:7" ht="12.75">
      <c r="A456" s="98" t="s">
        <v>989</v>
      </c>
      <c r="B456" s="98" t="s">
        <v>990</v>
      </c>
      <c r="C456" s="98"/>
      <c r="D456" s="4" t="s">
        <v>990</v>
      </c>
      <c r="E456" s="7">
        <v>34</v>
      </c>
      <c r="F456" s="7">
        <v>933</v>
      </c>
      <c r="G456" s="4" t="s">
        <v>74</v>
      </c>
    </row>
    <row r="457" spans="1:7" ht="12.75">
      <c r="A457" s="98" t="s">
        <v>991</v>
      </c>
      <c r="B457" s="98"/>
      <c r="C457" s="98" t="s">
        <v>428</v>
      </c>
      <c r="D457" s="4" t="s">
        <v>428</v>
      </c>
      <c r="E457" s="7">
        <v>38</v>
      </c>
      <c r="F457" s="7">
        <v>96</v>
      </c>
      <c r="G457" s="4" t="s">
        <v>74</v>
      </c>
    </row>
    <row r="458" spans="1:7" ht="12.75">
      <c r="A458" s="98" t="s">
        <v>992</v>
      </c>
      <c r="B458" s="98"/>
      <c r="C458" s="98" t="s">
        <v>428</v>
      </c>
      <c r="D458" s="4" t="s">
        <v>428</v>
      </c>
      <c r="E458" s="7">
        <v>38</v>
      </c>
      <c r="F458" s="7">
        <v>96</v>
      </c>
      <c r="G458" s="4" t="s">
        <v>74</v>
      </c>
    </row>
    <row r="459" spans="1:7" ht="12.75">
      <c r="A459" s="98" t="s">
        <v>993</v>
      </c>
      <c r="B459" s="98" t="s">
        <v>994</v>
      </c>
      <c r="C459" s="98"/>
      <c r="D459" s="4" t="s">
        <v>994</v>
      </c>
      <c r="E459" s="7">
        <v>717</v>
      </c>
      <c r="F459" s="7">
        <v>757</v>
      </c>
      <c r="G459" s="4" t="s">
        <v>74</v>
      </c>
    </row>
    <row r="460" spans="1:7" ht="12.75">
      <c r="A460" s="98" t="s">
        <v>995</v>
      </c>
      <c r="B460" s="98"/>
      <c r="C460" s="98" t="s">
        <v>428</v>
      </c>
      <c r="D460" s="4" t="s">
        <v>428</v>
      </c>
      <c r="E460" s="7">
        <v>38</v>
      </c>
      <c r="F460" s="7">
        <v>96</v>
      </c>
      <c r="G460" s="4" t="s">
        <v>74</v>
      </c>
    </row>
    <row r="461" spans="1:7" ht="12.75">
      <c r="A461" s="98" t="s">
        <v>996</v>
      </c>
      <c r="B461" s="98"/>
      <c r="C461" s="98" t="s">
        <v>428</v>
      </c>
      <c r="D461" s="4" t="s">
        <v>428</v>
      </c>
      <c r="E461" s="7">
        <v>38</v>
      </c>
      <c r="F461" s="7">
        <v>96</v>
      </c>
      <c r="G461" s="4" t="s">
        <v>74</v>
      </c>
    </row>
    <row r="462" spans="1:7" ht="12.75">
      <c r="A462" s="98" t="s">
        <v>997</v>
      </c>
      <c r="B462" s="98"/>
      <c r="C462" s="98" t="s">
        <v>428</v>
      </c>
      <c r="D462" s="4" t="s">
        <v>428</v>
      </c>
      <c r="E462" s="7">
        <v>38</v>
      </c>
      <c r="F462" s="7">
        <v>96</v>
      </c>
      <c r="G462" s="4" t="s">
        <v>74</v>
      </c>
    </row>
    <row r="463" spans="1:7" ht="12.75">
      <c r="A463" s="98" t="s">
        <v>998</v>
      </c>
      <c r="B463" s="98" t="s">
        <v>999</v>
      </c>
      <c r="C463" s="98"/>
      <c r="D463" s="4" t="s">
        <v>999</v>
      </c>
      <c r="E463" s="7">
        <v>118</v>
      </c>
      <c r="F463" s="7">
        <v>121</v>
      </c>
      <c r="G463" s="4" t="s">
        <v>74</v>
      </c>
    </row>
    <row r="464" spans="1:7" ht="12.75">
      <c r="A464" s="98" t="s">
        <v>1000</v>
      </c>
      <c r="B464" s="98"/>
      <c r="C464" s="98" t="s">
        <v>428</v>
      </c>
      <c r="D464" s="4" t="s">
        <v>428</v>
      </c>
      <c r="E464" s="7">
        <v>38</v>
      </c>
      <c r="F464" s="7">
        <v>96</v>
      </c>
      <c r="G464" s="4" t="s">
        <v>74</v>
      </c>
    </row>
    <row r="465" spans="1:7" ht="12.75">
      <c r="A465" s="98" t="s">
        <v>1001</v>
      </c>
      <c r="B465" s="98"/>
      <c r="C465" s="98" t="s">
        <v>428</v>
      </c>
      <c r="D465" s="4" t="s">
        <v>428</v>
      </c>
      <c r="E465" s="7">
        <v>38</v>
      </c>
      <c r="F465" s="7">
        <v>96</v>
      </c>
      <c r="G465" s="4" t="s">
        <v>74</v>
      </c>
    </row>
    <row r="466" spans="1:7" ht="12.75">
      <c r="A466" s="98" t="s">
        <v>1002</v>
      </c>
      <c r="B466" s="98"/>
      <c r="C466" s="98" t="s">
        <v>428</v>
      </c>
      <c r="D466" s="4" t="s">
        <v>428</v>
      </c>
      <c r="E466" s="7">
        <v>38</v>
      </c>
      <c r="F466" s="7">
        <v>96</v>
      </c>
      <c r="G466" s="4" t="s">
        <v>74</v>
      </c>
    </row>
    <row r="467" spans="1:7" ht="12.75">
      <c r="A467" s="98" t="s">
        <v>1003</v>
      </c>
      <c r="B467" s="98"/>
      <c r="C467" s="98" t="s">
        <v>428</v>
      </c>
      <c r="D467" s="4" t="s">
        <v>428</v>
      </c>
      <c r="E467" s="7">
        <v>38</v>
      </c>
      <c r="F467" s="7">
        <v>96</v>
      </c>
      <c r="G467" s="4" t="s">
        <v>74</v>
      </c>
    </row>
    <row r="468" spans="1:7" ht="12.75">
      <c r="A468" s="98" t="s">
        <v>1004</v>
      </c>
      <c r="B468" s="98"/>
      <c r="C468" s="98" t="s">
        <v>428</v>
      </c>
      <c r="D468" s="4" t="s">
        <v>428</v>
      </c>
      <c r="E468" s="7">
        <v>38</v>
      </c>
      <c r="F468" s="7">
        <v>96</v>
      </c>
      <c r="G468" s="4" t="s">
        <v>74</v>
      </c>
    </row>
    <row r="469" spans="1:7" ht="12.75">
      <c r="A469" s="98" t="s">
        <v>1005</v>
      </c>
      <c r="B469" s="98"/>
      <c r="C469" s="98" t="s">
        <v>428</v>
      </c>
      <c r="D469" s="4" t="s">
        <v>428</v>
      </c>
      <c r="E469" s="7">
        <v>38</v>
      </c>
      <c r="F469" s="7">
        <v>96</v>
      </c>
      <c r="G469" s="4" t="s">
        <v>74</v>
      </c>
    </row>
    <row r="470" spans="1:7" ht="12.75">
      <c r="A470" s="98" t="s">
        <v>1006</v>
      </c>
      <c r="B470" s="98"/>
      <c r="C470" s="98" t="s">
        <v>428</v>
      </c>
      <c r="D470" s="4" t="s">
        <v>428</v>
      </c>
      <c r="E470" s="7">
        <v>38</v>
      </c>
      <c r="F470" s="7">
        <v>96</v>
      </c>
      <c r="G470" s="4" t="s">
        <v>74</v>
      </c>
    </row>
    <row r="471" spans="1:7" ht="12.75">
      <c r="A471" s="98" t="s">
        <v>1007</v>
      </c>
      <c r="B471" s="98"/>
      <c r="C471" s="98" t="s">
        <v>428</v>
      </c>
      <c r="D471" s="4" t="s">
        <v>428</v>
      </c>
      <c r="E471" s="7">
        <v>38</v>
      </c>
      <c r="F471" s="7">
        <v>96</v>
      </c>
      <c r="G471" s="4" t="s">
        <v>74</v>
      </c>
    </row>
    <row r="472" spans="1:7" ht="12.75">
      <c r="A472" s="98" t="s">
        <v>389</v>
      </c>
      <c r="B472" s="98" t="s">
        <v>1008</v>
      </c>
      <c r="C472" s="98"/>
      <c r="D472" s="4" t="s">
        <v>1008</v>
      </c>
      <c r="E472" s="7">
        <v>21000</v>
      </c>
      <c r="F472" s="7">
        <v>21000</v>
      </c>
      <c r="G472" s="4" t="s">
        <v>74</v>
      </c>
    </row>
    <row r="473" spans="1:7" ht="12.75">
      <c r="A473" s="98" t="s">
        <v>1009</v>
      </c>
      <c r="B473" s="98"/>
      <c r="C473" s="98" t="s">
        <v>428</v>
      </c>
      <c r="D473" s="4" t="s">
        <v>428</v>
      </c>
      <c r="E473" s="7">
        <v>38</v>
      </c>
      <c r="F473" s="7">
        <v>96</v>
      </c>
      <c r="G473" s="4" t="s">
        <v>74</v>
      </c>
    </row>
    <row r="474" spans="1:7" ht="12.75">
      <c r="A474" s="98" t="s">
        <v>1010</v>
      </c>
      <c r="B474" s="98" t="s">
        <v>1011</v>
      </c>
      <c r="C474" s="98"/>
      <c r="D474" s="4" t="s">
        <v>1011</v>
      </c>
      <c r="E474" s="7">
        <v>909</v>
      </c>
      <c r="F474" s="7">
        <v>2500</v>
      </c>
      <c r="G474" s="4" t="s">
        <v>74</v>
      </c>
    </row>
    <row r="475" spans="1:7" ht="12.75">
      <c r="A475" s="98" t="s">
        <v>1012</v>
      </c>
      <c r="B475" s="98"/>
      <c r="C475" s="98" t="s">
        <v>428</v>
      </c>
      <c r="D475" s="4" t="s">
        <v>428</v>
      </c>
      <c r="E475" s="7">
        <v>38</v>
      </c>
      <c r="F475" s="7">
        <v>96</v>
      </c>
      <c r="G475" s="4" t="s">
        <v>74</v>
      </c>
    </row>
    <row r="476" spans="1:7" ht="12.75">
      <c r="A476" s="98" t="s">
        <v>1013</v>
      </c>
      <c r="B476" s="98"/>
      <c r="C476" s="98" t="s">
        <v>512</v>
      </c>
      <c r="D476" s="4" t="s">
        <v>512</v>
      </c>
      <c r="E476" s="7">
        <v>5950</v>
      </c>
      <c r="F476" s="7">
        <v>10539</v>
      </c>
      <c r="G476" s="4" t="s">
        <v>74</v>
      </c>
    </row>
    <row r="477" spans="1:7" ht="12.75">
      <c r="A477" s="98" t="s">
        <v>1014</v>
      </c>
      <c r="B477" s="98" t="s">
        <v>1015</v>
      </c>
      <c r="C477" s="98"/>
      <c r="D477" s="4" t="s">
        <v>1015</v>
      </c>
      <c r="E477" s="7">
        <v>165</v>
      </c>
      <c r="F477" s="7">
        <v>225</v>
      </c>
      <c r="G477" s="4" t="s">
        <v>74</v>
      </c>
    </row>
    <row r="478" spans="1:7" ht="12.75">
      <c r="A478" s="98" t="s">
        <v>1016</v>
      </c>
      <c r="B478" s="98" t="s">
        <v>1017</v>
      </c>
      <c r="C478" s="98"/>
      <c r="D478" s="4" t="s">
        <v>1017</v>
      </c>
      <c r="E478" s="7">
        <v>218</v>
      </c>
      <c r="F478" s="7">
        <v>284</v>
      </c>
      <c r="G478" s="4" t="s">
        <v>74</v>
      </c>
    </row>
    <row r="479" spans="1:7" ht="12.75">
      <c r="A479" s="98" t="s">
        <v>1018</v>
      </c>
      <c r="B479" s="98"/>
      <c r="C479" s="98" t="s">
        <v>428</v>
      </c>
      <c r="D479" s="4" t="s">
        <v>428</v>
      </c>
      <c r="E479" s="7">
        <v>38</v>
      </c>
      <c r="F479" s="7">
        <v>96</v>
      </c>
      <c r="G479" s="4" t="s">
        <v>74</v>
      </c>
    </row>
    <row r="480" spans="1:7" ht="12.75">
      <c r="A480" s="98" t="s">
        <v>1019</v>
      </c>
      <c r="B480" s="98"/>
      <c r="C480" s="98" t="s">
        <v>428</v>
      </c>
      <c r="D480" s="4" t="s">
        <v>428</v>
      </c>
      <c r="E480" s="7">
        <v>38</v>
      </c>
      <c r="F480" s="7">
        <v>96</v>
      </c>
      <c r="G480" s="4" t="s">
        <v>74</v>
      </c>
    </row>
    <row r="481" spans="1:7" ht="12.75">
      <c r="A481" s="98" t="s">
        <v>1020</v>
      </c>
      <c r="B481" s="98"/>
      <c r="C481" s="98" t="s">
        <v>428</v>
      </c>
      <c r="D481" s="4" t="s">
        <v>428</v>
      </c>
      <c r="E481" s="7">
        <v>38</v>
      </c>
      <c r="F481" s="7">
        <v>96</v>
      </c>
      <c r="G481" s="4" t="s">
        <v>74</v>
      </c>
    </row>
    <row r="482" spans="1:7" ht="12.75">
      <c r="A482" s="98" t="s">
        <v>373</v>
      </c>
      <c r="B482" s="98" t="s">
        <v>1021</v>
      </c>
      <c r="C482" s="98"/>
      <c r="D482" s="4" t="s">
        <v>1021</v>
      </c>
      <c r="E482" s="7">
        <v>2065</v>
      </c>
      <c r="F482" s="7">
        <v>11225</v>
      </c>
      <c r="G482" s="4" t="s">
        <v>74</v>
      </c>
    </row>
    <row r="483" spans="1:7" ht="12.75">
      <c r="A483" s="98" t="s">
        <v>1022</v>
      </c>
      <c r="B483" s="98" t="s">
        <v>1023</v>
      </c>
      <c r="C483" s="98"/>
      <c r="D483" s="4" t="s">
        <v>1023</v>
      </c>
      <c r="E483" s="7">
        <v>596</v>
      </c>
      <c r="F483" s="7">
        <v>3239</v>
      </c>
      <c r="G483" s="4" t="s">
        <v>74</v>
      </c>
    </row>
    <row r="484" spans="1:7" ht="12.75">
      <c r="A484" s="98" t="s">
        <v>1024</v>
      </c>
      <c r="B484" s="98" t="s">
        <v>1025</v>
      </c>
      <c r="C484" s="98"/>
      <c r="D484" s="4" t="s">
        <v>1025</v>
      </c>
      <c r="E484" s="7">
        <v>1500</v>
      </c>
      <c r="F484" s="7">
        <v>2500</v>
      </c>
      <c r="G484" s="4" t="s">
        <v>74</v>
      </c>
    </row>
    <row r="485" spans="1:7" ht="12.75">
      <c r="A485" s="98" t="s">
        <v>1026</v>
      </c>
      <c r="B485" s="98" t="s">
        <v>1027</v>
      </c>
      <c r="C485" s="98"/>
      <c r="D485" s="4" t="s">
        <v>1027</v>
      </c>
      <c r="E485" s="7">
        <v>750</v>
      </c>
      <c r="F485" s="7">
        <v>750</v>
      </c>
      <c r="G485" s="4" t="s">
        <v>74</v>
      </c>
    </row>
    <row r="486" spans="1:7" ht="12.75">
      <c r="A486" s="98" t="s">
        <v>1028</v>
      </c>
      <c r="B486" s="98" t="s">
        <v>1029</v>
      </c>
      <c r="C486" s="98"/>
      <c r="D486" s="4" t="s">
        <v>1029</v>
      </c>
      <c r="E486" s="7">
        <v>80</v>
      </c>
      <c r="F486" s="7">
        <v>110</v>
      </c>
      <c r="G486" s="4" t="s">
        <v>74</v>
      </c>
    </row>
    <row r="487" spans="1:7" ht="12.75">
      <c r="A487" s="98" t="s">
        <v>1030</v>
      </c>
      <c r="B487" s="98"/>
      <c r="C487" s="98" t="s">
        <v>428</v>
      </c>
      <c r="D487" s="4" t="s">
        <v>428</v>
      </c>
      <c r="E487" s="7">
        <v>38</v>
      </c>
      <c r="F487" s="7">
        <v>96</v>
      </c>
      <c r="G487" s="4" t="s">
        <v>74</v>
      </c>
    </row>
    <row r="488" spans="1:7" ht="12.75">
      <c r="A488" s="98" t="s">
        <v>1031</v>
      </c>
      <c r="B488" s="98"/>
      <c r="C488" s="98" t="s">
        <v>428</v>
      </c>
      <c r="D488" s="4" t="s">
        <v>428</v>
      </c>
      <c r="E488" s="7">
        <v>38</v>
      </c>
      <c r="F488" s="7">
        <v>96</v>
      </c>
      <c r="G488" s="4" t="s">
        <v>74</v>
      </c>
    </row>
    <row r="489" spans="1:7" ht="12.75">
      <c r="A489" s="98" t="s">
        <v>1032</v>
      </c>
      <c r="B489" s="98"/>
      <c r="C489" s="98" t="s">
        <v>428</v>
      </c>
      <c r="D489" s="4" t="s">
        <v>428</v>
      </c>
      <c r="E489" s="7">
        <v>38</v>
      </c>
      <c r="F489" s="7">
        <v>96</v>
      </c>
      <c r="G489" s="4" t="s">
        <v>74</v>
      </c>
    </row>
    <row r="490" spans="1:7" ht="12.75">
      <c r="A490" s="98" t="s">
        <v>1033</v>
      </c>
      <c r="B490" s="98" t="s">
        <v>1034</v>
      </c>
      <c r="C490" s="98"/>
      <c r="D490" s="4" t="s">
        <v>1034</v>
      </c>
      <c r="E490" s="7">
        <v>907</v>
      </c>
      <c r="F490" s="7">
        <v>2268</v>
      </c>
      <c r="G490" s="4" t="s">
        <v>74</v>
      </c>
    </row>
    <row r="491" spans="1:7" ht="12.75">
      <c r="A491" s="98" t="s">
        <v>1035</v>
      </c>
      <c r="B491" s="98" t="s">
        <v>1036</v>
      </c>
      <c r="C491" s="98"/>
      <c r="D491" s="4" t="s">
        <v>1036</v>
      </c>
      <c r="E491" s="7">
        <v>227</v>
      </c>
      <c r="F491" s="7">
        <v>909</v>
      </c>
      <c r="G491" s="4" t="s">
        <v>74</v>
      </c>
    </row>
    <row r="492" spans="1:7" ht="12.75">
      <c r="A492" s="98" t="s">
        <v>1037</v>
      </c>
      <c r="B492" s="98" t="s">
        <v>1038</v>
      </c>
      <c r="C492" s="98"/>
      <c r="D492" s="4" t="s">
        <v>1038</v>
      </c>
      <c r="E492" s="7">
        <v>42</v>
      </c>
      <c r="F492" s="7">
        <v>309</v>
      </c>
      <c r="G492" s="4" t="s">
        <v>74</v>
      </c>
    </row>
    <row r="493" spans="1:7" ht="12.75">
      <c r="A493" s="98" t="s">
        <v>1039</v>
      </c>
      <c r="B493" s="98" t="s">
        <v>1040</v>
      </c>
      <c r="C493" s="98"/>
      <c r="D493" s="4" t="s">
        <v>1040</v>
      </c>
      <c r="E493" s="7">
        <v>490</v>
      </c>
      <c r="F493" s="7">
        <v>2030</v>
      </c>
      <c r="G493" s="4" t="s">
        <v>74</v>
      </c>
    </row>
    <row r="494" spans="1:7" ht="12.75">
      <c r="A494" s="98" t="s">
        <v>1041</v>
      </c>
      <c r="B494" s="98"/>
      <c r="C494" s="98" t="s">
        <v>512</v>
      </c>
      <c r="D494" s="4" t="s">
        <v>512</v>
      </c>
      <c r="E494" s="7">
        <v>5950</v>
      </c>
      <c r="F494" s="7">
        <v>10539</v>
      </c>
      <c r="G494" s="4" t="s">
        <v>74</v>
      </c>
    </row>
    <row r="495" spans="1:7" ht="12.75">
      <c r="A495" s="98" t="s">
        <v>1042</v>
      </c>
      <c r="B495" s="98"/>
      <c r="C495" s="98" t="s">
        <v>512</v>
      </c>
      <c r="D495" s="4" t="s">
        <v>512</v>
      </c>
      <c r="E495" s="7">
        <v>5950</v>
      </c>
      <c r="F495" s="7">
        <v>10539</v>
      </c>
      <c r="G495" s="4" t="s">
        <v>74</v>
      </c>
    </row>
    <row r="496" spans="1:7" ht="12.75">
      <c r="A496" s="98" t="s">
        <v>1043</v>
      </c>
      <c r="B496" s="98"/>
      <c r="C496" s="98" t="s">
        <v>428</v>
      </c>
      <c r="D496" s="4" t="s">
        <v>428</v>
      </c>
      <c r="E496" s="7">
        <v>38</v>
      </c>
      <c r="F496" s="7">
        <v>96</v>
      </c>
      <c r="G496" s="4" t="s">
        <v>74</v>
      </c>
    </row>
    <row r="497" spans="1:7" ht="12.75">
      <c r="A497" s="98" t="s">
        <v>1044</v>
      </c>
      <c r="B497" s="98"/>
      <c r="C497" s="98" t="s">
        <v>428</v>
      </c>
      <c r="D497" s="4" t="s">
        <v>428</v>
      </c>
      <c r="E497" s="7">
        <v>38</v>
      </c>
      <c r="F497" s="7">
        <v>96</v>
      </c>
      <c r="G497" s="4" t="s">
        <v>74</v>
      </c>
    </row>
    <row r="498" spans="1:7" ht="12.75">
      <c r="A498" s="98" t="s">
        <v>1045</v>
      </c>
      <c r="B498" s="98" t="s">
        <v>1046</v>
      </c>
      <c r="C498" s="98"/>
      <c r="D498" s="4" t="s">
        <v>1046</v>
      </c>
      <c r="E498" s="7">
        <v>121</v>
      </c>
      <c r="F498" s="7">
        <v>527</v>
      </c>
      <c r="G498" s="4" t="s">
        <v>74</v>
      </c>
    </row>
    <row r="499" spans="1:7" ht="12.75">
      <c r="A499" s="98" t="s">
        <v>1047</v>
      </c>
      <c r="B499" s="98"/>
      <c r="C499" s="98" t="s">
        <v>428</v>
      </c>
      <c r="D499" s="4" t="s">
        <v>428</v>
      </c>
      <c r="E499" s="7">
        <v>38</v>
      </c>
      <c r="F499" s="7">
        <v>96</v>
      </c>
      <c r="G499" s="4" t="s">
        <v>74</v>
      </c>
    </row>
    <row r="500" spans="1:7" ht="12.75">
      <c r="A500" s="98" t="s">
        <v>1048</v>
      </c>
      <c r="B500" s="98"/>
      <c r="C500" s="98" t="s">
        <v>428</v>
      </c>
      <c r="D500" s="4" t="s">
        <v>428</v>
      </c>
      <c r="E500" s="7">
        <v>38</v>
      </c>
      <c r="F500" s="7">
        <v>96</v>
      </c>
      <c r="G500" s="4" t="s">
        <v>74</v>
      </c>
    </row>
    <row r="501" spans="1:7" ht="12.75">
      <c r="A501" s="98" t="s">
        <v>1049</v>
      </c>
      <c r="B501" s="98" t="s">
        <v>1050</v>
      </c>
      <c r="C501" s="98"/>
      <c r="D501" s="4" t="s">
        <v>1050</v>
      </c>
      <c r="E501" s="7">
        <v>372</v>
      </c>
      <c r="F501" s="7">
        <v>507</v>
      </c>
      <c r="G501" s="4" t="s">
        <v>74</v>
      </c>
    </row>
    <row r="502" spans="1:7" ht="12.75">
      <c r="A502" s="98" t="s">
        <v>1051</v>
      </c>
      <c r="B502" s="98" t="s">
        <v>368</v>
      </c>
      <c r="C502" s="98"/>
      <c r="D502" s="4" t="s">
        <v>368</v>
      </c>
      <c r="E502" s="7">
        <v>1000</v>
      </c>
      <c r="F502" s="7">
        <v>1000</v>
      </c>
      <c r="G502" s="4" t="s">
        <v>74</v>
      </c>
    </row>
    <row r="503" spans="1:7" ht="12.75">
      <c r="A503" s="98" t="s">
        <v>1052</v>
      </c>
      <c r="B503" s="98"/>
      <c r="C503" s="98" t="s">
        <v>428</v>
      </c>
      <c r="D503" s="4" t="s">
        <v>428</v>
      </c>
      <c r="E503" s="7">
        <v>38</v>
      </c>
      <c r="F503" s="7">
        <v>96</v>
      </c>
      <c r="G503" s="4" t="s">
        <v>74</v>
      </c>
    </row>
    <row r="504" spans="1:7" ht="12.75">
      <c r="A504" s="98" t="s">
        <v>1053</v>
      </c>
      <c r="B504" s="98"/>
      <c r="C504" s="98" t="s">
        <v>428</v>
      </c>
      <c r="D504" s="4" t="s">
        <v>428</v>
      </c>
      <c r="E504" s="7">
        <v>38</v>
      </c>
      <c r="F504" s="7">
        <v>96</v>
      </c>
      <c r="G504" s="4" t="s">
        <v>74</v>
      </c>
    </row>
    <row r="505" spans="1:7" ht="12.75">
      <c r="A505" s="98" t="s">
        <v>1054</v>
      </c>
      <c r="B505" s="98"/>
      <c r="C505" s="98" t="s">
        <v>428</v>
      </c>
      <c r="D505" s="4" t="s">
        <v>428</v>
      </c>
      <c r="E505" s="7">
        <v>38</v>
      </c>
      <c r="F505" s="7">
        <v>96</v>
      </c>
      <c r="G505" s="4" t="s">
        <v>74</v>
      </c>
    </row>
    <row r="506" spans="1:7" ht="12.75">
      <c r="A506" s="98" t="s">
        <v>1055</v>
      </c>
      <c r="B506" s="98"/>
      <c r="C506" s="98" t="s">
        <v>428</v>
      </c>
      <c r="D506" s="4" t="s">
        <v>428</v>
      </c>
      <c r="E506" s="7">
        <v>38</v>
      </c>
      <c r="F506" s="7">
        <v>96</v>
      </c>
      <c r="G506" s="4" t="s">
        <v>74</v>
      </c>
    </row>
    <row r="507" spans="1:7" ht="12.75">
      <c r="A507" s="98" t="s">
        <v>1056</v>
      </c>
      <c r="B507" s="98" t="s">
        <v>1057</v>
      </c>
      <c r="C507" s="98"/>
      <c r="D507" s="4" t="s">
        <v>1057</v>
      </c>
      <c r="E507" s="7">
        <v>603</v>
      </c>
      <c r="F507" s="7">
        <v>603</v>
      </c>
      <c r="G507" s="4" t="s">
        <v>74</v>
      </c>
    </row>
    <row r="508" spans="1:7" ht="12.75">
      <c r="A508" s="98" t="s">
        <v>1058</v>
      </c>
      <c r="B508" s="98"/>
      <c r="C508" s="98" t="s">
        <v>428</v>
      </c>
      <c r="D508" s="4" t="s">
        <v>428</v>
      </c>
      <c r="E508" s="7">
        <v>38</v>
      </c>
      <c r="F508" s="7">
        <v>96</v>
      </c>
      <c r="G508" s="4" t="s">
        <v>74</v>
      </c>
    </row>
    <row r="509" spans="1:7" ht="12.75">
      <c r="A509" s="98" t="s">
        <v>1059</v>
      </c>
      <c r="B509" s="98"/>
      <c r="C509" s="98" t="s">
        <v>428</v>
      </c>
      <c r="D509" s="4" t="s">
        <v>428</v>
      </c>
      <c r="E509" s="7">
        <v>38</v>
      </c>
      <c r="F509" s="7">
        <v>96</v>
      </c>
      <c r="G509" s="4" t="s">
        <v>74</v>
      </c>
    </row>
    <row r="510" spans="1:7" ht="12.75">
      <c r="A510" s="98" t="s">
        <v>1060</v>
      </c>
      <c r="B510" s="98"/>
      <c r="C510" s="98" t="s">
        <v>428</v>
      </c>
      <c r="D510" s="4" t="s">
        <v>428</v>
      </c>
      <c r="E510" s="7">
        <v>38</v>
      </c>
      <c r="F510" s="7">
        <v>96</v>
      </c>
      <c r="G510" s="4" t="s">
        <v>74</v>
      </c>
    </row>
    <row r="511" spans="1:7" ht="12.75">
      <c r="A511" s="98" t="s">
        <v>1061</v>
      </c>
      <c r="B511" s="98" t="s">
        <v>1062</v>
      </c>
      <c r="C511" s="98"/>
      <c r="D511" s="4" t="s">
        <v>1062</v>
      </c>
      <c r="E511" s="7">
        <v>3000</v>
      </c>
      <c r="F511" s="7">
        <v>3000</v>
      </c>
      <c r="G511" s="4" t="s">
        <v>74</v>
      </c>
    </row>
    <row r="512" spans="1:7" ht="12.75">
      <c r="A512" s="98" t="s">
        <v>1063</v>
      </c>
      <c r="B512" s="98" t="s">
        <v>517</v>
      </c>
      <c r="C512" s="98"/>
      <c r="D512" s="4" t="s">
        <v>517</v>
      </c>
      <c r="E512" s="7">
        <v>2000</v>
      </c>
      <c r="F512" s="7">
        <v>2000</v>
      </c>
      <c r="G512" s="4" t="s">
        <v>74</v>
      </c>
    </row>
    <row r="513" spans="1:7" ht="12.75">
      <c r="A513" s="98" t="s">
        <v>1064</v>
      </c>
      <c r="B513" s="98"/>
      <c r="C513" s="98" t="s">
        <v>428</v>
      </c>
      <c r="D513" s="4" t="s">
        <v>428</v>
      </c>
      <c r="E513" s="7">
        <v>38</v>
      </c>
      <c r="F513" s="7">
        <v>96</v>
      </c>
      <c r="G513" s="4" t="s">
        <v>74</v>
      </c>
    </row>
    <row r="514" spans="1:7" ht="12.75">
      <c r="A514" s="98" t="s">
        <v>1065</v>
      </c>
      <c r="B514" s="98"/>
      <c r="C514" s="98" t="s">
        <v>428</v>
      </c>
      <c r="D514" s="4" t="s">
        <v>428</v>
      </c>
      <c r="E514" s="7">
        <v>38</v>
      </c>
      <c r="F514" s="7">
        <v>96</v>
      </c>
      <c r="G514" s="4" t="s">
        <v>74</v>
      </c>
    </row>
    <row r="515" spans="1:7" ht="12.75">
      <c r="A515" s="98" t="s">
        <v>1066</v>
      </c>
      <c r="B515" s="98" t="s">
        <v>1067</v>
      </c>
      <c r="C515" s="98"/>
      <c r="D515" s="4" t="s">
        <v>1067</v>
      </c>
      <c r="E515" s="7">
        <v>25000</v>
      </c>
      <c r="F515" s="7">
        <v>25000</v>
      </c>
      <c r="G515" s="4" t="s">
        <v>74</v>
      </c>
    </row>
    <row r="516" spans="1:7" ht="12.75">
      <c r="A516" s="98" t="s">
        <v>1068</v>
      </c>
      <c r="B516" s="98"/>
      <c r="C516" s="98" t="s">
        <v>428</v>
      </c>
      <c r="D516" s="4" t="s">
        <v>428</v>
      </c>
      <c r="E516" s="7">
        <v>38</v>
      </c>
      <c r="F516" s="7">
        <v>96</v>
      </c>
      <c r="G516" s="4" t="s">
        <v>74</v>
      </c>
    </row>
    <row r="517" spans="1:7" ht="12.75">
      <c r="A517" s="98" t="s">
        <v>1069</v>
      </c>
      <c r="B517" s="98" t="s">
        <v>1070</v>
      </c>
      <c r="C517" s="98"/>
      <c r="D517" s="4" t="s">
        <v>1070</v>
      </c>
      <c r="E517" s="7">
        <v>200</v>
      </c>
      <c r="F517" s="7">
        <v>3500</v>
      </c>
      <c r="G517" s="4" t="s">
        <v>74</v>
      </c>
    </row>
    <row r="518" spans="1:7" ht="12.75">
      <c r="A518" s="98" t="s">
        <v>1071</v>
      </c>
      <c r="B518" s="98"/>
      <c r="C518" s="98" t="s">
        <v>428</v>
      </c>
      <c r="D518" s="4" t="s">
        <v>428</v>
      </c>
      <c r="E518" s="7">
        <v>38</v>
      </c>
      <c r="F518" s="7">
        <v>96</v>
      </c>
      <c r="G518" s="4" t="s">
        <v>74</v>
      </c>
    </row>
    <row r="519" spans="1:7" ht="12.75">
      <c r="A519" s="98" t="s">
        <v>1072</v>
      </c>
      <c r="B519" s="98"/>
      <c r="C519" s="98" t="s">
        <v>428</v>
      </c>
      <c r="D519" s="4" t="s">
        <v>428</v>
      </c>
      <c r="E519" s="7">
        <v>38</v>
      </c>
      <c r="F519" s="7">
        <v>96</v>
      </c>
      <c r="G519" s="4" t="s">
        <v>74</v>
      </c>
    </row>
    <row r="520" spans="1:7" ht="12.75">
      <c r="A520" s="98" t="s">
        <v>1073</v>
      </c>
      <c r="B520" s="98"/>
      <c r="C520" s="98" t="s">
        <v>428</v>
      </c>
      <c r="D520" s="4" t="s">
        <v>428</v>
      </c>
      <c r="E520" s="7">
        <v>38</v>
      </c>
      <c r="F520" s="7">
        <v>96</v>
      </c>
      <c r="G520" s="4" t="s">
        <v>74</v>
      </c>
    </row>
    <row r="521" spans="1:7" ht="12.75">
      <c r="A521" s="98" t="s">
        <v>1074</v>
      </c>
      <c r="B521" s="98"/>
      <c r="C521" s="98" t="s">
        <v>428</v>
      </c>
      <c r="D521" s="4" t="s">
        <v>428</v>
      </c>
      <c r="E521" s="7">
        <v>38</v>
      </c>
      <c r="F521" s="7">
        <v>96</v>
      </c>
      <c r="G521" s="4" t="s">
        <v>74</v>
      </c>
    </row>
    <row r="522" spans="1:7" ht="12.75">
      <c r="A522" s="98" t="s">
        <v>1075</v>
      </c>
      <c r="B522" s="98"/>
      <c r="C522" s="98" t="s">
        <v>428</v>
      </c>
      <c r="D522" s="4" t="s">
        <v>428</v>
      </c>
      <c r="E522" s="7">
        <v>38</v>
      </c>
      <c r="F522" s="7">
        <v>96</v>
      </c>
      <c r="G522" s="4" t="s">
        <v>74</v>
      </c>
    </row>
    <row r="523" spans="1:7" ht="12.75">
      <c r="A523" s="98" t="s">
        <v>393</v>
      </c>
      <c r="B523" s="98" t="s">
        <v>1076</v>
      </c>
      <c r="C523" s="98"/>
      <c r="D523" s="4" t="s">
        <v>1076</v>
      </c>
      <c r="E523" s="7">
        <v>114</v>
      </c>
      <c r="F523" s="7">
        <v>454</v>
      </c>
      <c r="G523" s="4" t="s">
        <v>74</v>
      </c>
    </row>
    <row r="524" spans="1:7" ht="12.75">
      <c r="A524" s="98" t="s">
        <v>1077</v>
      </c>
      <c r="B524" s="98" t="s">
        <v>1078</v>
      </c>
      <c r="C524" s="98"/>
      <c r="D524" s="4" t="s">
        <v>1078</v>
      </c>
      <c r="E524" s="7">
        <v>172</v>
      </c>
      <c r="F524" s="7">
        <v>172</v>
      </c>
      <c r="G524" s="4" t="s">
        <v>74</v>
      </c>
    </row>
    <row r="525" spans="1:7" ht="12.75">
      <c r="A525" s="98" t="s">
        <v>1079</v>
      </c>
      <c r="B525" s="98" t="s">
        <v>1080</v>
      </c>
      <c r="C525" s="98"/>
      <c r="D525" s="4" t="s">
        <v>1080</v>
      </c>
      <c r="E525" s="7">
        <v>2419</v>
      </c>
      <c r="F525" s="7">
        <v>2419</v>
      </c>
      <c r="G525" s="4" t="s">
        <v>74</v>
      </c>
    </row>
    <row r="526" spans="1:7" ht="12.75">
      <c r="A526" s="98" t="s">
        <v>1081</v>
      </c>
      <c r="B526" s="98"/>
      <c r="C526" s="98" t="s">
        <v>428</v>
      </c>
      <c r="D526" s="4" t="s">
        <v>428</v>
      </c>
      <c r="E526" s="7">
        <v>38</v>
      </c>
      <c r="F526" s="7">
        <v>96</v>
      </c>
      <c r="G526" s="4" t="s">
        <v>74</v>
      </c>
    </row>
    <row r="527" spans="1:7" ht="12.75">
      <c r="A527" s="98" t="s">
        <v>1082</v>
      </c>
      <c r="B527" s="98"/>
      <c r="C527" s="98" t="s">
        <v>428</v>
      </c>
      <c r="D527" s="4" t="s">
        <v>428</v>
      </c>
      <c r="E527" s="7">
        <v>38</v>
      </c>
      <c r="F527" s="7">
        <v>96</v>
      </c>
      <c r="G527" s="4" t="s">
        <v>74</v>
      </c>
    </row>
    <row r="528" spans="1:7" ht="12.75">
      <c r="A528" s="98" t="s">
        <v>1083</v>
      </c>
      <c r="B528" s="98"/>
      <c r="C528" s="98" t="s">
        <v>428</v>
      </c>
      <c r="D528" s="4" t="s">
        <v>428</v>
      </c>
      <c r="E528" s="7">
        <v>38</v>
      </c>
      <c r="F528" s="7">
        <v>96</v>
      </c>
      <c r="G528" s="4" t="s">
        <v>74</v>
      </c>
    </row>
    <row r="529" spans="1:7" ht="12.75">
      <c r="A529" s="98" t="s">
        <v>1084</v>
      </c>
      <c r="B529" s="98"/>
      <c r="C529" s="98" t="s">
        <v>428</v>
      </c>
      <c r="D529" s="4" t="s">
        <v>428</v>
      </c>
      <c r="E529" s="7">
        <v>38</v>
      </c>
      <c r="F529" s="7">
        <v>96</v>
      </c>
      <c r="G529" s="4" t="s">
        <v>74</v>
      </c>
    </row>
    <row r="530" spans="1:7" ht="12.75">
      <c r="A530" s="98" t="s">
        <v>1085</v>
      </c>
      <c r="B530" s="98"/>
      <c r="C530" s="98" t="s">
        <v>512</v>
      </c>
      <c r="D530" s="4" t="s">
        <v>512</v>
      </c>
      <c r="E530" s="7">
        <v>5950</v>
      </c>
      <c r="F530" s="7">
        <v>10539</v>
      </c>
      <c r="G530" s="4" t="s">
        <v>74</v>
      </c>
    </row>
    <row r="531" spans="1:7" ht="12.75">
      <c r="A531" s="98" t="s">
        <v>1086</v>
      </c>
      <c r="B531" s="98" t="s">
        <v>1087</v>
      </c>
      <c r="C531" s="98"/>
      <c r="D531" s="4" t="s">
        <v>1087</v>
      </c>
      <c r="E531" s="7">
        <v>3500</v>
      </c>
      <c r="F531" s="7">
        <v>3500</v>
      </c>
      <c r="G531" s="4" t="s">
        <v>74</v>
      </c>
    </row>
    <row r="532" spans="1:7" ht="12.75">
      <c r="A532" s="98" t="s">
        <v>364</v>
      </c>
      <c r="B532" s="98" t="s">
        <v>1088</v>
      </c>
      <c r="C532" s="98"/>
      <c r="D532" s="4" t="s">
        <v>1088</v>
      </c>
      <c r="E532" s="7">
        <v>8836</v>
      </c>
      <c r="F532" s="7">
        <v>8836</v>
      </c>
      <c r="G532" s="4" t="s">
        <v>74</v>
      </c>
    </row>
    <row r="533" spans="1:7" ht="12.75">
      <c r="A533" s="98" t="s">
        <v>1089</v>
      </c>
      <c r="B533" s="98"/>
      <c r="C533" s="98" t="s">
        <v>428</v>
      </c>
      <c r="D533" s="4" t="s">
        <v>428</v>
      </c>
      <c r="E533" s="7">
        <v>38</v>
      </c>
      <c r="F533" s="7">
        <v>96</v>
      </c>
      <c r="G533" s="4" t="s">
        <v>74</v>
      </c>
    </row>
    <row r="534" spans="1:7" ht="12.75">
      <c r="A534" s="98" t="s">
        <v>1090</v>
      </c>
      <c r="B534" s="98" t="s">
        <v>756</v>
      </c>
      <c r="C534" s="98"/>
      <c r="D534" s="4" t="s">
        <v>756</v>
      </c>
      <c r="E534" s="7">
        <v>6000</v>
      </c>
      <c r="F534" s="7">
        <v>6000</v>
      </c>
      <c r="G534" s="4" t="s">
        <v>74</v>
      </c>
    </row>
    <row r="535" spans="1:7" ht="12.75">
      <c r="A535" s="98" t="s">
        <v>1091</v>
      </c>
      <c r="B535" s="98" t="s">
        <v>764</v>
      </c>
      <c r="C535" s="98"/>
      <c r="D535" s="4" t="s">
        <v>764</v>
      </c>
      <c r="E535" s="7">
        <v>4536</v>
      </c>
      <c r="F535" s="7">
        <v>4536</v>
      </c>
      <c r="G535" s="4" t="s">
        <v>74</v>
      </c>
    </row>
    <row r="536" spans="1:7" ht="12.75">
      <c r="A536" s="98" t="s">
        <v>1092</v>
      </c>
      <c r="B536" s="98" t="s">
        <v>559</v>
      </c>
      <c r="C536" s="98"/>
      <c r="D536" s="4" t="s">
        <v>559</v>
      </c>
      <c r="E536" s="7">
        <v>1500</v>
      </c>
      <c r="F536" s="7">
        <v>1500</v>
      </c>
      <c r="G536" s="4" t="s">
        <v>74</v>
      </c>
    </row>
    <row r="537" spans="1:7" ht="12.75">
      <c r="A537" s="98" t="s">
        <v>1093</v>
      </c>
      <c r="B537" s="98"/>
      <c r="C537" s="98" t="s">
        <v>428</v>
      </c>
      <c r="D537" s="4" t="s">
        <v>428</v>
      </c>
      <c r="E537" s="7">
        <v>38</v>
      </c>
      <c r="F537" s="7">
        <v>96</v>
      </c>
      <c r="G537" s="4" t="s">
        <v>74</v>
      </c>
    </row>
    <row r="538" spans="1:7" ht="12.75">
      <c r="A538" s="98" t="s">
        <v>1094</v>
      </c>
      <c r="B538" s="98" t="s">
        <v>1095</v>
      </c>
      <c r="C538" s="98"/>
      <c r="D538" s="4" t="s">
        <v>1095</v>
      </c>
      <c r="E538" s="7">
        <v>4536</v>
      </c>
      <c r="F538" s="7">
        <v>38636</v>
      </c>
      <c r="G538" s="4" t="s">
        <v>74</v>
      </c>
    </row>
    <row r="539" spans="1:7" ht="12.75">
      <c r="A539" s="98" t="s">
        <v>1096</v>
      </c>
      <c r="B539" s="98"/>
      <c r="C539" s="98" t="s">
        <v>428</v>
      </c>
      <c r="D539" s="4" t="s">
        <v>428</v>
      </c>
      <c r="E539" s="7">
        <v>38</v>
      </c>
      <c r="F539" s="7">
        <v>96</v>
      </c>
      <c r="G539" s="4" t="s">
        <v>74</v>
      </c>
    </row>
    <row r="540" spans="1:7" ht="12.75">
      <c r="A540" s="98" t="s">
        <v>1097</v>
      </c>
      <c r="B540" s="98"/>
      <c r="C540" s="98" t="s">
        <v>428</v>
      </c>
      <c r="D540" s="4" t="s">
        <v>428</v>
      </c>
      <c r="E540" s="7">
        <v>38</v>
      </c>
      <c r="F540" s="7">
        <v>96</v>
      </c>
      <c r="G540" s="4" t="s">
        <v>74</v>
      </c>
    </row>
    <row r="541" spans="1:7" ht="12.75">
      <c r="A541" s="98" t="s">
        <v>1098</v>
      </c>
      <c r="B541" s="98" t="s">
        <v>1099</v>
      </c>
      <c r="C541" s="98"/>
      <c r="D541" s="4" t="s">
        <v>1099</v>
      </c>
      <c r="E541" s="7">
        <v>220</v>
      </c>
      <c r="F541" s="7">
        <v>464</v>
      </c>
      <c r="G541" s="4" t="s">
        <v>74</v>
      </c>
    </row>
    <row r="542" spans="1:7" ht="12.75">
      <c r="A542" s="98" t="s">
        <v>1100</v>
      </c>
      <c r="B542" s="98"/>
      <c r="C542" s="98" t="s">
        <v>428</v>
      </c>
      <c r="D542" s="4" t="s">
        <v>428</v>
      </c>
      <c r="E542" s="7">
        <v>38</v>
      </c>
      <c r="F542" s="7">
        <v>96</v>
      </c>
      <c r="G542" s="4" t="s">
        <v>74</v>
      </c>
    </row>
    <row r="543" spans="1:7" ht="12.75">
      <c r="A543" s="98" t="s">
        <v>1101</v>
      </c>
      <c r="B543" s="98" t="s">
        <v>1102</v>
      </c>
      <c r="C543" s="98"/>
      <c r="D543" s="4" t="s">
        <v>1102</v>
      </c>
      <c r="E543" s="7">
        <v>9017</v>
      </c>
      <c r="F543" s="7">
        <v>9017</v>
      </c>
      <c r="G543" s="4" t="s">
        <v>74</v>
      </c>
    </row>
    <row r="544" spans="1:7" ht="12.75">
      <c r="A544" s="98" t="s">
        <v>1103</v>
      </c>
      <c r="B544" s="98" t="s">
        <v>1104</v>
      </c>
      <c r="C544" s="98"/>
      <c r="D544" s="4" t="s">
        <v>1104</v>
      </c>
      <c r="E544" s="7">
        <v>2361</v>
      </c>
      <c r="F544" s="7">
        <v>3656</v>
      </c>
      <c r="G544" s="4" t="s">
        <v>74</v>
      </c>
    </row>
    <row r="545" spans="1:7" ht="12.75">
      <c r="A545" s="98" t="s">
        <v>1105</v>
      </c>
      <c r="B545" s="98"/>
      <c r="C545" s="98" t="s">
        <v>428</v>
      </c>
      <c r="D545" s="4" t="s">
        <v>428</v>
      </c>
      <c r="E545" s="7">
        <v>38</v>
      </c>
      <c r="F545" s="7">
        <v>96</v>
      </c>
      <c r="G545" s="4" t="s">
        <v>74</v>
      </c>
    </row>
    <row r="546" spans="1:7" ht="12.75">
      <c r="A546" s="98" t="s">
        <v>1106</v>
      </c>
      <c r="B546" s="98"/>
      <c r="C546" s="98" t="s">
        <v>428</v>
      </c>
      <c r="D546" s="4" t="s">
        <v>428</v>
      </c>
      <c r="E546" s="7">
        <v>38</v>
      </c>
      <c r="F546" s="7">
        <v>96</v>
      </c>
      <c r="G546" s="4" t="s">
        <v>74</v>
      </c>
    </row>
    <row r="547" spans="1:7" ht="12.75">
      <c r="A547" s="98" t="s">
        <v>1107</v>
      </c>
      <c r="B547" s="98"/>
      <c r="C547" s="98" t="s">
        <v>428</v>
      </c>
      <c r="D547" s="4" t="s">
        <v>428</v>
      </c>
      <c r="E547" s="7">
        <v>38</v>
      </c>
      <c r="F547" s="7">
        <v>96</v>
      </c>
      <c r="G547" s="4" t="s">
        <v>74</v>
      </c>
    </row>
    <row r="548" spans="1:7" ht="12.75">
      <c r="A548" s="98" t="s">
        <v>1108</v>
      </c>
      <c r="B548" s="98"/>
      <c r="C548" s="98" t="s">
        <v>428</v>
      </c>
      <c r="D548" s="4" t="s">
        <v>428</v>
      </c>
      <c r="E548" s="7">
        <v>38</v>
      </c>
      <c r="F548" s="7">
        <v>96</v>
      </c>
      <c r="G548" s="4" t="s">
        <v>74</v>
      </c>
    </row>
    <row r="549" spans="1:7" ht="12.75">
      <c r="A549" s="98" t="s">
        <v>1109</v>
      </c>
      <c r="B549" s="98"/>
      <c r="C549" s="98" t="s">
        <v>512</v>
      </c>
      <c r="D549" s="4" t="s">
        <v>512</v>
      </c>
      <c r="E549" s="7">
        <v>5950</v>
      </c>
      <c r="F549" s="7">
        <v>10539</v>
      </c>
      <c r="G549" s="4" t="s">
        <v>74</v>
      </c>
    </row>
    <row r="550" spans="1:7" ht="12.75">
      <c r="A550" s="98" t="s">
        <v>1110</v>
      </c>
      <c r="B550" s="98"/>
      <c r="C550" s="98" t="s">
        <v>428</v>
      </c>
      <c r="D550" s="4" t="s">
        <v>428</v>
      </c>
      <c r="E550" s="7">
        <v>38</v>
      </c>
      <c r="F550" s="7">
        <v>96</v>
      </c>
      <c r="G550" s="4" t="s">
        <v>74</v>
      </c>
    </row>
    <row r="551" spans="1:7" ht="12.75">
      <c r="A551" s="98" t="s">
        <v>1111</v>
      </c>
      <c r="B551" s="98"/>
      <c r="C551" s="98" t="s">
        <v>428</v>
      </c>
      <c r="D551" s="4" t="s">
        <v>428</v>
      </c>
      <c r="E551" s="7">
        <v>38</v>
      </c>
      <c r="F551" s="7">
        <v>96</v>
      </c>
      <c r="G551" s="4" t="s">
        <v>74</v>
      </c>
    </row>
    <row r="552" spans="1:7" ht="12.75">
      <c r="A552" s="98" t="s">
        <v>1112</v>
      </c>
      <c r="B552" s="98" t="s">
        <v>588</v>
      </c>
      <c r="C552" s="98"/>
      <c r="D552" s="4" t="s">
        <v>588</v>
      </c>
      <c r="E552" s="7">
        <v>28000</v>
      </c>
      <c r="F552" s="7">
        <v>28000</v>
      </c>
      <c r="G552" s="4" t="s">
        <v>74</v>
      </c>
    </row>
    <row r="553" spans="1:7" ht="12.75">
      <c r="A553" s="98" t="s">
        <v>1113</v>
      </c>
      <c r="B553" s="98" t="s">
        <v>1114</v>
      </c>
      <c r="C553" s="98"/>
      <c r="D553" s="4" t="s">
        <v>1114</v>
      </c>
      <c r="E553" s="7">
        <v>227</v>
      </c>
      <c r="F553" s="7">
        <v>273</v>
      </c>
      <c r="G553" s="4" t="s">
        <v>74</v>
      </c>
    </row>
    <row r="554" spans="1:7" ht="12.75">
      <c r="A554" s="98" t="s">
        <v>1115</v>
      </c>
      <c r="B554" s="98"/>
      <c r="C554" s="98" t="s">
        <v>428</v>
      </c>
      <c r="D554" s="4" t="s">
        <v>428</v>
      </c>
      <c r="E554" s="7">
        <v>38</v>
      </c>
      <c r="F554" s="7">
        <v>96</v>
      </c>
      <c r="G554" s="4" t="s">
        <v>74</v>
      </c>
    </row>
    <row r="555" spans="1:7" ht="12.75">
      <c r="A555" s="98" t="s">
        <v>1116</v>
      </c>
      <c r="B555" s="98"/>
      <c r="C555" s="98" t="s">
        <v>428</v>
      </c>
      <c r="D555" s="4" t="s">
        <v>428</v>
      </c>
      <c r="E555" s="7">
        <v>38</v>
      </c>
      <c r="F555" s="7">
        <v>96</v>
      </c>
      <c r="G555" s="4" t="s">
        <v>74</v>
      </c>
    </row>
    <row r="556" spans="1:7" ht="12.75">
      <c r="A556" s="98" t="s">
        <v>1117</v>
      </c>
      <c r="B556" s="98"/>
      <c r="C556" s="98" t="s">
        <v>428</v>
      </c>
      <c r="D556" s="4" t="s">
        <v>428</v>
      </c>
      <c r="E556" s="7">
        <v>38</v>
      </c>
      <c r="F556" s="7">
        <v>96</v>
      </c>
      <c r="G556" s="4" t="s">
        <v>74</v>
      </c>
    </row>
    <row r="557" spans="1:7" ht="12.75">
      <c r="A557" s="98" t="s">
        <v>1118</v>
      </c>
      <c r="B557" s="98" t="s">
        <v>1119</v>
      </c>
      <c r="C557" s="98"/>
      <c r="D557" s="4" t="s">
        <v>1119</v>
      </c>
      <c r="E557" s="7">
        <v>695</v>
      </c>
      <c r="F557" s="7">
        <v>7165</v>
      </c>
      <c r="G557" s="4" t="s">
        <v>74</v>
      </c>
    </row>
    <row r="558" spans="1:7" ht="12.75">
      <c r="A558" s="98" t="s">
        <v>1120</v>
      </c>
      <c r="B558" s="98"/>
      <c r="C558" s="98" t="s">
        <v>428</v>
      </c>
      <c r="D558" s="4" t="s">
        <v>428</v>
      </c>
      <c r="E558" s="7">
        <v>38</v>
      </c>
      <c r="F558" s="7">
        <v>96</v>
      </c>
      <c r="G558" s="4" t="s">
        <v>74</v>
      </c>
    </row>
    <row r="559" spans="1:7" ht="12.75">
      <c r="A559" s="98" t="s">
        <v>1121</v>
      </c>
      <c r="B559" s="98" t="s">
        <v>464</v>
      </c>
      <c r="C559" s="98"/>
      <c r="D559" s="4" t="s">
        <v>464</v>
      </c>
      <c r="E559" s="7">
        <v>1400</v>
      </c>
      <c r="F559" s="7">
        <v>1400</v>
      </c>
      <c r="G559" s="4" t="s">
        <v>74</v>
      </c>
    </row>
    <row r="560" spans="1:7" ht="12.75">
      <c r="A560" s="98" t="s">
        <v>1122</v>
      </c>
      <c r="B560" s="98" t="s">
        <v>1123</v>
      </c>
      <c r="C560" s="98"/>
      <c r="D560" s="4" t="s">
        <v>1123</v>
      </c>
      <c r="E560" s="7">
        <v>55</v>
      </c>
      <c r="F560" s="7">
        <v>467</v>
      </c>
      <c r="G560" s="4" t="s">
        <v>74</v>
      </c>
    </row>
    <row r="561" spans="1:7" ht="12.75">
      <c r="A561" s="98" t="s">
        <v>1124</v>
      </c>
      <c r="B561" s="98"/>
      <c r="C561" s="98" t="s">
        <v>428</v>
      </c>
      <c r="D561" s="4" t="s">
        <v>428</v>
      </c>
      <c r="E561" s="7">
        <v>38</v>
      </c>
      <c r="F561" s="7">
        <v>96</v>
      </c>
      <c r="G561" s="4" t="s">
        <v>74</v>
      </c>
    </row>
    <row r="562" spans="1:7" ht="12.75">
      <c r="A562" s="98" t="s">
        <v>1125</v>
      </c>
      <c r="B562" s="98"/>
      <c r="C562" s="98" t="s">
        <v>428</v>
      </c>
      <c r="D562" s="4" t="s">
        <v>428</v>
      </c>
      <c r="E562" s="7">
        <v>38</v>
      </c>
      <c r="F562" s="7">
        <v>96</v>
      </c>
      <c r="G562" s="4" t="s">
        <v>74</v>
      </c>
    </row>
    <row r="563" spans="1:7" ht="12.75">
      <c r="A563" s="98" t="s">
        <v>1126</v>
      </c>
      <c r="B563" s="98" t="s">
        <v>1127</v>
      </c>
      <c r="C563" s="98"/>
      <c r="D563" s="4" t="s">
        <v>1127</v>
      </c>
      <c r="E563" s="7">
        <v>166</v>
      </c>
      <c r="F563" s="7">
        <v>969</v>
      </c>
      <c r="G563" s="4" t="s">
        <v>74</v>
      </c>
    </row>
    <row r="564" spans="1:7" ht="12.75">
      <c r="A564" s="98" t="s">
        <v>1128</v>
      </c>
      <c r="B564" s="98"/>
      <c r="C564" s="98" t="s">
        <v>428</v>
      </c>
      <c r="D564" s="4" t="s">
        <v>428</v>
      </c>
      <c r="E564" s="7">
        <v>38</v>
      </c>
      <c r="F564" s="7">
        <v>96</v>
      </c>
      <c r="G564" s="4" t="s">
        <v>74</v>
      </c>
    </row>
    <row r="565" spans="1:7" ht="12.75">
      <c r="A565" s="98" t="s">
        <v>1129</v>
      </c>
      <c r="B565" s="98"/>
      <c r="C565" s="98" t="s">
        <v>428</v>
      </c>
      <c r="D565" s="4" t="s">
        <v>428</v>
      </c>
      <c r="E565" s="7">
        <v>38</v>
      </c>
      <c r="F565" s="7">
        <v>96</v>
      </c>
      <c r="G565" s="4" t="s">
        <v>74</v>
      </c>
    </row>
    <row r="566" spans="1:7" ht="12.75">
      <c r="A566" s="98" t="s">
        <v>1130</v>
      </c>
      <c r="B566" s="98"/>
      <c r="C566" s="98" t="s">
        <v>428</v>
      </c>
      <c r="D566" s="4" t="s">
        <v>428</v>
      </c>
      <c r="E566" s="7">
        <v>38</v>
      </c>
      <c r="F566" s="7">
        <v>96</v>
      </c>
      <c r="G566" s="4" t="s">
        <v>74</v>
      </c>
    </row>
    <row r="567" spans="1:7" ht="12.75">
      <c r="A567" s="98" t="s">
        <v>1131</v>
      </c>
      <c r="B567" s="98"/>
      <c r="C567" s="98" t="s">
        <v>428</v>
      </c>
      <c r="D567" s="4" t="s">
        <v>428</v>
      </c>
      <c r="E567" s="7">
        <v>38</v>
      </c>
      <c r="F567" s="7">
        <v>96</v>
      </c>
      <c r="G567" s="4" t="s">
        <v>74</v>
      </c>
    </row>
    <row r="568" spans="1:7" ht="12.75">
      <c r="A568" s="98" t="s">
        <v>1132</v>
      </c>
      <c r="B568" s="98"/>
      <c r="C568" s="98" t="s">
        <v>428</v>
      </c>
      <c r="D568" s="4" t="s">
        <v>428</v>
      </c>
      <c r="E568" s="7">
        <v>38</v>
      </c>
      <c r="F568" s="7">
        <v>96</v>
      </c>
      <c r="G568" s="4" t="s">
        <v>74</v>
      </c>
    </row>
    <row r="569" spans="1:7" ht="12.75">
      <c r="A569" s="98" t="s">
        <v>1133</v>
      </c>
      <c r="B569" s="98" t="s">
        <v>365</v>
      </c>
      <c r="C569" s="98"/>
      <c r="D569" s="4" t="s">
        <v>365</v>
      </c>
      <c r="E569" s="7">
        <v>500</v>
      </c>
      <c r="F569" s="7">
        <v>2000</v>
      </c>
      <c r="G569" s="4" t="s">
        <v>74</v>
      </c>
    </row>
    <row r="570" spans="1:7" ht="12.75">
      <c r="A570" s="98" t="s">
        <v>1134</v>
      </c>
      <c r="B570" s="98"/>
      <c r="C570" s="98" t="s">
        <v>512</v>
      </c>
      <c r="D570" s="4" t="s">
        <v>512</v>
      </c>
      <c r="E570" s="7">
        <v>5950</v>
      </c>
      <c r="F570" s="7">
        <v>10539</v>
      </c>
      <c r="G570" s="4" t="s">
        <v>74</v>
      </c>
    </row>
    <row r="571" spans="1:7" ht="12.75">
      <c r="A571" s="98" t="s">
        <v>1135</v>
      </c>
      <c r="B571" s="98"/>
      <c r="C571" s="98" t="s">
        <v>428</v>
      </c>
      <c r="D571" s="4" t="s">
        <v>428</v>
      </c>
      <c r="E571" s="7">
        <v>38</v>
      </c>
      <c r="F571" s="7">
        <v>96</v>
      </c>
      <c r="G571" s="4" t="s">
        <v>74</v>
      </c>
    </row>
    <row r="572" spans="1:7" ht="12.75">
      <c r="A572" s="98" t="s">
        <v>1136</v>
      </c>
      <c r="B572" s="98" t="s">
        <v>642</v>
      </c>
      <c r="C572" s="98"/>
      <c r="D572" s="4" t="s">
        <v>642</v>
      </c>
      <c r="E572" s="7">
        <v>20</v>
      </c>
      <c r="F572" s="7">
        <v>28</v>
      </c>
      <c r="G572" s="4" t="s">
        <v>74</v>
      </c>
    </row>
    <row r="573" spans="1:7" ht="12.75">
      <c r="A573" s="98" t="s">
        <v>1137</v>
      </c>
      <c r="B573" s="98" t="s">
        <v>1138</v>
      </c>
      <c r="C573" s="98"/>
      <c r="D573" s="4" t="s">
        <v>1138</v>
      </c>
      <c r="E573" s="7">
        <v>142</v>
      </c>
      <c r="F573" s="7">
        <v>494</v>
      </c>
      <c r="G573" s="4" t="s">
        <v>74</v>
      </c>
    </row>
    <row r="574" spans="1:7" ht="12.75">
      <c r="A574" s="98" t="s">
        <v>1139</v>
      </c>
      <c r="B574" s="98"/>
      <c r="C574" s="98" t="s">
        <v>428</v>
      </c>
      <c r="D574" s="4" t="s">
        <v>428</v>
      </c>
      <c r="E574" s="7">
        <v>38</v>
      </c>
      <c r="F574" s="7">
        <v>96</v>
      </c>
      <c r="G574" s="4" t="s">
        <v>74</v>
      </c>
    </row>
    <row r="575" spans="1:7" ht="12.75">
      <c r="A575" s="98" t="s">
        <v>1140</v>
      </c>
      <c r="B575" s="98" t="s">
        <v>1141</v>
      </c>
      <c r="C575" s="98"/>
      <c r="D575" s="4" t="s">
        <v>1141</v>
      </c>
      <c r="E575" s="7">
        <v>1476</v>
      </c>
      <c r="F575" s="7">
        <v>2013</v>
      </c>
      <c r="G575" s="4" t="s">
        <v>74</v>
      </c>
    </row>
    <row r="576" spans="1:7" ht="12.75">
      <c r="A576" s="98" t="s">
        <v>1142</v>
      </c>
      <c r="B576" s="98"/>
      <c r="C576" s="98" t="s">
        <v>428</v>
      </c>
      <c r="D576" s="4" t="s">
        <v>428</v>
      </c>
      <c r="E576" s="7">
        <v>38</v>
      </c>
      <c r="F576" s="7">
        <v>96</v>
      </c>
      <c r="G576" s="4" t="s">
        <v>74</v>
      </c>
    </row>
    <row r="577" spans="1:7" ht="12.75">
      <c r="A577" s="98" t="s">
        <v>1143</v>
      </c>
      <c r="B577" s="98"/>
      <c r="C577" s="98" t="s">
        <v>428</v>
      </c>
      <c r="D577" s="4" t="s">
        <v>428</v>
      </c>
      <c r="E577" s="7">
        <v>38</v>
      </c>
      <c r="F577" s="7">
        <v>96</v>
      </c>
      <c r="G577" s="4" t="s">
        <v>74</v>
      </c>
    </row>
    <row r="578" spans="1:7" ht="12.75">
      <c r="A578" s="98" t="s">
        <v>1144</v>
      </c>
      <c r="B578" s="98" t="s">
        <v>1145</v>
      </c>
      <c r="C578" s="98"/>
      <c r="D578" s="4" t="s">
        <v>1145</v>
      </c>
      <c r="E578" s="7">
        <v>300</v>
      </c>
      <c r="F578" s="7">
        <v>1079</v>
      </c>
      <c r="G578" s="4" t="s">
        <v>74</v>
      </c>
    </row>
    <row r="579" spans="1:7" ht="12.75">
      <c r="A579" s="98" t="s">
        <v>1146</v>
      </c>
      <c r="B579" s="98"/>
      <c r="C579" s="98" t="s">
        <v>428</v>
      </c>
      <c r="D579" s="4" t="s">
        <v>428</v>
      </c>
      <c r="E579" s="7">
        <v>38</v>
      </c>
      <c r="F579" s="7">
        <v>96</v>
      </c>
      <c r="G579" s="4" t="s">
        <v>74</v>
      </c>
    </row>
    <row r="580" spans="1:7" ht="12.75">
      <c r="A580" s="98" t="s">
        <v>1147</v>
      </c>
      <c r="B580" s="98" t="s">
        <v>1148</v>
      </c>
      <c r="C580" s="98"/>
      <c r="D580" s="4" t="s">
        <v>1148</v>
      </c>
      <c r="E580" s="7">
        <v>2200</v>
      </c>
      <c r="F580" s="7">
        <v>2200</v>
      </c>
      <c r="G580" s="4" t="s">
        <v>74</v>
      </c>
    </row>
    <row r="581" spans="1:7" ht="12.75">
      <c r="A581" s="98" t="s">
        <v>1149</v>
      </c>
      <c r="B581" s="98"/>
      <c r="C581" s="98" t="s">
        <v>428</v>
      </c>
      <c r="D581" s="4" t="s">
        <v>428</v>
      </c>
      <c r="E581" s="7">
        <v>38</v>
      </c>
      <c r="F581" s="7">
        <v>96</v>
      </c>
      <c r="G581" s="4" t="s">
        <v>74</v>
      </c>
    </row>
    <row r="582" spans="1:7" ht="12.75">
      <c r="A582" s="98" t="s">
        <v>1150</v>
      </c>
      <c r="B582" s="98" t="s">
        <v>1151</v>
      </c>
      <c r="C582" s="98"/>
      <c r="D582" s="4" t="s">
        <v>1151</v>
      </c>
      <c r="E582" s="7">
        <v>497</v>
      </c>
      <c r="F582" s="7">
        <v>497</v>
      </c>
      <c r="G582" s="4" t="s">
        <v>74</v>
      </c>
    </row>
    <row r="583" spans="1:7" ht="12.75">
      <c r="A583" s="98" t="s">
        <v>1152</v>
      </c>
      <c r="B583" s="98"/>
      <c r="C583" s="98" t="s">
        <v>428</v>
      </c>
      <c r="D583" s="4" t="s">
        <v>428</v>
      </c>
      <c r="E583" s="7">
        <v>38</v>
      </c>
      <c r="F583" s="7">
        <v>96</v>
      </c>
      <c r="G583" s="4" t="s">
        <v>74</v>
      </c>
    </row>
    <row r="584" spans="1:7" ht="12.75">
      <c r="A584" s="98" t="s">
        <v>1153</v>
      </c>
      <c r="B584" s="98" t="s">
        <v>1154</v>
      </c>
      <c r="C584" s="98"/>
      <c r="D584" s="4" t="s">
        <v>1154</v>
      </c>
      <c r="E584" s="7">
        <v>13636</v>
      </c>
      <c r="F584" s="7">
        <v>13636</v>
      </c>
      <c r="G584" s="4" t="s">
        <v>74</v>
      </c>
    </row>
    <row r="585" spans="1:7" ht="12.75">
      <c r="A585" s="98" t="s">
        <v>1155</v>
      </c>
      <c r="B585" s="98" t="s">
        <v>1156</v>
      </c>
      <c r="C585" s="98"/>
      <c r="D585" s="4" t="s">
        <v>1156</v>
      </c>
      <c r="E585" s="7">
        <v>18140</v>
      </c>
      <c r="F585" s="7">
        <v>27220</v>
      </c>
      <c r="G585" s="4" t="s">
        <v>74</v>
      </c>
    </row>
    <row r="586" spans="1:7" ht="12.75">
      <c r="A586" s="98" t="s">
        <v>1157</v>
      </c>
      <c r="B586" s="98" t="s">
        <v>1158</v>
      </c>
      <c r="C586" s="98"/>
      <c r="D586" s="4" t="s">
        <v>1158</v>
      </c>
      <c r="E586" s="7">
        <v>1711</v>
      </c>
      <c r="F586" s="7">
        <v>1711</v>
      </c>
      <c r="G586" s="4" t="s">
        <v>74</v>
      </c>
    </row>
    <row r="587" spans="1:7" ht="12.75">
      <c r="A587" s="98" t="s">
        <v>1159</v>
      </c>
      <c r="B587" s="98"/>
      <c r="C587" s="98" t="s">
        <v>428</v>
      </c>
      <c r="D587" s="4" t="s">
        <v>428</v>
      </c>
      <c r="E587" s="7">
        <v>38</v>
      </c>
      <c r="F587" s="7">
        <v>96</v>
      </c>
      <c r="G587" s="4" t="s">
        <v>74</v>
      </c>
    </row>
    <row r="588" spans="1:7" ht="12.75">
      <c r="A588" s="98" t="s">
        <v>1160</v>
      </c>
      <c r="B588" s="98"/>
      <c r="C588" s="98" t="s">
        <v>428</v>
      </c>
      <c r="D588" s="4" t="s">
        <v>428</v>
      </c>
      <c r="E588" s="7">
        <v>38</v>
      </c>
      <c r="F588" s="7">
        <v>96</v>
      </c>
      <c r="G588" s="4" t="s">
        <v>74</v>
      </c>
    </row>
    <row r="589" spans="1:7" ht="12.75">
      <c r="A589" s="98" t="s">
        <v>1161</v>
      </c>
      <c r="B589" s="98"/>
      <c r="C589" s="98" t="s">
        <v>428</v>
      </c>
      <c r="D589" s="4" t="s">
        <v>428</v>
      </c>
      <c r="E589" s="7">
        <v>38</v>
      </c>
      <c r="F589" s="7">
        <v>96</v>
      </c>
      <c r="G589" s="4" t="s">
        <v>74</v>
      </c>
    </row>
    <row r="590" spans="1:7" ht="12.75">
      <c r="A590" s="98" t="s">
        <v>1162</v>
      </c>
      <c r="B590" s="98"/>
      <c r="C590" s="98" t="s">
        <v>428</v>
      </c>
      <c r="D590" s="4" t="s">
        <v>428</v>
      </c>
      <c r="E590" s="7">
        <v>38</v>
      </c>
      <c r="F590" s="7">
        <v>96</v>
      </c>
      <c r="G590" s="4" t="s">
        <v>74</v>
      </c>
    </row>
    <row r="591" spans="1:7" ht="12.75">
      <c r="A591" s="98" t="s">
        <v>1163</v>
      </c>
      <c r="B591" s="98" t="s">
        <v>1164</v>
      </c>
      <c r="C591" s="98"/>
      <c r="D591" s="4" t="s">
        <v>1164</v>
      </c>
      <c r="E591" s="7">
        <v>8182</v>
      </c>
      <c r="F591" s="7">
        <v>27300</v>
      </c>
      <c r="G591" s="4" t="s">
        <v>74</v>
      </c>
    </row>
    <row r="592" spans="1:7" ht="12.75">
      <c r="A592" s="98" t="s">
        <v>1165</v>
      </c>
      <c r="B592" s="98" t="s">
        <v>1166</v>
      </c>
      <c r="C592" s="98"/>
      <c r="D592" s="4" t="s">
        <v>1166</v>
      </c>
      <c r="E592" s="7">
        <v>40</v>
      </c>
      <c r="F592" s="7">
        <v>55</v>
      </c>
      <c r="G592" s="4" t="s">
        <v>74</v>
      </c>
    </row>
    <row r="593" spans="1:7" ht="12.75">
      <c r="A593" s="98" t="s">
        <v>1167</v>
      </c>
      <c r="B593" s="98"/>
      <c r="C593" s="98" t="s">
        <v>428</v>
      </c>
      <c r="D593" s="4" t="s">
        <v>428</v>
      </c>
      <c r="E593" s="7">
        <v>38</v>
      </c>
      <c r="F593" s="7">
        <v>96</v>
      </c>
      <c r="G593" s="4" t="s">
        <v>74</v>
      </c>
    </row>
    <row r="594" spans="1:7" ht="12.75">
      <c r="A594" s="98" t="s">
        <v>1168</v>
      </c>
      <c r="B594" s="98"/>
      <c r="C594" s="98" t="s">
        <v>428</v>
      </c>
      <c r="D594" s="4" t="s">
        <v>428</v>
      </c>
      <c r="E594" s="7">
        <v>38</v>
      </c>
      <c r="F594" s="7">
        <v>96</v>
      </c>
      <c r="G594" s="4" t="s">
        <v>74</v>
      </c>
    </row>
    <row r="595" spans="1:7" ht="12.75">
      <c r="A595" s="98" t="s">
        <v>1169</v>
      </c>
      <c r="B595" s="98"/>
      <c r="C595" s="98" t="s">
        <v>428</v>
      </c>
      <c r="D595" s="4" t="s">
        <v>428</v>
      </c>
      <c r="E595" s="7">
        <v>38</v>
      </c>
      <c r="F595" s="7">
        <v>96</v>
      </c>
      <c r="G595" s="4" t="s">
        <v>74</v>
      </c>
    </row>
    <row r="596" spans="1:7" ht="12.75">
      <c r="A596" s="98" t="s">
        <v>1170</v>
      </c>
      <c r="B596" s="98"/>
      <c r="C596" s="98" t="s">
        <v>428</v>
      </c>
      <c r="D596" s="4" t="s">
        <v>428</v>
      </c>
      <c r="E596" s="7">
        <v>38</v>
      </c>
      <c r="F596" s="7">
        <v>96</v>
      </c>
      <c r="G596" s="4" t="s">
        <v>74</v>
      </c>
    </row>
    <row r="597" spans="1:7" ht="12.75">
      <c r="A597" s="98" t="s">
        <v>1171</v>
      </c>
      <c r="B597" s="98"/>
      <c r="C597" s="98" t="s">
        <v>428</v>
      </c>
      <c r="D597" s="4" t="s">
        <v>428</v>
      </c>
      <c r="E597" s="7">
        <v>38</v>
      </c>
      <c r="F597" s="7">
        <v>96</v>
      </c>
      <c r="G597" s="4" t="s">
        <v>74</v>
      </c>
    </row>
    <row r="598" spans="1:7" ht="12.75">
      <c r="A598" s="98" t="s">
        <v>1172</v>
      </c>
      <c r="B598" s="98" t="s">
        <v>517</v>
      </c>
      <c r="C598" s="98"/>
      <c r="D598" s="4" t="s">
        <v>517</v>
      </c>
      <c r="E598" s="7">
        <v>2000</v>
      </c>
      <c r="F598" s="7">
        <v>2000</v>
      </c>
      <c r="G598" s="4" t="s">
        <v>74</v>
      </c>
    </row>
    <row r="599" spans="1:7" ht="12.75">
      <c r="A599" s="98" t="s">
        <v>1173</v>
      </c>
      <c r="B599" s="98"/>
      <c r="C599" s="98" t="s">
        <v>428</v>
      </c>
      <c r="D599" s="4" t="s">
        <v>428</v>
      </c>
      <c r="E599" s="7">
        <v>38</v>
      </c>
      <c r="F599" s="7">
        <v>96</v>
      </c>
      <c r="G599" s="4" t="s">
        <v>74</v>
      </c>
    </row>
    <row r="600" spans="1:7" ht="12.75">
      <c r="A600" s="98" t="s">
        <v>1174</v>
      </c>
      <c r="B600" s="98"/>
      <c r="C600" s="98" t="s">
        <v>428</v>
      </c>
      <c r="D600" s="4" t="s">
        <v>428</v>
      </c>
      <c r="E600" s="7">
        <v>38</v>
      </c>
      <c r="F600" s="7">
        <v>96</v>
      </c>
      <c r="G600" s="4" t="s">
        <v>74</v>
      </c>
    </row>
    <row r="601" spans="1:7" ht="12.75">
      <c r="A601" s="98" t="s">
        <v>1175</v>
      </c>
      <c r="B601" s="98" t="s">
        <v>1176</v>
      </c>
      <c r="C601" s="98"/>
      <c r="D601" s="4" t="s">
        <v>1176</v>
      </c>
      <c r="E601" s="7">
        <v>67</v>
      </c>
      <c r="F601" s="7">
        <v>247</v>
      </c>
      <c r="G601" s="4" t="s">
        <v>74</v>
      </c>
    </row>
    <row r="602" spans="1:7" ht="12.75">
      <c r="A602" s="98" t="s">
        <v>1177</v>
      </c>
      <c r="B602" s="98"/>
      <c r="C602" s="98" t="s">
        <v>428</v>
      </c>
      <c r="D602" s="4" t="s">
        <v>428</v>
      </c>
      <c r="E602" s="7">
        <v>38</v>
      </c>
      <c r="F602" s="7">
        <v>96</v>
      </c>
      <c r="G602" s="4" t="s">
        <v>74</v>
      </c>
    </row>
    <row r="603" spans="1:7" ht="12.75">
      <c r="A603" s="98" t="s">
        <v>1178</v>
      </c>
      <c r="B603" s="98"/>
      <c r="C603" s="98" t="s">
        <v>396</v>
      </c>
      <c r="D603" s="4" t="s">
        <v>396</v>
      </c>
      <c r="E603" s="7">
        <v>38</v>
      </c>
      <c r="F603" s="7">
        <v>97</v>
      </c>
      <c r="G603" s="4" t="s">
        <v>74</v>
      </c>
    </row>
    <row r="604" spans="1:7" ht="12.75">
      <c r="A604" s="98" t="s">
        <v>1179</v>
      </c>
      <c r="B604" s="98"/>
      <c r="C604" s="98" t="s">
        <v>428</v>
      </c>
      <c r="D604" s="4" t="s">
        <v>428</v>
      </c>
      <c r="E604" s="7">
        <v>38</v>
      </c>
      <c r="F604" s="7">
        <v>96</v>
      </c>
      <c r="G604" s="4" t="s">
        <v>74</v>
      </c>
    </row>
    <row r="605" spans="1:7" ht="12.75">
      <c r="A605" s="98" t="s">
        <v>1180</v>
      </c>
      <c r="B605" s="98"/>
      <c r="C605" s="98" t="s">
        <v>428</v>
      </c>
      <c r="D605" s="4" t="s">
        <v>428</v>
      </c>
      <c r="E605" s="7">
        <v>38</v>
      </c>
      <c r="F605" s="7">
        <v>96</v>
      </c>
      <c r="G605" s="4" t="s">
        <v>74</v>
      </c>
    </row>
    <row r="606" spans="1:7" ht="12.75">
      <c r="A606" s="98" t="s">
        <v>1181</v>
      </c>
      <c r="B606" s="98" t="s">
        <v>1182</v>
      </c>
      <c r="C606" s="98"/>
      <c r="D606" s="4" t="s">
        <v>1182</v>
      </c>
      <c r="E606" s="7">
        <v>6820</v>
      </c>
      <c r="F606" s="7">
        <v>15900</v>
      </c>
      <c r="G606" s="4" t="s">
        <v>74</v>
      </c>
    </row>
    <row r="607" spans="1:7" ht="12.75">
      <c r="A607" s="98" t="s">
        <v>1183</v>
      </c>
      <c r="B607" s="98"/>
      <c r="C607" s="98" t="s">
        <v>428</v>
      </c>
      <c r="D607" s="4" t="s">
        <v>428</v>
      </c>
      <c r="E607" s="7">
        <v>38</v>
      </c>
      <c r="F607" s="7">
        <v>96</v>
      </c>
      <c r="G607" s="4" t="s">
        <v>74</v>
      </c>
    </row>
    <row r="608" spans="1:7" ht="12.75">
      <c r="A608" s="98" t="s">
        <v>1184</v>
      </c>
      <c r="B608" s="98"/>
      <c r="C608" s="98" t="s">
        <v>428</v>
      </c>
      <c r="D608" s="4" t="s">
        <v>428</v>
      </c>
      <c r="E608" s="7">
        <v>38</v>
      </c>
      <c r="F608" s="7">
        <v>96</v>
      </c>
      <c r="G608" s="4" t="s">
        <v>74</v>
      </c>
    </row>
    <row r="609" spans="1:7" ht="12.75">
      <c r="A609" s="98" t="s">
        <v>1185</v>
      </c>
      <c r="B609" s="98"/>
      <c r="C609" s="98" t="s">
        <v>428</v>
      </c>
      <c r="D609" s="4" t="s">
        <v>428</v>
      </c>
      <c r="E609" s="7">
        <v>38</v>
      </c>
      <c r="F609" s="7">
        <v>96</v>
      </c>
      <c r="G609" s="4" t="s">
        <v>74</v>
      </c>
    </row>
    <row r="610" spans="1:7" ht="12.75">
      <c r="A610" s="98" t="s">
        <v>1186</v>
      </c>
      <c r="B610" s="98"/>
      <c r="C610" s="98" t="s">
        <v>428</v>
      </c>
      <c r="D610" s="4" t="s">
        <v>428</v>
      </c>
      <c r="E610" s="7">
        <v>38</v>
      </c>
      <c r="F610" s="7">
        <v>96</v>
      </c>
      <c r="G610" s="4" t="s">
        <v>74</v>
      </c>
    </row>
    <row r="611" spans="1:7" ht="12.75">
      <c r="A611" s="98" t="s">
        <v>1187</v>
      </c>
      <c r="B611" s="98"/>
      <c r="C611" s="98" t="s">
        <v>428</v>
      </c>
      <c r="D611" s="4" t="s">
        <v>428</v>
      </c>
      <c r="E611" s="7">
        <v>38</v>
      </c>
      <c r="F611" s="7">
        <v>96</v>
      </c>
      <c r="G611" s="4" t="s">
        <v>74</v>
      </c>
    </row>
    <row r="612" spans="1:7" ht="12.75">
      <c r="A612" s="98" t="s">
        <v>1188</v>
      </c>
      <c r="B612" s="98"/>
      <c r="C612" s="98" t="s">
        <v>512</v>
      </c>
      <c r="D612" s="4" t="s">
        <v>512</v>
      </c>
      <c r="E612" s="7">
        <v>5950</v>
      </c>
      <c r="F612" s="7">
        <v>10539</v>
      </c>
      <c r="G612" s="4" t="s">
        <v>74</v>
      </c>
    </row>
    <row r="613" spans="1:7" ht="12.75">
      <c r="A613" s="98" t="s">
        <v>1189</v>
      </c>
      <c r="B613" s="98"/>
      <c r="C613" s="98" t="s">
        <v>428</v>
      </c>
      <c r="D613" s="4" t="s">
        <v>428</v>
      </c>
      <c r="E613" s="7">
        <v>38</v>
      </c>
      <c r="F613" s="7">
        <v>96</v>
      </c>
      <c r="G613" s="4" t="s">
        <v>74</v>
      </c>
    </row>
    <row r="614" spans="1:7" ht="12.75">
      <c r="A614" s="98" t="s">
        <v>1190</v>
      </c>
      <c r="B614" s="98"/>
      <c r="C614" s="98" t="s">
        <v>428</v>
      </c>
      <c r="D614" s="4" t="s">
        <v>428</v>
      </c>
      <c r="E614" s="7">
        <v>38</v>
      </c>
      <c r="F614" s="7">
        <v>96</v>
      </c>
      <c r="G614" s="4" t="s">
        <v>74</v>
      </c>
    </row>
    <row r="615" spans="1:7" ht="12.75">
      <c r="A615" s="98" t="s">
        <v>1191</v>
      </c>
      <c r="B615" s="98"/>
      <c r="C615" s="98" t="s">
        <v>428</v>
      </c>
      <c r="D615" s="4" t="s">
        <v>428</v>
      </c>
      <c r="E615" s="7">
        <v>38</v>
      </c>
      <c r="F615" s="7">
        <v>96</v>
      </c>
      <c r="G615" s="4" t="s">
        <v>74</v>
      </c>
    </row>
    <row r="616" spans="1:7" ht="12.75">
      <c r="A616" s="98" t="s">
        <v>1192</v>
      </c>
      <c r="B616" s="98" t="s">
        <v>1193</v>
      </c>
      <c r="C616" s="98"/>
      <c r="D616" s="4" t="s">
        <v>1193</v>
      </c>
      <c r="E616" s="7">
        <v>775</v>
      </c>
      <c r="F616" s="7">
        <v>3521</v>
      </c>
      <c r="G616" s="4" t="s">
        <v>74</v>
      </c>
    </row>
    <row r="617" spans="1:7" ht="12.75">
      <c r="A617" s="98" t="s">
        <v>1194</v>
      </c>
      <c r="B617" s="98" t="s">
        <v>1195</v>
      </c>
      <c r="C617" s="98"/>
      <c r="D617" s="4" t="s">
        <v>1195</v>
      </c>
      <c r="E617" s="7">
        <v>3900</v>
      </c>
      <c r="F617" s="7">
        <v>3900</v>
      </c>
      <c r="G617" s="4" t="s">
        <v>74</v>
      </c>
    </row>
    <row r="618" spans="1:7" ht="12.75">
      <c r="A618" s="98" t="s">
        <v>1196</v>
      </c>
      <c r="B618" s="98" t="s">
        <v>1197</v>
      </c>
      <c r="C618" s="98"/>
      <c r="D618" s="4" t="s">
        <v>1197</v>
      </c>
      <c r="E618" s="7">
        <v>56</v>
      </c>
      <c r="F618" s="7">
        <v>64</v>
      </c>
      <c r="G618" s="4" t="s">
        <v>74</v>
      </c>
    </row>
    <row r="619" spans="1:7" ht="12.75">
      <c r="A619" s="98" t="s">
        <v>1198</v>
      </c>
      <c r="B619" s="98"/>
      <c r="C619" s="98" t="s">
        <v>428</v>
      </c>
      <c r="D619" s="4" t="s">
        <v>428</v>
      </c>
      <c r="E619" s="7">
        <v>38</v>
      </c>
      <c r="F619" s="7">
        <v>96</v>
      </c>
      <c r="G619" s="4" t="s">
        <v>74</v>
      </c>
    </row>
    <row r="620" spans="1:7" ht="12.75">
      <c r="A620" s="98" t="s">
        <v>1199</v>
      </c>
      <c r="B620" s="98"/>
      <c r="C620" s="98" t="s">
        <v>428</v>
      </c>
      <c r="D620" s="4" t="s">
        <v>428</v>
      </c>
      <c r="E620" s="7">
        <v>38</v>
      </c>
      <c r="F620" s="7">
        <v>96</v>
      </c>
      <c r="G620" s="4" t="s">
        <v>74</v>
      </c>
    </row>
    <row r="621" spans="1:7" ht="12.75">
      <c r="A621" s="98" t="s">
        <v>1200</v>
      </c>
      <c r="B621" s="98" t="s">
        <v>1201</v>
      </c>
      <c r="C621" s="98"/>
      <c r="D621" s="4" t="s">
        <v>1201</v>
      </c>
      <c r="E621" s="7">
        <v>333</v>
      </c>
      <c r="F621" s="7">
        <v>333</v>
      </c>
      <c r="G621" s="4" t="s">
        <v>74</v>
      </c>
    </row>
    <row r="622" spans="1:7" ht="12.75">
      <c r="A622" s="98" t="s">
        <v>1202</v>
      </c>
      <c r="B622" s="98"/>
      <c r="C622" s="98" t="s">
        <v>428</v>
      </c>
      <c r="D622" s="4" t="s">
        <v>428</v>
      </c>
      <c r="E622" s="7">
        <v>38</v>
      </c>
      <c r="F622" s="7">
        <v>96</v>
      </c>
      <c r="G622" s="4" t="s">
        <v>74</v>
      </c>
    </row>
    <row r="623" spans="1:7" ht="12.75">
      <c r="A623" s="98" t="s">
        <v>1203</v>
      </c>
      <c r="B623" s="98"/>
      <c r="C623" s="98" t="s">
        <v>428</v>
      </c>
      <c r="D623" s="4" t="s">
        <v>428</v>
      </c>
      <c r="E623" s="7">
        <v>38</v>
      </c>
      <c r="F623" s="7">
        <v>96</v>
      </c>
      <c r="G623" s="4" t="s">
        <v>74</v>
      </c>
    </row>
    <row r="624" spans="1:7" ht="12.75">
      <c r="A624" s="98" t="s">
        <v>1204</v>
      </c>
      <c r="B624" s="98" t="s">
        <v>1205</v>
      </c>
      <c r="C624" s="98"/>
      <c r="D624" s="4" t="s">
        <v>1205</v>
      </c>
      <c r="E624" s="7">
        <v>3475</v>
      </c>
      <c r="F624" s="7">
        <v>3475</v>
      </c>
      <c r="G624" s="4" t="s">
        <v>74</v>
      </c>
    </row>
    <row r="625" spans="1:7" ht="12.75">
      <c r="A625" s="98" t="s">
        <v>1206</v>
      </c>
      <c r="B625" s="98"/>
      <c r="C625" s="98" t="s">
        <v>428</v>
      </c>
      <c r="D625" s="4" t="s">
        <v>428</v>
      </c>
      <c r="E625" s="7">
        <v>38</v>
      </c>
      <c r="F625" s="7">
        <v>96</v>
      </c>
      <c r="G625" s="4" t="s">
        <v>74</v>
      </c>
    </row>
    <row r="626" spans="1:7" ht="12.75">
      <c r="A626" s="98" t="s">
        <v>1207</v>
      </c>
      <c r="B626" s="98"/>
      <c r="C626" s="98" t="s">
        <v>428</v>
      </c>
      <c r="D626" s="4" t="s">
        <v>428</v>
      </c>
      <c r="E626" s="7">
        <v>38</v>
      </c>
      <c r="F626" s="7">
        <v>96</v>
      </c>
      <c r="G626" s="4" t="s">
        <v>74</v>
      </c>
    </row>
    <row r="627" spans="1:7" ht="12.75">
      <c r="A627" s="98" t="s">
        <v>1208</v>
      </c>
      <c r="B627" s="98"/>
      <c r="C627" s="98" t="s">
        <v>428</v>
      </c>
      <c r="D627" s="4" t="s">
        <v>428</v>
      </c>
      <c r="E627" s="7">
        <v>38</v>
      </c>
      <c r="F627" s="7">
        <v>96</v>
      </c>
      <c r="G627" s="4" t="s">
        <v>74</v>
      </c>
    </row>
    <row r="628" spans="1:7" ht="12.75">
      <c r="A628" s="98" t="s">
        <v>1209</v>
      </c>
      <c r="B628" s="98"/>
      <c r="C628" s="98" t="s">
        <v>428</v>
      </c>
      <c r="D628" s="4" t="s">
        <v>428</v>
      </c>
      <c r="E628" s="7">
        <v>38</v>
      </c>
      <c r="F628" s="7">
        <v>96</v>
      </c>
      <c r="G628" s="4" t="s">
        <v>74</v>
      </c>
    </row>
    <row r="629" spans="1:7" ht="12.75">
      <c r="A629" s="98" t="s">
        <v>1210</v>
      </c>
      <c r="B629" s="98"/>
      <c r="C629" s="98" t="s">
        <v>428</v>
      </c>
      <c r="D629" s="4" t="s">
        <v>428</v>
      </c>
      <c r="E629" s="7">
        <v>38</v>
      </c>
      <c r="F629" s="7">
        <v>96</v>
      </c>
      <c r="G629" s="4" t="s">
        <v>74</v>
      </c>
    </row>
    <row r="630" spans="1:7" ht="12.75">
      <c r="A630" s="98" t="s">
        <v>1211</v>
      </c>
      <c r="B630" s="98"/>
      <c r="C630" s="98" t="s">
        <v>428</v>
      </c>
      <c r="D630" s="4" t="s">
        <v>428</v>
      </c>
      <c r="E630" s="7">
        <v>38</v>
      </c>
      <c r="F630" s="7">
        <v>96</v>
      </c>
      <c r="G630" s="4" t="s">
        <v>74</v>
      </c>
    </row>
    <row r="631" spans="1:7" ht="12.75">
      <c r="A631" s="98" t="s">
        <v>1212</v>
      </c>
      <c r="B631" s="98"/>
      <c r="C631" s="98" t="s">
        <v>428</v>
      </c>
      <c r="D631" s="4" t="s">
        <v>428</v>
      </c>
      <c r="E631" s="7">
        <v>38</v>
      </c>
      <c r="F631" s="7">
        <v>96</v>
      </c>
      <c r="G631" s="4" t="s">
        <v>74</v>
      </c>
    </row>
    <row r="632" spans="1:7" ht="12.75">
      <c r="A632" s="98" t="s">
        <v>1213</v>
      </c>
      <c r="B632" s="98"/>
      <c r="C632" s="98" t="s">
        <v>512</v>
      </c>
      <c r="D632" s="4" t="s">
        <v>512</v>
      </c>
      <c r="E632" s="7">
        <v>5950</v>
      </c>
      <c r="F632" s="7">
        <v>10539</v>
      </c>
      <c r="G632" s="4" t="s">
        <v>74</v>
      </c>
    </row>
    <row r="633" spans="1:7" ht="12.75">
      <c r="A633" s="98" t="s">
        <v>1214</v>
      </c>
      <c r="B633" s="98"/>
      <c r="C633" s="98" t="s">
        <v>428</v>
      </c>
      <c r="D633" s="4" t="s">
        <v>428</v>
      </c>
      <c r="E633" s="7">
        <v>38</v>
      </c>
      <c r="F633" s="7">
        <v>96</v>
      </c>
      <c r="G633" s="4" t="s">
        <v>74</v>
      </c>
    </row>
    <row r="634" spans="1:7" ht="12.75">
      <c r="A634" s="98" t="s">
        <v>1215</v>
      </c>
      <c r="B634" s="98" t="s">
        <v>1216</v>
      </c>
      <c r="C634" s="98"/>
      <c r="D634" s="4" t="s">
        <v>1216</v>
      </c>
      <c r="E634" s="7">
        <v>66</v>
      </c>
      <c r="F634" s="7">
        <v>324</v>
      </c>
      <c r="G634" s="4" t="s">
        <v>74</v>
      </c>
    </row>
    <row r="635" spans="1:7" ht="12.75">
      <c r="A635" s="98" t="s">
        <v>1217</v>
      </c>
      <c r="B635" s="98"/>
      <c r="C635" s="98" t="s">
        <v>1218</v>
      </c>
      <c r="D635" s="4" t="s">
        <v>1218</v>
      </c>
      <c r="E635" s="7">
        <v>1155</v>
      </c>
      <c r="F635" s="7">
        <v>1575</v>
      </c>
      <c r="G635" s="4" t="s">
        <v>74</v>
      </c>
    </row>
    <row r="636" spans="1:7" ht="12.75">
      <c r="A636" s="98" t="s">
        <v>1219</v>
      </c>
      <c r="B636" s="98" t="s">
        <v>1220</v>
      </c>
      <c r="C636" s="98"/>
      <c r="D636" s="4" t="s">
        <v>1220</v>
      </c>
      <c r="E636" s="7">
        <v>6080</v>
      </c>
      <c r="F636" s="7">
        <v>6080</v>
      </c>
      <c r="G636" s="4" t="s">
        <v>74</v>
      </c>
    </row>
    <row r="637" spans="1:7" ht="12.75">
      <c r="A637" s="98" t="s">
        <v>1221</v>
      </c>
      <c r="B637" s="98" t="s">
        <v>1222</v>
      </c>
      <c r="C637" s="98"/>
      <c r="D637" s="4" t="s">
        <v>1222</v>
      </c>
      <c r="E637" s="7">
        <v>660</v>
      </c>
      <c r="F637" s="7">
        <v>26000</v>
      </c>
      <c r="G637" s="4" t="s">
        <v>74</v>
      </c>
    </row>
    <row r="638" spans="1:7" ht="12.75">
      <c r="A638" s="98" t="s">
        <v>1223</v>
      </c>
      <c r="B638" s="98"/>
      <c r="C638" s="98" t="s">
        <v>428</v>
      </c>
      <c r="D638" s="4" t="s">
        <v>428</v>
      </c>
      <c r="E638" s="7">
        <v>38</v>
      </c>
      <c r="F638" s="7">
        <v>96</v>
      </c>
      <c r="G638" s="4" t="s">
        <v>74</v>
      </c>
    </row>
    <row r="639" spans="1:7" ht="12.75">
      <c r="A639" s="98" t="s">
        <v>1224</v>
      </c>
      <c r="B639" s="98" t="s">
        <v>1225</v>
      </c>
      <c r="C639" s="98"/>
      <c r="D639" s="4" t="s">
        <v>1225</v>
      </c>
      <c r="E639" s="7">
        <v>2720</v>
      </c>
      <c r="F639" s="7">
        <v>2720</v>
      </c>
      <c r="G639" s="4" t="s">
        <v>74</v>
      </c>
    </row>
    <row r="640" spans="1:7" ht="12.75">
      <c r="A640" s="98" t="s">
        <v>1226</v>
      </c>
      <c r="B640" s="98"/>
      <c r="C640" s="98" t="s">
        <v>428</v>
      </c>
      <c r="D640" s="4" t="s">
        <v>428</v>
      </c>
      <c r="E640" s="7">
        <v>38</v>
      </c>
      <c r="F640" s="7">
        <v>96</v>
      </c>
      <c r="G640" s="4" t="s">
        <v>74</v>
      </c>
    </row>
    <row r="641" spans="1:7" ht="12.75">
      <c r="A641" s="98" t="s">
        <v>1227</v>
      </c>
      <c r="B641" s="98"/>
      <c r="C641" s="98" t="s">
        <v>512</v>
      </c>
      <c r="D641" s="4" t="s">
        <v>512</v>
      </c>
      <c r="E641" s="7">
        <v>5950</v>
      </c>
      <c r="F641" s="7">
        <v>10539</v>
      </c>
      <c r="G641" s="4" t="s">
        <v>74</v>
      </c>
    </row>
    <row r="642" spans="1:7" ht="12.75">
      <c r="A642" s="98" t="s">
        <v>1228</v>
      </c>
      <c r="B642" s="98"/>
      <c r="C642" s="98" t="s">
        <v>428</v>
      </c>
      <c r="D642" s="4" t="s">
        <v>428</v>
      </c>
      <c r="E642" s="7">
        <v>38</v>
      </c>
      <c r="F642" s="7">
        <v>96</v>
      </c>
      <c r="G642" s="4" t="s">
        <v>74</v>
      </c>
    </row>
    <row r="643" spans="1:7" ht="12.75">
      <c r="A643" s="98" t="s">
        <v>1229</v>
      </c>
      <c r="B643" s="99" t="s">
        <v>494</v>
      </c>
      <c r="C643" s="98"/>
      <c r="D643" s="4" t="s">
        <v>494</v>
      </c>
      <c r="E643" s="7">
        <v>10</v>
      </c>
      <c r="F643" s="7">
        <v>10</v>
      </c>
      <c r="G643" s="4" t="s">
        <v>74</v>
      </c>
    </row>
    <row r="644" spans="1:7" ht="12.75">
      <c r="A644" s="98" t="s">
        <v>1230</v>
      </c>
      <c r="B644" s="98"/>
      <c r="C644" s="98" t="s">
        <v>428</v>
      </c>
      <c r="D644" s="4" t="s">
        <v>428</v>
      </c>
      <c r="E644" s="7">
        <v>38</v>
      </c>
      <c r="F644" s="7">
        <v>96</v>
      </c>
      <c r="G644" s="4" t="s">
        <v>74</v>
      </c>
    </row>
    <row r="645" spans="1:7" ht="12.75">
      <c r="A645" s="98" t="s">
        <v>1231</v>
      </c>
      <c r="B645" s="98"/>
      <c r="C645" s="98" t="s">
        <v>428</v>
      </c>
      <c r="D645" s="4" t="s">
        <v>428</v>
      </c>
      <c r="E645" s="7">
        <v>38</v>
      </c>
      <c r="F645" s="7">
        <v>96</v>
      </c>
      <c r="G645" s="4" t="s">
        <v>74</v>
      </c>
    </row>
    <row r="646" spans="1:7" ht="12.75">
      <c r="A646" s="98" t="s">
        <v>325</v>
      </c>
      <c r="B646" s="98" t="s">
        <v>734</v>
      </c>
      <c r="C646" s="98"/>
      <c r="D646" s="4" t="s">
        <v>734</v>
      </c>
      <c r="E646" s="7">
        <v>4500</v>
      </c>
      <c r="F646" s="7">
        <v>4500</v>
      </c>
      <c r="G646" s="4" t="s">
        <v>74</v>
      </c>
    </row>
    <row r="647" spans="1:7" ht="12.75">
      <c r="A647" s="98" t="s">
        <v>1232</v>
      </c>
      <c r="B647" s="98"/>
      <c r="C647" s="98" t="s">
        <v>428</v>
      </c>
      <c r="D647" s="4" t="s">
        <v>428</v>
      </c>
      <c r="E647" s="7">
        <v>38</v>
      </c>
      <c r="F647" s="7">
        <v>96</v>
      </c>
      <c r="G647" s="4" t="s">
        <v>74</v>
      </c>
    </row>
    <row r="648" spans="1:7" ht="12.75">
      <c r="A648" s="98" t="s">
        <v>1233</v>
      </c>
      <c r="B648" s="98"/>
      <c r="C648" s="98" t="s">
        <v>428</v>
      </c>
      <c r="D648" s="4" t="s">
        <v>428</v>
      </c>
      <c r="E648" s="7">
        <v>38</v>
      </c>
      <c r="F648" s="7">
        <v>96</v>
      </c>
      <c r="G648" s="4" t="s">
        <v>74</v>
      </c>
    </row>
    <row r="649" spans="1:7" ht="12.75">
      <c r="A649" s="98" t="s">
        <v>1234</v>
      </c>
      <c r="B649" s="98"/>
      <c r="C649" s="98" t="s">
        <v>428</v>
      </c>
      <c r="D649" s="4" t="s">
        <v>428</v>
      </c>
      <c r="E649" s="7">
        <v>38</v>
      </c>
      <c r="F649" s="7">
        <v>96</v>
      </c>
      <c r="G649" s="4" t="s">
        <v>74</v>
      </c>
    </row>
    <row r="650" spans="1:7" ht="12.75">
      <c r="A650" s="98" t="s">
        <v>1235</v>
      </c>
      <c r="B650" s="98" t="s">
        <v>566</v>
      </c>
      <c r="C650" s="98"/>
      <c r="D650" s="4" t="s">
        <v>566</v>
      </c>
      <c r="E650" s="7">
        <v>909</v>
      </c>
      <c r="F650" s="7">
        <v>1364</v>
      </c>
      <c r="G650" s="4" t="s">
        <v>74</v>
      </c>
    </row>
    <row r="651" spans="1:7" ht="12.75">
      <c r="A651" s="98" t="s">
        <v>1236</v>
      </c>
      <c r="B651" s="98" t="s">
        <v>1237</v>
      </c>
      <c r="C651" s="98"/>
      <c r="D651" s="4" t="s">
        <v>1237</v>
      </c>
      <c r="E651" s="7">
        <v>9072</v>
      </c>
      <c r="F651" s="7">
        <v>13608</v>
      </c>
      <c r="G651" s="4" t="s">
        <v>74</v>
      </c>
    </row>
    <row r="652" spans="1:7" ht="12.75">
      <c r="A652" s="98" t="s">
        <v>335</v>
      </c>
      <c r="B652" s="98" t="s">
        <v>1238</v>
      </c>
      <c r="C652" s="98"/>
      <c r="D652" s="4" t="s">
        <v>1238</v>
      </c>
      <c r="E652" s="7">
        <v>500</v>
      </c>
      <c r="F652" s="7">
        <v>5000</v>
      </c>
      <c r="G652" s="4" t="s">
        <v>74</v>
      </c>
    </row>
    <row r="653" spans="1:7" ht="12.75">
      <c r="A653" s="98" t="s">
        <v>1239</v>
      </c>
      <c r="B653" s="98"/>
      <c r="C653" s="98" t="s">
        <v>428</v>
      </c>
      <c r="D653" s="4" t="s">
        <v>428</v>
      </c>
      <c r="E653" s="7">
        <v>38</v>
      </c>
      <c r="F653" s="7">
        <v>96</v>
      </c>
      <c r="G653" s="4" t="s">
        <v>74</v>
      </c>
    </row>
    <row r="654" spans="1:7" ht="12.75">
      <c r="A654" s="98" t="s">
        <v>1240</v>
      </c>
      <c r="B654" s="98" t="s">
        <v>1062</v>
      </c>
      <c r="C654" s="98"/>
      <c r="D654" s="4" t="s">
        <v>1062</v>
      </c>
      <c r="E654" s="7">
        <v>3000</v>
      </c>
      <c r="F654" s="7">
        <v>3000</v>
      </c>
      <c r="G654" s="4" t="s">
        <v>74</v>
      </c>
    </row>
    <row r="655" spans="1:7" ht="12.75">
      <c r="A655" s="98" t="s">
        <v>1241</v>
      </c>
      <c r="B655" s="98"/>
      <c r="C655" s="98" t="s">
        <v>428</v>
      </c>
      <c r="D655" s="4" t="s">
        <v>428</v>
      </c>
      <c r="E655" s="7">
        <v>38</v>
      </c>
      <c r="F655" s="7">
        <v>96</v>
      </c>
      <c r="G655" s="4" t="s">
        <v>74</v>
      </c>
    </row>
    <row r="656" spans="1:7" ht="12.75">
      <c r="A656" s="98" t="s">
        <v>1242</v>
      </c>
      <c r="B656" s="98"/>
      <c r="C656" s="98" t="s">
        <v>428</v>
      </c>
      <c r="D656" s="4" t="s">
        <v>428</v>
      </c>
      <c r="E656" s="7">
        <v>38</v>
      </c>
      <c r="F656" s="7">
        <v>96</v>
      </c>
      <c r="G656" s="4" t="s">
        <v>74</v>
      </c>
    </row>
    <row r="657" spans="1:7" ht="12.75">
      <c r="A657" s="98" t="s">
        <v>1243</v>
      </c>
      <c r="B657" s="98"/>
      <c r="C657" s="98" t="s">
        <v>428</v>
      </c>
      <c r="D657" s="4" t="s">
        <v>428</v>
      </c>
      <c r="E657" s="7">
        <v>38</v>
      </c>
      <c r="F657" s="7">
        <v>96</v>
      </c>
      <c r="G657" s="4" t="s">
        <v>74</v>
      </c>
    </row>
    <row r="658" spans="1:7" ht="12.75">
      <c r="A658" s="98" t="s">
        <v>1244</v>
      </c>
      <c r="B658" s="98"/>
      <c r="C658" s="98" t="s">
        <v>428</v>
      </c>
      <c r="D658" s="4" t="s">
        <v>428</v>
      </c>
      <c r="E658" s="7">
        <v>38</v>
      </c>
      <c r="F658" s="7">
        <v>96</v>
      </c>
      <c r="G658" s="4" t="s">
        <v>74</v>
      </c>
    </row>
    <row r="659" spans="1:7" ht="12.75">
      <c r="A659" s="98" t="s">
        <v>1245</v>
      </c>
      <c r="B659" s="98"/>
      <c r="C659" s="98" t="s">
        <v>428</v>
      </c>
      <c r="D659" s="4" t="s">
        <v>428</v>
      </c>
      <c r="E659" s="7">
        <v>38</v>
      </c>
      <c r="F659" s="7">
        <v>96</v>
      </c>
      <c r="G659" s="4" t="s">
        <v>74</v>
      </c>
    </row>
    <row r="660" spans="1:7" ht="12.75">
      <c r="A660" s="98" t="s">
        <v>1246</v>
      </c>
      <c r="B660" s="98"/>
      <c r="C660" s="98" t="s">
        <v>428</v>
      </c>
      <c r="D660" s="4" t="s">
        <v>428</v>
      </c>
      <c r="E660" s="7">
        <v>38</v>
      </c>
      <c r="F660" s="7">
        <v>96</v>
      </c>
      <c r="G660" s="4" t="s">
        <v>74</v>
      </c>
    </row>
    <row r="661" spans="1:7" ht="12.75">
      <c r="A661" s="98" t="s">
        <v>1247</v>
      </c>
      <c r="B661" s="98"/>
      <c r="C661" s="98" t="s">
        <v>428</v>
      </c>
      <c r="D661" s="4" t="s">
        <v>428</v>
      </c>
      <c r="E661" s="7">
        <v>38</v>
      </c>
      <c r="F661" s="7">
        <v>96</v>
      </c>
      <c r="G661" s="4" t="s">
        <v>74</v>
      </c>
    </row>
    <row r="662" spans="1:7" ht="12.75">
      <c r="A662" s="98" t="s">
        <v>1248</v>
      </c>
      <c r="B662" s="98"/>
      <c r="C662" s="98" t="s">
        <v>428</v>
      </c>
      <c r="D662" s="4" t="s">
        <v>428</v>
      </c>
      <c r="E662" s="7">
        <v>38</v>
      </c>
      <c r="F662" s="7">
        <v>96</v>
      </c>
      <c r="G662" s="4" t="s">
        <v>74</v>
      </c>
    </row>
    <row r="663" spans="1:7" ht="12.75">
      <c r="A663" s="98" t="s">
        <v>1249</v>
      </c>
      <c r="B663" s="98" t="s">
        <v>1250</v>
      </c>
      <c r="C663" s="98"/>
      <c r="D663" s="4" t="s">
        <v>1250</v>
      </c>
      <c r="E663" s="7">
        <v>2200</v>
      </c>
      <c r="F663" s="7">
        <v>3000</v>
      </c>
      <c r="G663" s="4" t="s">
        <v>74</v>
      </c>
    </row>
    <row r="664" spans="1:7" ht="12.75">
      <c r="A664" s="98" t="s">
        <v>1251</v>
      </c>
      <c r="B664" s="98"/>
      <c r="C664" s="98" t="s">
        <v>428</v>
      </c>
      <c r="D664" s="4" t="s">
        <v>428</v>
      </c>
      <c r="E664" s="7">
        <v>38</v>
      </c>
      <c r="F664" s="7">
        <v>96</v>
      </c>
      <c r="G664" s="4" t="s">
        <v>74</v>
      </c>
    </row>
    <row r="665" spans="1:7" ht="12.75">
      <c r="A665" s="98" t="s">
        <v>1252</v>
      </c>
      <c r="B665" s="98" t="s">
        <v>1253</v>
      </c>
      <c r="C665" s="98"/>
      <c r="D665" s="4" t="s">
        <v>1253</v>
      </c>
      <c r="E665" s="7">
        <v>538</v>
      </c>
      <c r="F665" s="7">
        <v>574</v>
      </c>
      <c r="G665" s="4" t="s">
        <v>74</v>
      </c>
    </row>
    <row r="666" spans="1:7" ht="12.75">
      <c r="A666" s="98" t="s">
        <v>1254</v>
      </c>
      <c r="B666" s="98"/>
      <c r="C666" s="98" t="s">
        <v>428</v>
      </c>
      <c r="D666" s="4" t="s">
        <v>428</v>
      </c>
      <c r="E666" s="7">
        <v>38</v>
      </c>
      <c r="F666" s="7">
        <v>96</v>
      </c>
      <c r="G666" s="4" t="s">
        <v>74</v>
      </c>
    </row>
    <row r="667" spans="1:7" ht="12.75">
      <c r="A667" s="98" t="s">
        <v>1255</v>
      </c>
      <c r="B667" s="98" t="s">
        <v>1256</v>
      </c>
      <c r="C667" s="98"/>
      <c r="D667" s="4" t="s">
        <v>1256</v>
      </c>
      <c r="E667" s="7">
        <v>98</v>
      </c>
      <c r="F667" s="7">
        <v>114</v>
      </c>
      <c r="G667" s="4" t="s">
        <v>74</v>
      </c>
    </row>
    <row r="668" spans="1:7" ht="12.75">
      <c r="A668" s="98" t="s">
        <v>1257</v>
      </c>
      <c r="B668" s="98" t="s">
        <v>1258</v>
      </c>
      <c r="C668" s="98"/>
      <c r="D668" s="4" t="s">
        <v>1258</v>
      </c>
      <c r="E668" s="7">
        <v>2400</v>
      </c>
      <c r="F668" s="7">
        <v>2400</v>
      </c>
      <c r="G668" s="4" t="s">
        <v>74</v>
      </c>
    </row>
    <row r="669" spans="1:7" ht="12.75">
      <c r="A669" s="98" t="s">
        <v>1259</v>
      </c>
      <c r="B669" s="98" t="s">
        <v>1260</v>
      </c>
      <c r="C669" s="98"/>
      <c r="D669" s="4" t="s">
        <v>1260</v>
      </c>
      <c r="E669" s="7">
        <v>3182</v>
      </c>
      <c r="F669" s="7">
        <v>7000</v>
      </c>
      <c r="G669" s="4" t="s">
        <v>74</v>
      </c>
    </row>
    <row r="670" spans="1:7" ht="12.75">
      <c r="A670" s="98" t="s">
        <v>388</v>
      </c>
      <c r="B670" s="98" t="s">
        <v>1261</v>
      </c>
      <c r="C670" s="98"/>
      <c r="D670" s="4" t="s">
        <v>1261</v>
      </c>
      <c r="E670" s="7">
        <v>95</v>
      </c>
      <c r="F670" s="7">
        <v>95</v>
      </c>
      <c r="G670" s="4" t="s">
        <v>74</v>
      </c>
    </row>
    <row r="671" spans="1:7" ht="12.75">
      <c r="A671" s="98" t="s">
        <v>1262</v>
      </c>
      <c r="B671" s="98" t="s">
        <v>342</v>
      </c>
      <c r="C671" s="98"/>
      <c r="D671" s="4" t="s">
        <v>342</v>
      </c>
      <c r="E671" s="7">
        <v>50</v>
      </c>
      <c r="F671" s="7">
        <v>200</v>
      </c>
      <c r="G671" s="4" t="s">
        <v>74</v>
      </c>
    </row>
    <row r="672" spans="1:7" ht="12.75">
      <c r="A672" s="98" t="s">
        <v>319</v>
      </c>
      <c r="B672" s="98" t="s">
        <v>1263</v>
      </c>
      <c r="C672" s="98"/>
      <c r="D672" s="4" t="s">
        <v>1263</v>
      </c>
      <c r="E672" s="7">
        <v>3306</v>
      </c>
      <c r="F672" s="7">
        <v>3306</v>
      </c>
      <c r="G672" s="4" t="s">
        <v>74</v>
      </c>
    </row>
    <row r="673" spans="1:7" ht="12.75">
      <c r="A673" s="98" t="s">
        <v>1264</v>
      </c>
      <c r="B673" s="98" t="s">
        <v>559</v>
      </c>
      <c r="C673" s="98"/>
      <c r="D673" s="4" t="s">
        <v>559</v>
      </c>
      <c r="E673" s="7">
        <v>1500</v>
      </c>
      <c r="F673" s="7">
        <v>1500</v>
      </c>
      <c r="G673" s="4" t="s">
        <v>74</v>
      </c>
    </row>
    <row r="674" spans="1:7" ht="12.75">
      <c r="A674" s="98" t="s">
        <v>1265</v>
      </c>
      <c r="B674" s="98" t="s">
        <v>1266</v>
      </c>
      <c r="C674" s="98"/>
      <c r="D674" s="4" t="s">
        <v>1266</v>
      </c>
      <c r="E674" s="7">
        <v>251</v>
      </c>
      <c r="F674" s="7">
        <v>251</v>
      </c>
      <c r="G674" s="4" t="s">
        <v>74</v>
      </c>
    </row>
    <row r="675" spans="1:7" ht="12.75">
      <c r="A675" s="98" t="s">
        <v>1267</v>
      </c>
      <c r="B675" s="98"/>
      <c r="C675" s="98" t="s">
        <v>428</v>
      </c>
      <c r="D675" s="4" t="s">
        <v>428</v>
      </c>
      <c r="E675" s="7">
        <v>38</v>
      </c>
      <c r="F675" s="7">
        <v>96</v>
      </c>
      <c r="G675" s="4" t="s">
        <v>74</v>
      </c>
    </row>
    <row r="676" spans="1:7" ht="12.75">
      <c r="A676" s="98" t="s">
        <v>1268</v>
      </c>
      <c r="B676" s="98" t="s">
        <v>1269</v>
      </c>
      <c r="C676" s="98"/>
      <c r="D676" s="4" t="s">
        <v>1269</v>
      </c>
      <c r="E676" s="7">
        <v>550</v>
      </c>
      <c r="F676" s="7">
        <v>550</v>
      </c>
      <c r="G676" s="4" t="s">
        <v>74</v>
      </c>
    </row>
    <row r="677" spans="1:7" ht="12.75">
      <c r="A677" s="98" t="s">
        <v>1270</v>
      </c>
      <c r="B677" s="98"/>
      <c r="C677" s="98" t="s">
        <v>428</v>
      </c>
      <c r="D677" s="4" t="s">
        <v>428</v>
      </c>
      <c r="E677" s="7">
        <v>38</v>
      </c>
      <c r="F677" s="7">
        <v>96</v>
      </c>
      <c r="G677" s="4" t="s">
        <v>74</v>
      </c>
    </row>
    <row r="678" spans="1:7" ht="12.75">
      <c r="A678" s="98" t="s">
        <v>1271</v>
      </c>
      <c r="B678" s="98"/>
      <c r="C678" s="98" t="s">
        <v>428</v>
      </c>
      <c r="D678" s="4" t="s">
        <v>428</v>
      </c>
      <c r="E678" s="7">
        <v>38</v>
      </c>
      <c r="F678" s="7">
        <v>96</v>
      </c>
      <c r="G678" s="4" t="s">
        <v>74</v>
      </c>
    </row>
    <row r="679" spans="1:7" ht="12.75">
      <c r="A679" s="98" t="s">
        <v>1272</v>
      </c>
      <c r="B679" s="98" t="s">
        <v>1273</v>
      </c>
      <c r="C679" s="98"/>
      <c r="D679" s="4" t="s">
        <v>1273</v>
      </c>
      <c r="E679" s="7">
        <v>13</v>
      </c>
      <c r="F679" s="7">
        <v>447</v>
      </c>
      <c r="G679" s="4" t="s">
        <v>74</v>
      </c>
    </row>
    <row r="680" spans="1:7" ht="12.75">
      <c r="A680" s="98" t="s">
        <v>1274</v>
      </c>
      <c r="B680" s="98"/>
      <c r="C680" s="98" t="s">
        <v>428</v>
      </c>
      <c r="D680" s="4" t="s">
        <v>428</v>
      </c>
      <c r="E680" s="7">
        <v>38</v>
      </c>
      <c r="F680" s="7">
        <v>96</v>
      </c>
      <c r="G680" s="4" t="s">
        <v>74</v>
      </c>
    </row>
    <row r="681" spans="1:7" ht="12.75">
      <c r="A681" s="98" t="s">
        <v>1275</v>
      </c>
      <c r="B681" s="98" t="s">
        <v>1276</v>
      </c>
      <c r="C681" s="98"/>
      <c r="D681" s="4" t="s">
        <v>1276</v>
      </c>
      <c r="E681" s="7">
        <v>1040</v>
      </c>
      <c r="F681" s="7">
        <v>3000</v>
      </c>
      <c r="G681" s="4" t="s">
        <v>74</v>
      </c>
    </row>
    <row r="682" spans="1:7" ht="12.75">
      <c r="A682" s="98" t="s">
        <v>1277</v>
      </c>
      <c r="B682" s="98" t="s">
        <v>1278</v>
      </c>
      <c r="C682" s="98"/>
      <c r="D682" s="4" t="s">
        <v>1278</v>
      </c>
      <c r="E682" s="7">
        <v>3146</v>
      </c>
      <c r="F682" s="7">
        <v>4290</v>
      </c>
      <c r="G682" s="4" t="s">
        <v>74</v>
      </c>
    </row>
    <row r="683" spans="1:7" ht="12.75">
      <c r="A683" s="98" t="s">
        <v>1279</v>
      </c>
      <c r="B683" s="98"/>
      <c r="C683" s="98" t="s">
        <v>512</v>
      </c>
      <c r="D683" s="4" t="s">
        <v>512</v>
      </c>
      <c r="E683" s="7">
        <v>5950</v>
      </c>
      <c r="F683" s="7">
        <v>10539</v>
      </c>
      <c r="G683" s="4" t="s">
        <v>74</v>
      </c>
    </row>
    <row r="684" spans="1:7" ht="12.75">
      <c r="A684" s="98" t="s">
        <v>1280</v>
      </c>
      <c r="B684" s="98"/>
      <c r="C684" s="98" t="s">
        <v>1218</v>
      </c>
      <c r="D684" s="4" t="s">
        <v>1218</v>
      </c>
      <c r="E684" s="7">
        <v>1155</v>
      </c>
      <c r="F684" s="7">
        <v>1575</v>
      </c>
      <c r="G684" s="4" t="s">
        <v>74</v>
      </c>
    </row>
    <row r="685" spans="1:7" ht="12.75">
      <c r="A685" s="98" t="s">
        <v>1281</v>
      </c>
      <c r="B685" s="98"/>
      <c r="C685" s="98" t="s">
        <v>428</v>
      </c>
      <c r="D685" s="4" t="s">
        <v>428</v>
      </c>
      <c r="E685" s="7">
        <v>38</v>
      </c>
      <c r="F685" s="7">
        <v>96</v>
      </c>
      <c r="G685" s="4" t="s">
        <v>74</v>
      </c>
    </row>
    <row r="686" spans="1:7" ht="12.75">
      <c r="A686" s="98" t="s">
        <v>1282</v>
      </c>
      <c r="B686" s="98" t="s">
        <v>450</v>
      </c>
      <c r="C686" s="98"/>
      <c r="D686" s="4" t="s">
        <v>450</v>
      </c>
      <c r="E686" s="7">
        <v>1364</v>
      </c>
      <c r="F686" s="7">
        <v>2273</v>
      </c>
      <c r="G686" s="4" t="s">
        <v>74</v>
      </c>
    </row>
    <row r="687" spans="1:7" ht="12.75">
      <c r="A687" s="98" t="s">
        <v>1283</v>
      </c>
      <c r="B687" s="98"/>
      <c r="C687" s="98" t="s">
        <v>428</v>
      </c>
      <c r="D687" s="4" t="s">
        <v>428</v>
      </c>
      <c r="E687" s="7">
        <v>38</v>
      </c>
      <c r="F687" s="7">
        <v>96</v>
      </c>
      <c r="G687" s="4" t="s">
        <v>74</v>
      </c>
    </row>
    <row r="688" spans="1:7" ht="12.75">
      <c r="A688" s="98" t="s">
        <v>1284</v>
      </c>
      <c r="B688" s="98"/>
      <c r="C688" s="98" t="s">
        <v>512</v>
      </c>
      <c r="D688" s="4" t="s">
        <v>512</v>
      </c>
      <c r="E688" s="7">
        <v>5950</v>
      </c>
      <c r="F688" s="7">
        <v>10539</v>
      </c>
      <c r="G688" s="4" t="s">
        <v>74</v>
      </c>
    </row>
    <row r="689" spans="1:7" ht="12.75">
      <c r="A689" s="98" t="s">
        <v>1285</v>
      </c>
      <c r="B689" s="98"/>
      <c r="C689" s="98" t="s">
        <v>428</v>
      </c>
      <c r="D689" s="4" t="s">
        <v>428</v>
      </c>
      <c r="E689" s="7">
        <v>38</v>
      </c>
      <c r="F689" s="7">
        <v>96</v>
      </c>
      <c r="G689" s="4" t="s">
        <v>74</v>
      </c>
    </row>
    <row r="690" spans="1:7" ht="12.75">
      <c r="A690" s="98" t="s">
        <v>1286</v>
      </c>
      <c r="B690" s="98" t="s">
        <v>756</v>
      </c>
      <c r="C690" s="98"/>
      <c r="D690" s="4" t="s">
        <v>756</v>
      </c>
      <c r="E690" s="7">
        <v>6000</v>
      </c>
      <c r="F690" s="7">
        <v>6000</v>
      </c>
      <c r="G690" s="4" t="s">
        <v>74</v>
      </c>
    </row>
    <row r="691" spans="1:7" ht="12.75">
      <c r="A691" s="98" t="s">
        <v>1287</v>
      </c>
      <c r="B691" s="98"/>
      <c r="C691" s="98" t="s">
        <v>428</v>
      </c>
      <c r="D691" s="4" t="s">
        <v>428</v>
      </c>
      <c r="E691" s="7">
        <v>38</v>
      </c>
      <c r="F691" s="7">
        <v>96</v>
      </c>
      <c r="G691" s="4" t="s">
        <v>74</v>
      </c>
    </row>
    <row r="692" spans="1:7" ht="12.75">
      <c r="A692" s="98" t="s">
        <v>1288</v>
      </c>
      <c r="B692" s="98"/>
      <c r="C692" s="98" t="s">
        <v>428</v>
      </c>
      <c r="D692" s="4" t="s">
        <v>428</v>
      </c>
      <c r="E692" s="7">
        <v>38</v>
      </c>
      <c r="F692" s="7">
        <v>96</v>
      </c>
      <c r="G692" s="4" t="s">
        <v>74</v>
      </c>
    </row>
    <row r="693" spans="1:7" ht="12.75">
      <c r="A693" s="98" t="s">
        <v>1289</v>
      </c>
      <c r="B693" s="98"/>
      <c r="C693" s="98" t="s">
        <v>428</v>
      </c>
      <c r="D693" s="4" t="s">
        <v>428</v>
      </c>
      <c r="E693" s="7">
        <v>38</v>
      </c>
      <c r="F693" s="7">
        <v>96</v>
      </c>
      <c r="G693" s="4" t="s">
        <v>74</v>
      </c>
    </row>
    <row r="694" spans="1:7" ht="12.75">
      <c r="A694" s="98" t="s">
        <v>1290</v>
      </c>
      <c r="B694" s="98"/>
      <c r="C694" s="98" t="s">
        <v>428</v>
      </c>
      <c r="D694" s="4" t="s">
        <v>428</v>
      </c>
      <c r="E694" s="7">
        <v>38</v>
      </c>
      <c r="F694" s="7">
        <v>96</v>
      </c>
      <c r="G694" s="4" t="s">
        <v>74</v>
      </c>
    </row>
    <row r="695" spans="1:7" ht="12.75">
      <c r="A695" s="98" t="s">
        <v>1291</v>
      </c>
      <c r="B695" s="98"/>
      <c r="C695" s="98" t="s">
        <v>428</v>
      </c>
      <c r="D695" s="4" t="s">
        <v>428</v>
      </c>
      <c r="E695" s="7">
        <v>38</v>
      </c>
      <c r="F695" s="7">
        <v>96</v>
      </c>
      <c r="G695" s="4" t="s">
        <v>74</v>
      </c>
    </row>
    <row r="696" spans="1:7" ht="12.75">
      <c r="A696" s="98" t="s">
        <v>1292</v>
      </c>
      <c r="B696" s="98"/>
      <c r="C696" s="98" t="s">
        <v>428</v>
      </c>
      <c r="D696" s="4" t="s">
        <v>428</v>
      </c>
      <c r="E696" s="7">
        <v>38</v>
      </c>
      <c r="F696" s="7">
        <v>96</v>
      </c>
      <c r="G696" s="4" t="s">
        <v>74</v>
      </c>
    </row>
    <row r="697" spans="1:7" ht="12.75">
      <c r="A697" s="98" t="s">
        <v>1293</v>
      </c>
      <c r="B697" s="98"/>
      <c r="C697" s="98" t="s">
        <v>428</v>
      </c>
      <c r="D697" s="4" t="s">
        <v>428</v>
      </c>
      <c r="E697" s="7">
        <v>38</v>
      </c>
      <c r="F697" s="7">
        <v>96</v>
      </c>
      <c r="G697" s="4" t="s">
        <v>74</v>
      </c>
    </row>
    <row r="698" spans="1:7" ht="12.75">
      <c r="A698" s="98" t="s">
        <v>1294</v>
      </c>
      <c r="B698" s="98"/>
      <c r="C698" s="98" t="s">
        <v>428</v>
      </c>
      <c r="D698" s="4" t="s">
        <v>428</v>
      </c>
      <c r="E698" s="7">
        <v>38</v>
      </c>
      <c r="F698" s="7">
        <v>96</v>
      </c>
      <c r="G698" s="4" t="s">
        <v>74</v>
      </c>
    </row>
    <row r="699" spans="1:7" ht="12.75">
      <c r="A699" s="98" t="s">
        <v>1295</v>
      </c>
      <c r="B699" s="98" t="s">
        <v>1296</v>
      </c>
      <c r="C699" s="98"/>
      <c r="D699" s="4" t="s">
        <v>1296</v>
      </c>
      <c r="E699" s="7">
        <v>465</v>
      </c>
      <c r="F699" s="7">
        <v>1604</v>
      </c>
      <c r="G699" s="4" t="s">
        <v>74</v>
      </c>
    </row>
    <row r="700" spans="1:7" ht="12.75">
      <c r="A700" s="98" t="s">
        <v>1297</v>
      </c>
      <c r="B700" s="98"/>
      <c r="C700" s="98" t="s">
        <v>428</v>
      </c>
      <c r="D700" s="4" t="s">
        <v>428</v>
      </c>
      <c r="E700" s="7">
        <v>38</v>
      </c>
      <c r="F700" s="7">
        <v>96</v>
      </c>
      <c r="G700" s="4" t="s">
        <v>74</v>
      </c>
    </row>
    <row r="701" spans="1:7" ht="12.75">
      <c r="A701" s="98" t="s">
        <v>1298</v>
      </c>
      <c r="B701" s="98" t="s">
        <v>459</v>
      </c>
      <c r="C701" s="98"/>
      <c r="D701" s="4" t="s">
        <v>459</v>
      </c>
      <c r="E701" s="7">
        <v>15000</v>
      </c>
      <c r="F701" s="7">
        <v>20000</v>
      </c>
      <c r="G701" s="4" t="s">
        <v>74</v>
      </c>
    </row>
    <row r="702" spans="1:7" ht="12.75">
      <c r="A702" s="98" t="s">
        <v>1299</v>
      </c>
      <c r="B702" s="98"/>
      <c r="C702" s="98" t="s">
        <v>428</v>
      </c>
      <c r="D702" s="4" t="s">
        <v>428</v>
      </c>
      <c r="E702" s="7">
        <v>38</v>
      </c>
      <c r="F702" s="7">
        <v>96</v>
      </c>
      <c r="G702" s="4" t="s">
        <v>74</v>
      </c>
    </row>
    <row r="703" spans="1:7" ht="12.75">
      <c r="A703" s="98" t="s">
        <v>1300</v>
      </c>
      <c r="B703" s="98"/>
      <c r="C703" s="98" t="s">
        <v>428</v>
      </c>
      <c r="D703" s="4" t="s">
        <v>428</v>
      </c>
      <c r="E703" s="7">
        <v>38</v>
      </c>
      <c r="F703" s="7">
        <v>96</v>
      </c>
      <c r="G703" s="4" t="s">
        <v>74</v>
      </c>
    </row>
    <row r="704" spans="1:7" ht="12.75">
      <c r="A704" s="98" t="s">
        <v>1301</v>
      </c>
      <c r="B704" s="98"/>
      <c r="C704" s="98" t="s">
        <v>428</v>
      </c>
      <c r="D704" s="4" t="s">
        <v>428</v>
      </c>
      <c r="E704" s="7">
        <v>38</v>
      </c>
      <c r="F704" s="7">
        <v>96</v>
      </c>
      <c r="G704" s="4" t="s">
        <v>74</v>
      </c>
    </row>
    <row r="705" spans="1:7" ht="12.75">
      <c r="A705" s="98" t="s">
        <v>1302</v>
      </c>
      <c r="B705" s="98" t="s">
        <v>1303</v>
      </c>
      <c r="C705" s="98"/>
      <c r="D705" s="4" t="s">
        <v>1303</v>
      </c>
      <c r="E705" s="7">
        <v>1062</v>
      </c>
      <c r="F705" s="7">
        <v>1065</v>
      </c>
      <c r="G705" s="4" t="s">
        <v>74</v>
      </c>
    </row>
    <row r="706" spans="1:7" ht="12.75">
      <c r="A706" s="98" t="s">
        <v>1304</v>
      </c>
      <c r="B706" s="98" t="s">
        <v>1305</v>
      </c>
      <c r="C706" s="98"/>
      <c r="D706" s="4" t="s">
        <v>1305</v>
      </c>
      <c r="E706" s="7">
        <v>78</v>
      </c>
      <c r="F706" s="7">
        <v>110</v>
      </c>
      <c r="G706" s="4" t="s">
        <v>74</v>
      </c>
    </row>
    <row r="707" spans="1:7" ht="12.75">
      <c r="A707" s="98" t="s">
        <v>1306</v>
      </c>
      <c r="B707" s="98"/>
      <c r="C707" s="98" t="s">
        <v>428</v>
      </c>
      <c r="D707" s="4" t="s">
        <v>428</v>
      </c>
      <c r="E707" s="7">
        <v>38</v>
      </c>
      <c r="F707" s="7">
        <v>96</v>
      </c>
      <c r="G707" s="4" t="s">
        <v>74</v>
      </c>
    </row>
    <row r="708" spans="1:7" ht="12.75">
      <c r="A708" s="98" t="s">
        <v>1307</v>
      </c>
      <c r="B708" s="98" t="s">
        <v>1308</v>
      </c>
      <c r="C708" s="98"/>
      <c r="D708" s="4" t="s">
        <v>1308</v>
      </c>
      <c r="E708" s="7">
        <v>134</v>
      </c>
      <c r="F708" s="7">
        <v>134</v>
      </c>
      <c r="G708" s="4" t="s">
        <v>74</v>
      </c>
    </row>
    <row r="709" spans="1:7" ht="12.75">
      <c r="A709" s="98" t="s">
        <v>1309</v>
      </c>
      <c r="B709" s="98"/>
      <c r="C709" s="98" t="s">
        <v>428</v>
      </c>
      <c r="D709" s="4" t="s">
        <v>428</v>
      </c>
      <c r="E709" s="7">
        <v>38</v>
      </c>
      <c r="F709" s="7">
        <v>96</v>
      </c>
      <c r="G709" s="4" t="s">
        <v>74</v>
      </c>
    </row>
    <row r="710" spans="1:7" ht="12.75">
      <c r="A710" s="98" t="s">
        <v>1310</v>
      </c>
      <c r="B710" s="98"/>
      <c r="C710" s="98" t="s">
        <v>428</v>
      </c>
      <c r="D710" s="4" t="s">
        <v>428</v>
      </c>
      <c r="E710" s="7">
        <v>38</v>
      </c>
      <c r="F710" s="7">
        <v>96</v>
      </c>
      <c r="G710" s="4" t="s">
        <v>74</v>
      </c>
    </row>
    <row r="711" spans="1:7" ht="12.75">
      <c r="A711" s="98" t="s">
        <v>1311</v>
      </c>
      <c r="B711" s="98" t="s">
        <v>1312</v>
      </c>
      <c r="C711" s="98"/>
      <c r="D711" s="4" t="s">
        <v>1312</v>
      </c>
      <c r="E711" s="7">
        <v>73100</v>
      </c>
      <c r="F711" s="7">
        <v>73100</v>
      </c>
      <c r="G711" s="4" t="s">
        <v>74</v>
      </c>
    </row>
    <row r="712" spans="1:7" ht="12.75">
      <c r="A712" s="98" t="s">
        <v>1313</v>
      </c>
      <c r="B712" s="98"/>
      <c r="C712" s="98" t="s">
        <v>428</v>
      </c>
      <c r="D712" s="4" t="s">
        <v>428</v>
      </c>
      <c r="E712" s="7">
        <v>38</v>
      </c>
      <c r="F712" s="7">
        <v>96</v>
      </c>
      <c r="G712" s="4" t="s">
        <v>74</v>
      </c>
    </row>
    <row r="713" spans="1:7" ht="12.75">
      <c r="A713" s="98" t="s">
        <v>1314</v>
      </c>
      <c r="B713" s="98"/>
      <c r="C713" s="98" t="s">
        <v>428</v>
      </c>
      <c r="D713" s="4" t="s">
        <v>428</v>
      </c>
      <c r="E713" s="7">
        <v>38</v>
      </c>
      <c r="F713" s="7">
        <v>96</v>
      </c>
      <c r="G713" s="4" t="s">
        <v>74</v>
      </c>
    </row>
    <row r="714" spans="1:7" ht="12.75">
      <c r="A714" s="98" t="s">
        <v>1315</v>
      </c>
      <c r="B714" s="98" t="s">
        <v>1316</v>
      </c>
      <c r="C714" s="98"/>
      <c r="D714" s="4" t="s">
        <v>1316</v>
      </c>
      <c r="E714" s="7">
        <v>4397</v>
      </c>
      <c r="F714" s="7">
        <v>15000</v>
      </c>
      <c r="G714" s="4" t="s">
        <v>74</v>
      </c>
    </row>
    <row r="715" spans="1:7" ht="12.75">
      <c r="A715" s="98" t="s">
        <v>1317</v>
      </c>
      <c r="B715" s="98" t="s">
        <v>1318</v>
      </c>
      <c r="C715" s="98"/>
      <c r="D715" s="4" t="s">
        <v>1318</v>
      </c>
      <c r="E715" s="7">
        <v>1260</v>
      </c>
      <c r="F715" s="7">
        <v>2350</v>
      </c>
      <c r="G715" s="4" t="s">
        <v>74</v>
      </c>
    </row>
    <row r="716" spans="1:7" ht="12.75">
      <c r="A716" s="98" t="s">
        <v>1319</v>
      </c>
      <c r="B716" s="98"/>
      <c r="C716" s="98" t="s">
        <v>428</v>
      </c>
      <c r="D716" s="4" t="s">
        <v>428</v>
      </c>
      <c r="E716" s="7">
        <v>38</v>
      </c>
      <c r="F716" s="7">
        <v>96</v>
      </c>
      <c r="G716" s="4" t="s">
        <v>74</v>
      </c>
    </row>
    <row r="717" spans="1:7" ht="12.75">
      <c r="A717" s="98" t="s">
        <v>1320</v>
      </c>
      <c r="B717" s="98" t="s">
        <v>756</v>
      </c>
      <c r="C717" s="98"/>
      <c r="D717" s="4" t="s">
        <v>756</v>
      </c>
      <c r="E717" s="7">
        <v>6000</v>
      </c>
      <c r="F717" s="7">
        <v>6000</v>
      </c>
      <c r="G717" s="4" t="s">
        <v>74</v>
      </c>
    </row>
    <row r="718" spans="1:7" ht="12.75">
      <c r="A718" s="98" t="s">
        <v>1321</v>
      </c>
      <c r="B718" s="98" t="s">
        <v>1322</v>
      </c>
      <c r="C718" s="98"/>
      <c r="D718" s="4" t="s">
        <v>1322</v>
      </c>
      <c r="E718" s="7">
        <v>908</v>
      </c>
      <c r="F718" s="7">
        <v>6810</v>
      </c>
      <c r="G718" s="4" t="s">
        <v>74</v>
      </c>
    </row>
    <row r="719" spans="1:7" ht="12.75">
      <c r="A719" s="98" t="s">
        <v>1323</v>
      </c>
      <c r="B719" s="98"/>
      <c r="C719" s="98" t="s">
        <v>428</v>
      </c>
      <c r="D719" s="4" t="s">
        <v>428</v>
      </c>
      <c r="E719" s="7">
        <v>38</v>
      </c>
      <c r="F719" s="7">
        <v>96</v>
      </c>
      <c r="G719" s="4" t="s">
        <v>74</v>
      </c>
    </row>
    <row r="720" spans="1:7" ht="12.75">
      <c r="A720" s="98" t="s">
        <v>1324</v>
      </c>
      <c r="B720" s="98"/>
      <c r="C720" s="98" t="s">
        <v>1218</v>
      </c>
      <c r="D720" s="4" t="s">
        <v>1218</v>
      </c>
      <c r="E720" s="7">
        <v>1155</v>
      </c>
      <c r="F720" s="7">
        <v>1575</v>
      </c>
      <c r="G720" s="4" t="s">
        <v>74</v>
      </c>
    </row>
    <row r="721" spans="1:7" ht="12.75">
      <c r="A721" s="98" t="s">
        <v>1325</v>
      </c>
      <c r="B721" s="98"/>
      <c r="C721" s="98" t="s">
        <v>512</v>
      </c>
      <c r="D721" s="4" t="s">
        <v>512</v>
      </c>
      <c r="E721" s="7">
        <v>5950</v>
      </c>
      <c r="F721" s="7">
        <v>10539</v>
      </c>
      <c r="G721" s="4" t="s">
        <v>74</v>
      </c>
    </row>
    <row r="722" spans="1:7" ht="12.75">
      <c r="A722" s="98" t="s">
        <v>1326</v>
      </c>
      <c r="B722" s="98"/>
      <c r="C722" s="98" t="s">
        <v>428</v>
      </c>
      <c r="D722" s="4" t="s">
        <v>428</v>
      </c>
      <c r="E722" s="7">
        <v>38</v>
      </c>
      <c r="F722" s="7">
        <v>96</v>
      </c>
      <c r="G722" s="4" t="s">
        <v>74</v>
      </c>
    </row>
    <row r="723" spans="1:7" ht="12.75">
      <c r="A723" s="98" t="s">
        <v>1327</v>
      </c>
      <c r="B723" s="98" t="s">
        <v>1328</v>
      </c>
      <c r="C723" s="98"/>
      <c r="D723" s="4" t="s">
        <v>1328</v>
      </c>
      <c r="E723" s="7">
        <v>20</v>
      </c>
      <c r="F723" s="7">
        <v>500</v>
      </c>
      <c r="G723" s="4" t="s">
        <v>74</v>
      </c>
    </row>
    <row r="724" spans="1:7" ht="12.75">
      <c r="A724" s="98" t="s">
        <v>1329</v>
      </c>
      <c r="B724" s="98"/>
      <c r="C724" s="98" t="s">
        <v>428</v>
      </c>
      <c r="D724" s="4" t="s">
        <v>428</v>
      </c>
      <c r="E724" s="7">
        <v>38</v>
      </c>
      <c r="F724" s="7">
        <v>96</v>
      </c>
      <c r="G724" s="4" t="s">
        <v>74</v>
      </c>
    </row>
    <row r="725" spans="1:7" ht="12.75">
      <c r="A725" s="98" t="s">
        <v>1330</v>
      </c>
      <c r="B725" s="98" t="s">
        <v>1331</v>
      </c>
      <c r="C725" s="98"/>
      <c r="D725" s="4" t="s">
        <v>1331</v>
      </c>
      <c r="E725" s="7">
        <v>85</v>
      </c>
      <c r="F725" s="7">
        <v>85</v>
      </c>
      <c r="G725" s="4" t="s">
        <v>74</v>
      </c>
    </row>
    <row r="726" spans="1:7" ht="12.75">
      <c r="A726" s="98" t="s">
        <v>1332</v>
      </c>
      <c r="B726" s="98" t="s">
        <v>1333</v>
      </c>
      <c r="C726" s="98"/>
      <c r="D726" s="4" t="s">
        <v>1333</v>
      </c>
      <c r="E726" s="7">
        <v>658</v>
      </c>
      <c r="F726" s="7">
        <v>772</v>
      </c>
      <c r="G726" s="4" t="s">
        <v>74</v>
      </c>
    </row>
    <row r="727" spans="1:7" ht="12.75">
      <c r="A727" s="98" t="s">
        <v>1334</v>
      </c>
      <c r="B727" s="98"/>
      <c r="C727" s="98" t="s">
        <v>428</v>
      </c>
      <c r="D727" s="4" t="s">
        <v>428</v>
      </c>
      <c r="E727" s="7">
        <v>38</v>
      </c>
      <c r="F727" s="7">
        <v>96</v>
      </c>
      <c r="G727" s="4" t="s">
        <v>74</v>
      </c>
    </row>
    <row r="728" spans="1:7" ht="12.75">
      <c r="A728" s="98" t="s">
        <v>1335</v>
      </c>
      <c r="B728" s="98"/>
      <c r="C728" s="98" t="s">
        <v>428</v>
      </c>
      <c r="D728" s="4" t="s">
        <v>428</v>
      </c>
      <c r="E728" s="7">
        <v>38</v>
      </c>
      <c r="F728" s="7">
        <v>96</v>
      </c>
      <c r="G728" s="4" t="s">
        <v>74</v>
      </c>
    </row>
    <row r="729" spans="1:7" ht="12.75">
      <c r="A729" s="98" t="s">
        <v>1336</v>
      </c>
      <c r="B729" s="99" t="s">
        <v>1337</v>
      </c>
      <c r="C729" s="98"/>
      <c r="D729" s="4" t="s">
        <v>1337</v>
      </c>
      <c r="E729" s="7">
        <v>3</v>
      </c>
      <c r="F729" s="7">
        <v>9</v>
      </c>
      <c r="G729" s="4" t="s">
        <v>74</v>
      </c>
    </row>
    <row r="730" spans="1:7" ht="12.75">
      <c r="A730" s="98" t="s">
        <v>1338</v>
      </c>
      <c r="B730" s="98" t="s">
        <v>1339</v>
      </c>
      <c r="C730" s="98"/>
      <c r="D730" s="4" t="s">
        <v>1339</v>
      </c>
      <c r="E730" s="7">
        <v>101</v>
      </c>
      <c r="F730" s="7">
        <v>386</v>
      </c>
      <c r="G730" s="4" t="s">
        <v>74</v>
      </c>
    </row>
    <row r="731" spans="1:7" ht="12.75">
      <c r="A731" s="98" t="s">
        <v>1340</v>
      </c>
      <c r="B731" s="98" t="s">
        <v>1341</v>
      </c>
      <c r="C731" s="98"/>
      <c r="D731" s="4" t="s">
        <v>1341</v>
      </c>
      <c r="E731" s="7">
        <v>19</v>
      </c>
      <c r="F731" s="7">
        <v>32</v>
      </c>
      <c r="G731" s="4" t="s">
        <v>74</v>
      </c>
    </row>
    <row r="732" spans="1:7" ht="12.75">
      <c r="A732" s="98" t="s">
        <v>1342</v>
      </c>
      <c r="B732" s="98"/>
      <c r="C732" s="98" t="s">
        <v>428</v>
      </c>
      <c r="D732" s="4" t="s">
        <v>428</v>
      </c>
      <c r="E732" s="7">
        <v>38</v>
      </c>
      <c r="F732" s="7">
        <v>96</v>
      </c>
      <c r="G732" s="4" t="s">
        <v>74</v>
      </c>
    </row>
    <row r="733" spans="1:7" ht="12.75">
      <c r="A733" s="98" t="s">
        <v>1343</v>
      </c>
      <c r="B733" s="98"/>
      <c r="C733" s="98" t="s">
        <v>512</v>
      </c>
      <c r="D733" s="4" t="s">
        <v>512</v>
      </c>
      <c r="E733" s="7">
        <v>5950</v>
      </c>
      <c r="F733" s="7">
        <v>10539</v>
      </c>
      <c r="G733" s="4" t="s">
        <v>74</v>
      </c>
    </row>
    <row r="734" spans="1:7" ht="12.75">
      <c r="A734" s="98" t="s">
        <v>1344</v>
      </c>
      <c r="B734" s="98" t="s">
        <v>1345</v>
      </c>
      <c r="C734" s="98"/>
      <c r="D734" s="4" t="s">
        <v>1345</v>
      </c>
      <c r="E734" s="7">
        <v>44079</v>
      </c>
      <c r="F734" s="7">
        <v>44079</v>
      </c>
      <c r="G734" s="4" t="s">
        <v>74</v>
      </c>
    </row>
    <row r="735" spans="1:7" ht="12.75">
      <c r="A735" s="98" t="s">
        <v>1346</v>
      </c>
      <c r="B735" s="98" t="s">
        <v>1347</v>
      </c>
      <c r="C735" s="98"/>
      <c r="D735" s="4" t="s">
        <v>1347</v>
      </c>
      <c r="E735" s="7">
        <v>18</v>
      </c>
      <c r="F735" s="7">
        <v>520</v>
      </c>
      <c r="G735" s="4" t="s">
        <v>74</v>
      </c>
    </row>
    <row r="736" spans="1:7" ht="12.75">
      <c r="A736" s="98" t="s">
        <v>1348</v>
      </c>
      <c r="B736" s="98"/>
      <c r="C736" s="98" t="s">
        <v>428</v>
      </c>
      <c r="D736" s="4" t="s">
        <v>428</v>
      </c>
      <c r="E736" s="7">
        <v>38</v>
      </c>
      <c r="F736" s="7">
        <v>96</v>
      </c>
      <c r="G736" s="4" t="s">
        <v>74</v>
      </c>
    </row>
    <row r="737" spans="1:7" ht="12.75">
      <c r="A737" s="98" t="s">
        <v>1349</v>
      </c>
      <c r="B737" s="98" t="s">
        <v>517</v>
      </c>
      <c r="C737" s="98"/>
      <c r="D737" s="4" t="s">
        <v>517</v>
      </c>
      <c r="E737" s="7">
        <v>2000</v>
      </c>
      <c r="F737" s="7">
        <v>2000</v>
      </c>
      <c r="G737" s="4" t="s">
        <v>74</v>
      </c>
    </row>
    <row r="738" spans="1:7" ht="12.75">
      <c r="A738" s="98" t="s">
        <v>1350</v>
      </c>
      <c r="B738" s="98"/>
      <c r="C738" s="98" t="s">
        <v>428</v>
      </c>
      <c r="D738" s="4" t="s">
        <v>428</v>
      </c>
      <c r="E738" s="7">
        <v>38</v>
      </c>
      <c r="F738" s="7">
        <v>96</v>
      </c>
      <c r="G738" s="4" t="s">
        <v>74</v>
      </c>
    </row>
    <row r="739" spans="1:7" ht="12.75">
      <c r="A739" s="98" t="s">
        <v>1351</v>
      </c>
      <c r="B739" s="98"/>
      <c r="C739" s="98" t="s">
        <v>428</v>
      </c>
      <c r="D739" s="4" t="s">
        <v>428</v>
      </c>
      <c r="E739" s="7">
        <v>38</v>
      </c>
      <c r="F739" s="7">
        <v>96</v>
      </c>
      <c r="G739" s="4" t="s">
        <v>74</v>
      </c>
    </row>
    <row r="740" spans="1:7" ht="12.75">
      <c r="A740" s="98" t="s">
        <v>1352</v>
      </c>
      <c r="B740" s="98" t="s">
        <v>1353</v>
      </c>
      <c r="C740" s="98"/>
      <c r="D740" s="4" t="s">
        <v>1353</v>
      </c>
      <c r="E740" s="7">
        <v>208</v>
      </c>
      <c r="F740" s="7">
        <v>231</v>
      </c>
      <c r="G740" s="4" t="s">
        <v>74</v>
      </c>
    </row>
    <row r="741" spans="1:7" ht="12.75">
      <c r="A741" s="98" t="s">
        <v>1354</v>
      </c>
      <c r="B741" s="98"/>
      <c r="C741" s="98" t="s">
        <v>428</v>
      </c>
      <c r="D741" s="4" t="s">
        <v>428</v>
      </c>
      <c r="E741" s="7">
        <v>38</v>
      </c>
      <c r="F741" s="7">
        <v>96</v>
      </c>
      <c r="G741" s="4" t="s">
        <v>74</v>
      </c>
    </row>
    <row r="742" spans="1:7" ht="12.75">
      <c r="A742" s="98" t="s">
        <v>1355</v>
      </c>
      <c r="B742" s="98"/>
      <c r="C742" s="98" t="s">
        <v>428</v>
      </c>
      <c r="D742" s="4" t="s">
        <v>428</v>
      </c>
      <c r="E742" s="7">
        <v>38</v>
      </c>
      <c r="F742" s="7">
        <v>96</v>
      </c>
      <c r="G742" s="4" t="s">
        <v>74</v>
      </c>
    </row>
    <row r="743" spans="1:7" ht="12.75">
      <c r="A743" s="98" t="s">
        <v>1356</v>
      </c>
      <c r="B743" s="98"/>
      <c r="C743" s="98" t="s">
        <v>428</v>
      </c>
      <c r="D743" s="4" t="s">
        <v>428</v>
      </c>
      <c r="E743" s="7">
        <v>38</v>
      </c>
      <c r="F743" s="7">
        <v>96</v>
      </c>
      <c r="G743" s="4" t="s">
        <v>74</v>
      </c>
    </row>
    <row r="744" spans="1:7" ht="12.75">
      <c r="A744" s="98" t="s">
        <v>1357</v>
      </c>
      <c r="B744" s="98"/>
      <c r="C744" s="98" t="s">
        <v>428</v>
      </c>
      <c r="D744" s="4" t="s">
        <v>428</v>
      </c>
      <c r="E744" s="7">
        <v>38</v>
      </c>
      <c r="F744" s="7">
        <v>96</v>
      </c>
      <c r="G744" s="4" t="s">
        <v>74</v>
      </c>
    </row>
    <row r="745" spans="1:7" ht="12.75">
      <c r="A745" s="98" t="s">
        <v>1358</v>
      </c>
      <c r="B745" s="98"/>
      <c r="C745" s="98" t="s">
        <v>428</v>
      </c>
      <c r="D745" s="4" t="s">
        <v>428</v>
      </c>
      <c r="E745" s="7">
        <v>38</v>
      </c>
      <c r="F745" s="7">
        <v>96</v>
      </c>
      <c r="G745" s="4" t="s">
        <v>74</v>
      </c>
    </row>
    <row r="746" spans="1:7" ht="12.75">
      <c r="A746" s="98" t="s">
        <v>1359</v>
      </c>
      <c r="B746" s="98"/>
      <c r="C746" s="98" t="s">
        <v>428</v>
      </c>
      <c r="D746" s="4" t="s">
        <v>428</v>
      </c>
      <c r="E746" s="7">
        <v>38</v>
      </c>
      <c r="F746" s="7">
        <v>96</v>
      </c>
      <c r="G746" s="4" t="s">
        <v>74</v>
      </c>
    </row>
    <row r="747" spans="1:7" ht="12.75">
      <c r="A747" s="98" t="s">
        <v>1360</v>
      </c>
      <c r="B747" s="98" t="s">
        <v>517</v>
      </c>
      <c r="C747" s="98"/>
      <c r="D747" s="4" t="s">
        <v>517</v>
      </c>
      <c r="E747" s="7">
        <v>2000</v>
      </c>
      <c r="F747" s="7">
        <v>2000</v>
      </c>
      <c r="G747" s="4" t="s">
        <v>74</v>
      </c>
    </row>
    <row r="748" spans="1:7" ht="12.75">
      <c r="A748" s="98" t="s">
        <v>1361</v>
      </c>
      <c r="B748" s="98"/>
      <c r="C748" s="98" t="s">
        <v>428</v>
      </c>
      <c r="D748" s="4" t="s">
        <v>428</v>
      </c>
      <c r="E748" s="7">
        <v>38</v>
      </c>
      <c r="F748" s="7">
        <v>96</v>
      </c>
      <c r="G748" s="4" t="s">
        <v>74</v>
      </c>
    </row>
    <row r="749" spans="1:7" ht="12.75">
      <c r="A749" s="98" t="s">
        <v>1362</v>
      </c>
      <c r="B749" s="98" t="s">
        <v>392</v>
      </c>
      <c r="C749" s="98"/>
      <c r="D749" s="4" t="s">
        <v>392</v>
      </c>
      <c r="E749" s="7">
        <v>2000</v>
      </c>
      <c r="F749" s="7">
        <v>5000</v>
      </c>
      <c r="G749" s="4" t="s">
        <v>74</v>
      </c>
    </row>
    <row r="750" spans="1:7" ht="12.75">
      <c r="A750" s="98" t="s">
        <v>1363</v>
      </c>
      <c r="B750" s="98"/>
      <c r="C750" s="98" t="s">
        <v>512</v>
      </c>
      <c r="D750" s="4" t="s">
        <v>512</v>
      </c>
      <c r="E750" s="7">
        <v>5950</v>
      </c>
      <c r="F750" s="7">
        <v>10539</v>
      </c>
      <c r="G750" s="4" t="s">
        <v>74</v>
      </c>
    </row>
    <row r="751" spans="1:7" ht="12.75">
      <c r="A751" s="98" t="s">
        <v>1364</v>
      </c>
      <c r="B751" s="98" t="s">
        <v>1365</v>
      </c>
      <c r="C751" s="98"/>
      <c r="D751" s="4" t="s">
        <v>1365</v>
      </c>
      <c r="E751" s="7">
        <v>227</v>
      </c>
      <c r="F751" s="7">
        <v>2750</v>
      </c>
      <c r="G751" s="4" t="s">
        <v>74</v>
      </c>
    </row>
    <row r="752" spans="1:7" ht="12.75">
      <c r="A752" s="98" t="s">
        <v>1366</v>
      </c>
      <c r="B752" s="98"/>
      <c r="C752" s="98" t="s">
        <v>428</v>
      </c>
      <c r="D752" s="4" t="s">
        <v>428</v>
      </c>
      <c r="E752" s="7">
        <v>38</v>
      </c>
      <c r="F752" s="7">
        <v>96</v>
      </c>
      <c r="G752" s="4" t="s">
        <v>74</v>
      </c>
    </row>
    <row r="753" spans="1:7" ht="12.75">
      <c r="A753" s="98" t="s">
        <v>1367</v>
      </c>
      <c r="B753" s="98"/>
      <c r="C753" s="98" t="s">
        <v>428</v>
      </c>
      <c r="D753" s="4" t="s">
        <v>428</v>
      </c>
      <c r="E753" s="7">
        <v>38</v>
      </c>
      <c r="F753" s="7">
        <v>96</v>
      </c>
      <c r="G753" s="4" t="s">
        <v>74</v>
      </c>
    </row>
    <row r="754" spans="1:7" ht="12.75">
      <c r="A754" s="98" t="s">
        <v>1368</v>
      </c>
      <c r="B754" s="98"/>
      <c r="C754" s="98" t="s">
        <v>428</v>
      </c>
      <c r="D754" s="4" t="s">
        <v>428</v>
      </c>
      <c r="E754" s="7">
        <v>38</v>
      </c>
      <c r="F754" s="7">
        <v>96</v>
      </c>
      <c r="G754" s="4" t="s">
        <v>74</v>
      </c>
    </row>
    <row r="755" spans="1:7" ht="12.75">
      <c r="A755" s="98" t="s">
        <v>1369</v>
      </c>
      <c r="B755" s="98"/>
      <c r="C755" s="98" t="s">
        <v>512</v>
      </c>
      <c r="D755" s="4" t="s">
        <v>512</v>
      </c>
      <c r="E755" s="7">
        <v>5950</v>
      </c>
      <c r="F755" s="7">
        <v>10539</v>
      </c>
      <c r="G755" s="4" t="s">
        <v>74</v>
      </c>
    </row>
    <row r="756" spans="1:7" ht="12.75">
      <c r="A756" s="98" t="s">
        <v>1370</v>
      </c>
      <c r="B756" s="98"/>
      <c r="C756" s="98" t="s">
        <v>428</v>
      </c>
      <c r="D756" s="4" t="s">
        <v>428</v>
      </c>
      <c r="E756" s="7">
        <v>38</v>
      </c>
      <c r="F756" s="7">
        <v>96</v>
      </c>
      <c r="G756" s="4" t="s">
        <v>74</v>
      </c>
    </row>
    <row r="757" spans="1:7" ht="12.75">
      <c r="A757" s="98" t="s">
        <v>1371</v>
      </c>
      <c r="B757" s="98"/>
      <c r="C757" s="98" t="s">
        <v>428</v>
      </c>
      <c r="D757" s="4" t="s">
        <v>428</v>
      </c>
      <c r="E757" s="7">
        <v>38</v>
      </c>
      <c r="F757" s="7">
        <v>96</v>
      </c>
      <c r="G757" s="4" t="s">
        <v>74</v>
      </c>
    </row>
    <row r="758" spans="1:7" ht="12.75">
      <c r="A758" s="98" t="s">
        <v>1372</v>
      </c>
      <c r="B758" s="98"/>
      <c r="C758" s="98" t="s">
        <v>428</v>
      </c>
      <c r="D758" s="4" t="s">
        <v>428</v>
      </c>
      <c r="E758" s="7">
        <v>38</v>
      </c>
      <c r="F758" s="7">
        <v>96</v>
      </c>
      <c r="G758" s="4" t="s">
        <v>74</v>
      </c>
    </row>
    <row r="759" spans="1:7" ht="12.75">
      <c r="A759" s="98" t="s">
        <v>1373</v>
      </c>
      <c r="B759" s="98" t="s">
        <v>1374</v>
      </c>
      <c r="C759" s="98"/>
      <c r="D759" s="4" t="s">
        <v>1374</v>
      </c>
      <c r="E759" s="7">
        <v>220</v>
      </c>
      <c r="F759" s="7">
        <v>300</v>
      </c>
      <c r="G759" s="4" t="s">
        <v>74</v>
      </c>
    </row>
    <row r="760" spans="1:7" ht="12.75">
      <c r="A760" s="98" t="s">
        <v>1375</v>
      </c>
      <c r="B760" s="98" t="s">
        <v>1376</v>
      </c>
      <c r="C760" s="98"/>
      <c r="D760" s="4" t="s">
        <v>1376</v>
      </c>
      <c r="E760" s="7">
        <v>190</v>
      </c>
      <c r="F760" s="7">
        <v>1866</v>
      </c>
      <c r="G760" s="4" t="s">
        <v>74</v>
      </c>
    </row>
    <row r="761" spans="1:7" ht="12.75">
      <c r="A761" s="98" t="s">
        <v>1377</v>
      </c>
      <c r="B761" s="98" t="s">
        <v>1378</v>
      </c>
      <c r="C761" s="98"/>
      <c r="D761" s="4" t="s">
        <v>1378</v>
      </c>
      <c r="E761" s="7">
        <v>22600</v>
      </c>
      <c r="F761" s="7">
        <v>22600</v>
      </c>
      <c r="G761" s="4" t="s">
        <v>74</v>
      </c>
    </row>
    <row r="762" spans="1:7" ht="12.75">
      <c r="A762" s="98" t="s">
        <v>1379</v>
      </c>
      <c r="B762" s="98" t="s">
        <v>1380</v>
      </c>
      <c r="C762" s="98"/>
      <c r="D762" s="4" t="s">
        <v>1380</v>
      </c>
      <c r="E762" s="7">
        <v>67</v>
      </c>
      <c r="F762" s="7">
        <v>91</v>
      </c>
      <c r="G762" s="4" t="s">
        <v>74</v>
      </c>
    </row>
    <row r="763" spans="1:7" ht="12.75">
      <c r="A763" s="98" t="s">
        <v>1381</v>
      </c>
      <c r="B763" s="98"/>
      <c r="C763" s="98" t="s">
        <v>428</v>
      </c>
      <c r="D763" s="4" t="s">
        <v>428</v>
      </c>
      <c r="E763" s="7">
        <v>38</v>
      </c>
      <c r="F763" s="7">
        <v>96</v>
      </c>
      <c r="G763" s="4" t="s">
        <v>74</v>
      </c>
    </row>
    <row r="764" spans="1:7" ht="12.75">
      <c r="A764" s="98" t="s">
        <v>1382</v>
      </c>
      <c r="B764" s="98"/>
      <c r="C764" s="98" t="s">
        <v>428</v>
      </c>
      <c r="D764" s="4" t="s">
        <v>428</v>
      </c>
      <c r="E764" s="7">
        <v>38</v>
      </c>
      <c r="F764" s="7">
        <v>96</v>
      </c>
      <c r="G764" s="4" t="s">
        <v>74</v>
      </c>
    </row>
    <row r="765" spans="1:7" ht="12.75">
      <c r="A765" s="98" t="s">
        <v>1383</v>
      </c>
      <c r="B765" s="98"/>
      <c r="C765" s="98" t="s">
        <v>428</v>
      </c>
      <c r="D765" s="4" t="s">
        <v>428</v>
      </c>
      <c r="E765" s="7">
        <v>38</v>
      </c>
      <c r="F765" s="7">
        <v>96</v>
      </c>
      <c r="G765" s="4" t="s">
        <v>74</v>
      </c>
    </row>
    <row r="766" spans="1:7" ht="12.75">
      <c r="A766" s="98" t="s">
        <v>1384</v>
      </c>
      <c r="B766" s="98"/>
      <c r="C766" s="98" t="s">
        <v>428</v>
      </c>
      <c r="D766" s="4" t="s">
        <v>428</v>
      </c>
      <c r="E766" s="7">
        <v>38</v>
      </c>
      <c r="F766" s="7">
        <v>96</v>
      </c>
      <c r="G766" s="4" t="s">
        <v>74</v>
      </c>
    </row>
    <row r="767" spans="1:7" ht="12.75">
      <c r="A767" s="98" t="s">
        <v>1385</v>
      </c>
      <c r="B767" s="98"/>
      <c r="C767" s="98" t="s">
        <v>428</v>
      </c>
      <c r="D767" s="4" t="s">
        <v>428</v>
      </c>
      <c r="E767" s="7">
        <v>38</v>
      </c>
      <c r="F767" s="7">
        <v>96</v>
      </c>
      <c r="G767" s="4" t="s">
        <v>74</v>
      </c>
    </row>
    <row r="768" spans="1:7" ht="12.75">
      <c r="A768" s="98" t="s">
        <v>1386</v>
      </c>
      <c r="B768" s="98"/>
      <c r="C768" s="98" t="s">
        <v>428</v>
      </c>
      <c r="D768" s="4" t="s">
        <v>428</v>
      </c>
      <c r="E768" s="7">
        <v>38</v>
      </c>
      <c r="F768" s="7">
        <v>96</v>
      </c>
      <c r="G768" s="4" t="s">
        <v>74</v>
      </c>
    </row>
    <row r="769" spans="1:7" ht="12.75">
      <c r="A769" s="98" t="s">
        <v>345</v>
      </c>
      <c r="B769" s="98" t="s">
        <v>517</v>
      </c>
      <c r="C769" s="98"/>
      <c r="D769" s="4" t="s">
        <v>517</v>
      </c>
      <c r="E769" s="7">
        <v>2000</v>
      </c>
      <c r="F769" s="7">
        <v>2000</v>
      </c>
      <c r="G769" s="4" t="s">
        <v>74</v>
      </c>
    </row>
    <row r="770" spans="1:7" ht="12.75">
      <c r="A770" s="98" t="s">
        <v>1387</v>
      </c>
      <c r="B770" s="98"/>
      <c r="C770" s="98" t="s">
        <v>512</v>
      </c>
      <c r="D770" s="4" t="s">
        <v>512</v>
      </c>
      <c r="E770" s="7">
        <v>5950</v>
      </c>
      <c r="F770" s="7">
        <v>10539</v>
      </c>
      <c r="G770" s="4" t="s">
        <v>74</v>
      </c>
    </row>
    <row r="771" spans="1:7" ht="12.75">
      <c r="A771" s="98" t="s">
        <v>1388</v>
      </c>
      <c r="B771" s="98"/>
      <c r="C771" s="98" t="s">
        <v>512</v>
      </c>
      <c r="D771" s="4" t="s">
        <v>512</v>
      </c>
      <c r="E771" s="7">
        <v>5950</v>
      </c>
      <c r="F771" s="7">
        <v>10539</v>
      </c>
      <c r="G771" s="4" t="s">
        <v>74</v>
      </c>
    </row>
    <row r="772" spans="1:7" ht="12.75">
      <c r="A772" s="98" t="s">
        <v>1389</v>
      </c>
      <c r="B772" s="98"/>
      <c r="C772" s="98" t="s">
        <v>428</v>
      </c>
      <c r="D772" s="4" t="s">
        <v>428</v>
      </c>
      <c r="E772" s="7">
        <v>38</v>
      </c>
      <c r="F772" s="7">
        <v>96</v>
      </c>
      <c r="G772" s="4" t="s">
        <v>74</v>
      </c>
    </row>
    <row r="773" spans="1:7" ht="12.75">
      <c r="A773" s="98" t="s">
        <v>1390</v>
      </c>
      <c r="B773" s="98"/>
      <c r="C773" s="98" t="s">
        <v>512</v>
      </c>
      <c r="D773" s="4" t="s">
        <v>512</v>
      </c>
      <c r="E773" s="7">
        <v>5950</v>
      </c>
      <c r="F773" s="7">
        <v>10539</v>
      </c>
      <c r="G773" s="4" t="s">
        <v>74</v>
      </c>
    </row>
    <row r="774" spans="1:7" ht="12.75">
      <c r="A774" s="98" t="s">
        <v>1391</v>
      </c>
      <c r="B774" s="98"/>
      <c r="C774" s="98" t="s">
        <v>428</v>
      </c>
      <c r="D774" s="4" t="s">
        <v>428</v>
      </c>
      <c r="E774" s="7">
        <v>38</v>
      </c>
      <c r="F774" s="7">
        <v>96</v>
      </c>
      <c r="G774" s="4" t="s">
        <v>74</v>
      </c>
    </row>
    <row r="775" spans="1:7" ht="12.75">
      <c r="A775" s="98" t="s">
        <v>1392</v>
      </c>
      <c r="B775" s="98"/>
      <c r="C775" s="98" t="s">
        <v>428</v>
      </c>
      <c r="D775" s="4" t="s">
        <v>428</v>
      </c>
      <c r="E775" s="7">
        <v>38</v>
      </c>
      <c r="F775" s="7">
        <v>96</v>
      </c>
      <c r="G775" s="4" t="s">
        <v>74</v>
      </c>
    </row>
    <row r="776" spans="1:7" ht="12.75">
      <c r="A776" s="98" t="s">
        <v>1393</v>
      </c>
      <c r="B776" s="98"/>
      <c r="C776" s="98" t="s">
        <v>428</v>
      </c>
      <c r="D776" s="4" t="s">
        <v>428</v>
      </c>
      <c r="E776" s="7">
        <v>38</v>
      </c>
      <c r="F776" s="7">
        <v>96</v>
      </c>
      <c r="G776" s="4" t="s">
        <v>74</v>
      </c>
    </row>
    <row r="777" spans="1:7" ht="12.75">
      <c r="A777" s="98" t="s">
        <v>1394</v>
      </c>
      <c r="B777" s="98"/>
      <c r="C777" s="98" t="s">
        <v>428</v>
      </c>
      <c r="D777" s="4" t="s">
        <v>428</v>
      </c>
      <c r="E777" s="7">
        <v>38</v>
      </c>
      <c r="F777" s="7">
        <v>96</v>
      </c>
      <c r="G777" s="4" t="s">
        <v>74</v>
      </c>
    </row>
    <row r="778" spans="1:7" ht="12.75">
      <c r="A778" s="98" t="s">
        <v>1395</v>
      </c>
      <c r="B778" s="98" t="s">
        <v>1396</v>
      </c>
      <c r="C778" s="98"/>
      <c r="D778" s="4" t="s">
        <v>1396</v>
      </c>
      <c r="E778" s="7">
        <v>900</v>
      </c>
      <c r="F778" s="7">
        <v>4138</v>
      </c>
      <c r="G778" s="4" t="s">
        <v>74</v>
      </c>
    </row>
    <row r="779" spans="1:7" ht="12.75">
      <c r="A779" s="98" t="s">
        <v>1397</v>
      </c>
      <c r="B779" s="98" t="s">
        <v>1398</v>
      </c>
      <c r="C779" s="98"/>
      <c r="D779" s="4" t="s">
        <v>1398</v>
      </c>
      <c r="E779" s="7">
        <v>50000</v>
      </c>
      <c r="F779" s="7">
        <v>50000</v>
      </c>
      <c r="G779" s="4" t="s">
        <v>74</v>
      </c>
    </row>
    <row r="780" spans="1:7" ht="12.75">
      <c r="A780" s="98" t="s">
        <v>1399</v>
      </c>
      <c r="B780" s="98"/>
      <c r="C780" s="98" t="s">
        <v>428</v>
      </c>
      <c r="D780" s="4" t="s">
        <v>428</v>
      </c>
      <c r="E780" s="7">
        <v>38</v>
      </c>
      <c r="F780" s="7">
        <v>96</v>
      </c>
      <c r="G780" s="4" t="s">
        <v>74</v>
      </c>
    </row>
    <row r="781" spans="1:7" ht="12.75">
      <c r="A781" s="98" t="s">
        <v>1400</v>
      </c>
      <c r="B781" s="98"/>
      <c r="C781" s="98" t="s">
        <v>428</v>
      </c>
      <c r="D781" s="4" t="s">
        <v>428</v>
      </c>
      <c r="E781" s="7">
        <v>38</v>
      </c>
      <c r="F781" s="7">
        <v>96</v>
      </c>
      <c r="G781" s="4" t="s">
        <v>74</v>
      </c>
    </row>
    <row r="782" spans="1:7" ht="12.75">
      <c r="A782" s="98" t="s">
        <v>1401</v>
      </c>
      <c r="B782" s="98"/>
      <c r="C782" s="98" t="s">
        <v>428</v>
      </c>
      <c r="D782" s="4" t="s">
        <v>428</v>
      </c>
      <c r="E782" s="7">
        <v>38</v>
      </c>
      <c r="F782" s="7">
        <v>96</v>
      </c>
      <c r="G782" s="4" t="s">
        <v>74</v>
      </c>
    </row>
    <row r="783" spans="1:7" ht="12.75">
      <c r="A783" s="98" t="s">
        <v>1402</v>
      </c>
      <c r="B783" s="98" t="s">
        <v>1403</v>
      </c>
      <c r="C783" s="98"/>
      <c r="D783" s="4" t="s">
        <v>1403</v>
      </c>
      <c r="E783" s="7">
        <v>2851</v>
      </c>
      <c r="F783" s="7">
        <v>2851</v>
      </c>
      <c r="G783" s="4" t="s">
        <v>74</v>
      </c>
    </row>
    <row r="784" spans="1:7" ht="12.75">
      <c r="A784" s="98" t="s">
        <v>1404</v>
      </c>
      <c r="B784" s="98"/>
      <c r="C784" s="98" t="s">
        <v>1218</v>
      </c>
      <c r="D784" s="4" t="s">
        <v>1218</v>
      </c>
      <c r="E784" s="7">
        <v>1155</v>
      </c>
      <c r="F784" s="7">
        <v>1575</v>
      </c>
      <c r="G784" s="4" t="s">
        <v>74</v>
      </c>
    </row>
    <row r="785" spans="1:7" ht="12.75">
      <c r="A785" s="98" t="s">
        <v>1405</v>
      </c>
      <c r="B785" s="98"/>
      <c r="C785" s="98" t="s">
        <v>428</v>
      </c>
      <c r="D785" s="4" t="s">
        <v>428</v>
      </c>
      <c r="E785" s="7">
        <v>38</v>
      </c>
      <c r="F785" s="7">
        <v>96</v>
      </c>
      <c r="G785" s="4" t="s">
        <v>74</v>
      </c>
    </row>
    <row r="786" spans="1:7" ht="12.75">
      <c r="A786" s="98" t="s">
        <v>1406</v>
      </c>
      <c r="B786" s="98" t="s">
        <v>1407</v>
      </c>
      <c r="C786" s="98"/>
      <c r="D786" s="4" t="s">
        <v>1407</v>
      </c>
      <c r="E786" s="7">
        <v>33</v>
      </c>
      <c r="F786" s="7">
        <v>2431</v>
      </c>
      <c r="G786" s="4" t="s">
        <v>74</v>
      </c>
    </row>
    <row r="787" spans="1:7" ht="12.75">
      <c r="A787" s="98" t="s">
        <v>1408</v>
      </c>
      <c r="B787" s="98"/>
      <c r="C787" s="98" t="s">
        <v>428</v>
      </c>
      <c r="D787" s="4" t="s">
        <v>428</v>
      </c>
      <c r="E787" s="7">
        <v>38</v>
      </c>
      <c r="F787" s="7">
        <v>96</v>
      </c>
      <c r="G787" s="4" t="s">
        <v>74</v>
      </c>
    </row>
    <row r="788" spans="1:7" ht="12.75">
      <c r="A788" s="98" t="s">
        <v>1409</v>
      </c>
      <c r="B788" s="98" t="s">
        <v>1410</v>
      </c>
      <c r="C788" s="98"/>
      <c r="D788" s="4" t="s">
        <v>1410</v>
      </c>
      <c r="E788" s="7">
        <v>40000</v>
      </c>
      <c r="F788" s="7">
        <v>40000</v>
      </c>
      <c r="G788" s="4" t="s">
        <v>74</v>
      </c>
    </row>
    <row r="789" spans="1:7" ht="12.75">
      <c r="A789" s="98" t="s">
        <v>1411</v>
      </c>
      <c r="B789" s="98" t="s">
        <v>1412</v>
      </c>
      <c r="C789" s="98"/>
      <c r="D789" s="4" t="s">
        <v>1412</v>
      </c>
      <c r="E789" s="7">
        <v>1633</v>
      </c>
      <c r="F789" s="7">
        <v>1633</v>
      </c>
      <c r="G789" s="4" t="s">
        <v>74</v>
      </c>
    </row>
    <row r="790" spans="1:7" ht="12.75">
      <c r="A790" s="98" t="s">
        <v>1413</v>
      </c>
      <c r="B790" s="98" t="s">
        <v>559</v>
      </c>
      <c r="C790" s="98"/>
      <c r="D790" s="4" t="s">
        <v>559</v>
      </c>
      <c r="E790" s="7">
        <v>1500</v>
      </c>
      <c r="F790" s="7">
        <v>1500</v>
      </c>
      <c r="G790" s="4" t="s">
        <v>74</v>
      </c>
    </row>
    <row r="791" spans="1:7" ht="12.75">
      <c r="A791" s="98" t="s">
        <v>1414</v>
      </c>
      <c r="B791" s="98" t="s">
        <v>533</v>
      </c>
      <c r="C791" s="98"/>
      <c r="D791" s="4" t="s">
        <v>533</v>
      </c>
      <c r="E791" s="7">
        <v>162</v>
      </c>
      <c r="F791" s="7">
        <v>349</v>
      </c>
      <c r="G791" s="4" t="s">
        <v>74</v>
      </c>
    </row>
    <row r="792" spans="1:7" ht="12.75">
      <c r="A792" s="98" t="s">
        <v>1415</v>
      </c>
      <c r="B792" s="98" t="s">
        <v>1416</v>
      </c>
      <c r="C792" s="98"/>
      <c r="D792" s="4" t="s">
        <v>1416</v>
      </c>
      <c r="E792" s="7">
        <v>4508</v>
      </c>
      <c r="F792" s="7">
        <v>19539</v>
      </c>
      <c r="G792" s="4" t="s">
        <v>74</v>
      </c>
    </row>
    <row r="793" spans="1:7" ht="12.75">
      <c r="A793" s="98" t="s">
        <v>1417</v>
      </c>
      <c r="B793" s="98"/>
      <c r="C793" s="98" t="s">
        <v>428</v>
      </c>
      <c r="D793" s="4" t="s">
        <v>428</v>
      </c>
      <c r="E793" s="7">
        <v>38</v>
      </c>
      <c r="F793" s="7">
        <v>96</v>
      </c>
      <c r="G793" s="4" t="s">
        <v>74</v>
      </c>
    </row>
    <row r="794" spans="1:7" ht="12.75">
      <c r="A794" s="98" t="s">
        <v>1418</v>
      </c>
      <c r="B794" s="98"/>
      <c r="C794" s="98" t="s">
        <v>428</v>
      </c>
      <c r="D794" s="4" t="s">
        <v>428</v>
      </c>
      <c r="E794" s="7">
        <v>38</v>
      </c>
      <c r="F794" s="7">
        <v>96</v>
      </c>
      <c r="G794" s="4" t="s">
        <v>74</v>
      </c>
    </row>
    <row r="795" spans="1:7" ht="12.75">
      <c r="A795" s="98" t="s">
        <v>1419</v>
      </c>
      <c r="B795" s="98"/>
      <c r="C795" s="98" t="s">
        <v>428</v>
      </c>
      <c r="D795" s="4" t="s">
        <v>428</v>
      </c>
      <c r="E795" s="7">
        <v>38</v>
      </c>
      <c r="F795" s="7">
        <v>96</v>
      </c>
      <c r="G795" s="4" t="s">
        <v>74</v>
      </c>
    </row>
    <row r="796" spans="1:7" ht="12.75">
      <c r="A796" s="98" t="s">
        <v>1420</v>
      </c>
      <c r="B796" s="98"/>
      <c r="C796" s="98" t="s">
        <v>428</v>
      </c>
      <c r="D796" s="4" t="s">
        <v>428</v>
      </c>
      <c r="E796" s="7">
        <v>38</v>
      </c>
      <c r="F796" s="7">
        <v>96</v>
      </c>
      <c r="G796" s="4" t="s">
        <v>74</v>
      </c>
    </row>
    <row r="797" spans="1:7" ht="12.75">
      <c r="A797" s="98" t="s">
        <v>1421</v>
      </c>
      <c r="B797" s="98"/>
      <c r="C797" s="98" t="s">
        <v>428</v>
      </c>
      <c r="D797" s="4" t="s">
        <v>428</v>
      </c>
      <c r="E797" s="7">
        <v>38</v>
      </c>
      <c r="F797" s="7">
        <v>96</v>
      </c>
      <c r="G797" s="4" t="s">
        <v>74</v>
      </c>
    </row>
    <row r="798" spans="1:7" ht="12.75">
      <c r="A798" s="98" t="s">
        <v>1422</v>
      </c>
      <c r="B798" s="98"/>
      <c r="C798" s="98" t="s">
        <v>428</v>
      </c>
      <c r="D798" s="4" t="s">
        <v>428</v>
      </c>
      <c r="E798" s="7">
        <v>38</v>
      </c>
      <c r="F798" s="7">
        <v>96</v>
      </c>
      <c r="G798" s="4" t="s">
        <v>74</v>
      </c>
    </row>
    <row r="799" spans="1:7" ht="12.75">
      <c r="A799" s="98" t="s">
        <v>1423</v>
      </c>
      <c r="B799" s="98"/>
      <c r="C799" s="98" t="s">
        <v>428</v>
      </c>
      <c r="D799" s="4" t="s">
        <v>428</v>
      </c>
      <c r="E799" s="7">
        <v>38</v>
      </c>
      <c r="F799" s="7">
        <v>96</v>
      </c>
      <c r="G799" s="4" t="s">
        <v>74</v>
      </c>
    </row>
    <row r="800" spans="1:7" ht="12.75">
      <c r="A800" s="98" t="s">
        <v>1424</v>
      </c>
      <c r="B800" s="98"/>
      <c r="C800" s="98" t="s">
        <v>512</v>
      </c>
      <c r="D800" s="4" t="s">
        <v>512</v>
      </c>
      <c r="E800" s="7">
        <v>5950</v>
      </c>
      <c r="F800" s="7">
        <v>10539</v>
      </c>
      <c r="G800" s="4" t="s">
        <v>74</v>
      </c>
    </row>
    <row r="801" spans="1:7" ht="12.75">
      <c r="A801" s="98" t="s">
        <v>1425</v>
      </c>
      <c r="B801" s="98" t="s">
        <v>1426</v>
      </c>
      <c r="C801" s="98"/>
      <c r="D801" s="4" t="s">
        <v>1426</v>
      </c>
      <c r="E801" s="7">
        <v>1364</v>
      </c>
      <c r="F801" s="7">
        <v>1364</v>
      </c>
      <c r="G801" s="4" t="s">
        <v>74</v>
      </c>
    </row>
    <row r="802" spans="1:7" ht="12.75">
      <c r="A802" s="98" t="s">
        <v>1427</v>
      </c>
      <c r="B802" s="98"/>
      <c r="C802" s="98" t="s">
        <v>428</v>
      </c>
      <c r="D802" s="4" t="s">
        <v>428</v>
      </c>
      <c r="E802" s="7">
        <v>38</v>
      </c>
      <c r="F802" s="7">
        <v>96</v>
      </c>
      <c r="G802" s="4" t="s">
        <v>74</v>
      </c>
    </row>
    <row r="803" spans="1:7" ht="12.75">
      <c r="A803" s="98" t="s">
        <v>1428</v>
      </c>
      <c r="B803" s="98" t="s">
        <v>1429</v>
      </c>
      <c r="C803" s="98"/>
      <c r="D803" s="4" t="s">
        <v>1429</v>
      </c>
      <c r="E803" s="7">
        <v>3333</v>
      </c>
      <c r="F803" s="7">
        <v>3333</v>
      </c>
      <c r="G803" s="4" t="s">
        <v>74</v>
      </c>
    </row>
    <row r="804" spans="1:7" ht="12.75">
      <c r="A804" s="98" t="s">
        <v>1430</v>
      </c>
      <c r="B804" s="98"/>
      <c r="C804" s="98" t="s">
        <v>428</v>
      </c>
      <c r="D804" s="4" t="s">
        <v>428</v>
      </c>
      <c r="E804" s="7">
        <v>38</v>
      </c>
      <c r="F804" s="7">
        <v>96</v>
      </c>
      <c r="G804" s="4" t="s">
        <v>74</v>
      </c>
    </row>
    <row r="805" spans="1:7" ht="12.75">
      <c r="A805" s="98" t="s">
        <v>1431</v>
      </c>
      <c r="B805" s="98"/>
      <c r="C805" s="98" t="s">
        <v>428</v>
      </c>
      <c r="D805" s="4" t="s">
        <v>428</v>
      </c>
      <c r="E805" s="7">
        <v>38</v>
      </c>
      <c r="F805" s="7">
        <v>96</v>
      </c>
      <c r="G805" s="4" t="s">
        <v>74</v>
      </c>
    </row>
    <row r="806" spans="1:7" ht="12.75">
      <c r="A806" s="98" t="s">
        <v>1432</v>
      </c>
      <c r="B806" s="98" t="s">
        <v>1433</v>
      </c>
      <c r="C806" s="98"/>
      <c r="D806" s="4" t="s">
        <v>1433</v>
      </c>
      <c r="E806" s="7">
        <v>832</v>
      </c>
      <c r="F806" s="7">
        <v>832</v>
      </c>
      <c r="G806" s="4" t="s">
        <v>74</v>
      </c>
    </row>
    <row r="807" spans="1:7" ht="12.75">
      <c r="A807" s="98" t="s">
        <v>1434</v>
      </c>
      <c r="B807" s="98"/>
      <c r="C807" s="98" t="s">
        <v>428</v>
      </c>
      <c r="D807" s="4" t="s">
        <v>428</v>
      </c>
      <c r="E807" s="7">
        <v>38</v>
      </c>
      <c r="F807" s="7">
        <v>96</v>
      </c>
      <c r="G807" s="4" t="s">
        <v>74</v>
      </c>
    </row>
    <row r="808" spans="1:7" ht="12.75">
      <c r="A808" s="98" t="s">
        <v>1435</v>
      </c>
      <c r="B808" s="98"/>
      <c r="C808" s="98" t="s">
        <v>428</v>
      </c>
      <c r="D808" s="4" t="s">
        <v>428</v>
      </c>
      <c r="E808" s="7">
        <v>38</v>
      </c>
      <c r="F808" s="7">
        <v>96</v>
      </c>
      <c r="G808" s="4" t="s">
        <v>74</v>
      </c>
    </row>
    <row r="809" spans="1:7" ht="12.75">
      <c r="A809" s="98" t="s">
        <v>1436</v>
      </c>
      <c r="B809" s="98"/>
      <c r="C809" s="98" t="s">
        <v>428</v>
      </c>
      <c r="D809" s="4" t="s">
        <v>428</v>
      </c>
      <c r="E809" s="7">
        <v>38</v>
      </c>
      <c r="F809" s="7">
        <v>96</v>
      </c>
      <c r="G809" s="4" t="s">
        <v>74</v>
      </c>
    </row>
    <row r="810" spans="1:7" ht="12.75">
      <c r="A810" s="98" t="s">
        <v>1437</v>
      </c>
      <c r="B810" s="98"/>
      <c r="C810" s="98" t="s">
        <v>428</v>
      </c>
      <c r="D810" s="4" t="s">
        <v>428</v>
      </c>
      <c r="E810" s="7">
        <v>38</v>
      </c>
      <c r="F810" s="7">
        <v>96</v>
      </c>
      <c r="G810" s="4" t="s">
        <v>74</v>
      </c>
    </row>
    <row r="811" spans="1:7" ht="12.75">
      <c r="A811" s="98" t="s">
        <v>1438</v>
      </c>
      <c r="B811" s="98"/>
      <c r="C811" s="98" t="s">
        <v>428</v>
      </c>
      <c r="D811" s="4" t="s">
        <v>428</v>
      </c>
      <c r="E811" s="7">
        <v>38</v>
      </c>
      <c r="F811" s="7">
        <v>96</v>
      </c>
      <c r="G811" s="4" t="s">
        <v>74</v>
      </c>
    </row>
    <row r="812" spans="1:7" ht="12.75">
      <c r="A812" s="98" t="s">
        <v>1439</v>
      </c>
      <c r="B812" s="98"/>
      <c r="C812" s="98" t="s">
        <v>428</v>
      </c>
      <c r="D812" s="4" t="s">
        <v>428</v>
      </c>
      <c r="E812" s="7">
        <v>38</v>
      </c>
      <c r="F812" s="7">
        <v>96</v>
      </c>
      <c r="G812" s="4" t="s">
        <v>74</v>
      </c>
    </row>
    <row r="813" spans="1:7" ht="12.75">
      <c r="A813" s="98" t="s">
        <v>1440</v>
      </c>
      <c r="B813" s="98"/>
      <c r="C813" s="98" t="s">
        <v>428</v>
      </c>
      <c r="D813" s="4" t="s">
        <v>428</v>
      </c>
      <c r="E813" s="7">
        <v>38</v>
      </c>
      <c r="F813" s="7">
        <v>96</v>
      </c>
      <c r="G813" s="4" t="s">
        <v>74</v>
      </c>
    </row>
    <row r="814" spans="1:7" ht="12.75">
      <c r="A814" s="98" t="s">
        <v>1441</v>
      </c>
      <c r="B814" s="98"/>
      <c r="C814" s="98" t="s">
        <v>428</v>
      </c>
      <c r="D814" s="4" t="s">
        <v>428</v>
      </c>
      <c r="E814" s="7">
        <v>38</v>
      </c>
      <c r="F814" s="7">
        <v>96</v>
      </c>
      <c r="G814" s="4" t="s">
        <v>74</v>
      </c>
    </row>
    <row r="815" spans="1:7" ht="12.75">
      <c r="A815" s="98" t="s">
        <v>1442</v>
      </c>
      <c r="B815" s="98" t="s">
        <v>1443</v>
      </c>
      <c r="C815" s="98"/>
      <c r="D815" s="4" t="s">
        <v>1443</v>
      </c>
      <c r="E815" s="7">
        <v>160</v>
      </c>
      <c r="F815" s="7">
        <v>600</v>
      </c>
      <c r="G815" s="4" t="s">
        <v>74</v>
      </c>
    </row>
    <row r="816" spans="1:7" ht="12.75">
      <c r="A816" s="98" t="s">
        <v>1444</v>
      </c>
      <c r="B816" s="98"/>
      <c r="C816" s="98" t="s">
        <v>512</v>
      </c>
      <c r="D816" s="4" t="s">
        <v>512</v>
      </c>
      <c r="E816" s="7">
        <v>5950</v>
      </c>
      <c r="F816" s="7">
        <v>10539</v>
      </c>
      <c r="G816" s="4" t="s">
        <v>74</v>
      </c>
    </row>
    <row r="817" spans="1:7" ht="12.75">
      <c r="A817" s="98" t="s">
        <v>1445</v>
      </c>
      <c r="B817" s="98" t="s">
        <v>1446</v>
      </c>
      <c r="C817" s="98"/>
      <c r="D817" s="4" t="s">
        <v>1446</v>
      </c>
      <c r="E817" s="7">
        <v>2268</v>
      </c>
      <c r="F817" s="7">
        <v>2268</v>
      </c>
      <c r="G817" s="4" t="s">
        <v>74</v>
      </c>
    </row>
    <row r="818" spans="1:7" ht="12.75">
      <c r="A818" s="98" t="s">
        <v>1447</v>
      </c>
      <c r="B818" s="98"/>
      <c r="C818" s="98" t="s">
        <v>428</v>
      </c>
      <c r="D818" s="4" t="s">
        <v>428</v>
      </c>
      <c r="E818" s="7">
        <v>38</v>
      </c>
      <c r="F818" s="7">
        <v>96</v>
      </c>
      <c r="G818" s="4" t="s">
        <v>74</v>
      </c>
    </row>
    <row r="819" spans="1:7" ht="12.75">
      <c r="A819" s="98" t="s">
        <v>1448</v>
      </c>
      <c r="B819" s="98"/>
      <c r="C819" s="98" t="s">
        <v>428</v>
      </c>
      <c r="D819" s="4" t="s">
        <v>428</v>
      </c>
      <c r="E819" s="7">
        <v>38</v>
      </c>
      <c r="F819" s="7">
        <v>96</v>
      </c>
      <c r="G819" s="4" t="s">
        <v>74</v>
      </c>
    </row>
    <row r="820" spans="1:7" ht="12.75">
      <c r="A820" s="98" t="s">
        <v>1449</v>
      </c>
      <c r="B820" s="98"/>
      <c r="C820" s="98" t="s">
        <v>512</v>
      </c>
      <c r="D820" s="4" t="s">
        <v>512</v>
      </c>
      <c r="E820" s="7">
        <v>5950</v>
      </c>
      <c r="F820" s="7">
        <v>10539</v>
      </c>
      <c r="G820" s="4" t="s">
        <v>74</v>
      </c>
    </row>
    <row r="821" spans="1:7" ht="12.75">
      <c r="A821" s="98" t="s">
        <v>1450</v>
      </c>
      <c r="B821" s="98" t="s">
        <v>1218</v>
      </c>
      <c r="C821" s="98"/>
      <c r="D821" s="4" t="s">
        <v>1218</v>
      </c>
      <c r="E821" s="7">
        <v>1155</v>
      </c>
      <c r="F821" s="7">
        <v>1575</v>
      </c>
      <c r="G821" s="4" t="s">
        <v>74</v>
      </c>
    </row>
    <row r="822" spans="1:7" ht="12.75">
      <c r="A822" s="98" t="s">
        <v>1451</v>
      </c>
      <c r="B822" s="98" t="s">
        <v>1452</v>
      </c>
      <c r="C822" s="98"/>
      <c r="D822" s="4" t="s">
        <v>1452</v>
      </c>
      <c r="E822" s="7">
        <v>509</v>
      </c>
      <c r="F822" s="7">
        <v>511</v>
      </c>
      <c r="G822" s="4" t="s">
        <v>74</v>
      </c>
    </row>
    <row r="823" spans="1:7" ht="12.75">
      <c r="A823" s="98" t="s">
        <v>1453</v>
      </c>
      <c r="B823" s="98"/>
      <c r="C823" s="98" t="s">
        <v>428</v>
      </c>
      <c r="D823" s="4" t="s">
        <v>428</v>
      </c>
      <c r="E823" s="7">
        <v>38</v>
      </c>
      <c r="F823" s="7">
        <v>96</v>
      </c>
      <c r="G823" s="4" t="s">
        <v>74</v>
      </c>
    </row>
    <row r="824" spans="1:7" ht="12.75">
      <c r="A824" s="98" t="s">
        <v>1454</v>
      </c>
      <c r="B824" s="98"/>
      <c r="C824" s="98" t="s">
        <v>428</v>
      </c>
      <c r="D824" s="4" t="s">
        <v>428</v>
      </c>
      <c r="E824" s="7">
        <v>38</v>
      </c>
      <c r="F824" s="7">
        <v>96</v>
      </c>
      <c r="G824" s="4" t="s">
        <v>74</v>
      </c>
    </row>
    <row r="825" spans="1:7" ht="12.75">
      <c r="A825" s="98" t="s">
        <v>1455</v>
      </c>
      <c r="B825" s="98" t="s">
        <v>1456</v>
      </c>
      <c r="C825" s="98"/>
      <c r="D825" s="4" t="s">
        <v>1456</v>
      </c>
      <c r="E825" s="7">
        <v>65</v>
      </c>
      <c r="F825" s="7">
        <v>280</v>
      </c>
      <c r="G825" s="4" t="s">
        <v>74</v>
      </c>
    </row>
    <row r="826" spans="1:7" ht="12.75">
      <c r="A826" s="98" t="s">
        <v>1457</v>
      </c>
      <c r="B826" s="98"/>
      <c r="C826" s="98" t="s">
        <v>428</v>
      </c>
      <c r="D826" s="4" t="s">
        <v>428</v>
      </c>
      <c r="E826" s="7">
        <v>38</v>
      </c>
      <c r="F826" s="7">
        <v>96</v>
      </c>
      <c r="G826" s="4" t="s">
        <v>74</v>
      </c>
    </row>
    <row r="827" spans="1:7" ht="12.75">
      <c r="A827" s="98" t="s">
        <v>1458</v>
      </c>
      <c r="B827" s="98" t="s">
        <v>517</v>
      </c>
      <c r="C827" s="98"/>
      <c r="D827" s="4" t="s">
        <v>517</v>
      </c>
      <c r="E827" s="7">
        <v>2000</v>
      </c>
      <c r="F827" s="7">
        <v>2000</v>
      </c>
      <c r="G827" s="4" t="s">
        <v>74</v>
      </c>
    </row>
    <row r="828" spans="1:7" ht="12.75">
      <c r="A828" s="98" t="s">
        <v>1459</v>
      </c>
      <c r="B828" s="98" t="s">
        <v>1460</v>
      </c>
      <c r="C828" s="98"/>
      <c r="D828" s="4" t="s">
        <v>1460</v>
      </c>
      <c r="E828" s="7">
        <v>6752</v>
      </c>
      <c r="F828" s="7">
        <v>6752</v>
      </c>
      <c r="G828" s="4" t="s">
        <v>74</v>
      </c>
    </row>
    <row r="829" spans="1:7" ht="12.75">
      <c r="A829" s="98" t="s">
        <v>1461</v>
      </c>
      <c r="B829" s="98"/>
      <c r="C829" s="98" t="s">
        <v>428</v>
      </c>
      <c r="D829" s="4" t="s">
        <v>428</v>
      </c>
      <c r="E829" s="7">
        <v>38</v>
      </c>
      <c r="F829" s="7">
        <v>96</v>
      </c>
      <c r="G829" s="4" t="s">
        <v>74</v>
      </c>
    </row>
    <row r="830" spans="1:7" ht="12.75">
      <c r="A830" s="98" t="s">
        <v>1462</v>
      </c>
      <c r="B830" s="98"/>
      <c r="C830" s="98" t="s">
        <v>428</v>
      </c>
      <c r="D830" s="4" t="s">
        <v>428</v>
      </c>
      <c r="E830" s="7">
        <v>38</v>
      </c>
      <c r="F830" s="7">
        <v>96</v>
      </c>
      <c r="G830" s="4" t="s">
        <v>74</v>
      </c>
    </row>
    <row r="831" spans="1:7" ht="12.75">
      <c r="A831" s="98" t="s">
        <v>1463</v>
      </c>
      <c r="B831" s="98"/>
      <c r="C831" s="98" t="s">
        <v>428</v>
      </c>
      <c r="D831" s="4" t="s">
        <v>428</v>
      </c>
      <c r="E831" s="7">
        <v>38</v>
      </c>
      <c r="F831" s="7">
        <v>96</v>
      </c>
      <c r="G831" s="4" t="s">
        <v>74</v>
      </c>
    </row>
    <row r="832" spans="1:7" ht="12.75">
      <c r="A832" s="98" t="s">
        <v>1464</v>
      </c>
      <c r="B832" s="98"/>
      <c r="C832" s="98" t="s">
        <v>428</v>
      </c>
      <c r="D832" s="4" t="s">
        <v>428</v>
      </c>
      <c r="E832" s="7">
        <v>38</v>
      </c>
      <c r="F832" s="7">
        <v>96</v>
      </c>
      <c r="G832" s="4" t="s">
        <v>74</v>
      </c>
    </row>
    <row r="833" spans="1:7" ht="12.75">
      <c r="A833" s="98" t="s">
        <v>1465</v>
      </c>
      <c r="B833" s="98"/>
      <c r="C833" s="98" t="s">
        <v>512</v>
      </c>
      <c r="D833" s="4" t="s">
        <v>512</v>
      </c>
      <c r="E833" s="7">
        <v>5950</v>
      </c>
      <c r="F833" s="7">
        <v>10539</v>
      </c>
      <c r="G833" s="4" t="s">
        <v>74</v>
      </c>
    </row>
    <row r="834" spans="1:7" ht="12.75">
      <c r="A834" s="98" t="s">
        <v>1466</v>
      </c>
      <c r="B834" s="98"/>
      <c r="C834" s="98" t="s">
        <v>428</v>
      </c>
      <c r="D834" s="4" t="s">
        <v>428</v>
      </c>
      <c r="E834" s="7">
        <v>38</v>
      </c>
      <c r="F834" s="7">
        <v>96</v>
      </c>
      <c r="G834" s="4" t="s">
        <v>74</v>
      </c>
    </row>
    <row r="835" spans="1:7" ht="12.75">
      <c r="A835" s="98" t="s">
        <v>1467</v>
      </c>
      <c r="B835" s="98" t="s">
        <v>1468</v>
      </c>
      <c r="C835" s="98"/>
      <c r="D835" s="4" t="s">
        <v>1468</v>
      </c>
      <c r="E835" s="7">
        <v>19</v>
      </c>
      <c r="F835" s="7">
        <v>298</v>
      </c>
      <c r="G835" s="4" t="s">
        <v>74</v>
      </c>
    </row>
    <row r="836" spans="1:7" ht="12.75">
      <c r="A836" s="98" t="s">
        <v>1469</v>
      </c>
      <c r="B836" s="98"/>
      <c r="C836" s="98" t="s">
        <v>512</v>
      </c>
      <c r="D836" s="4" t="s">
        <v>512</v>
      </c>
      <c r="E836" s="7">
        <v>5950</v>
      </c>
      <c r="F836" s="7">
        <v>10539</v>
      </c>
      <c r="G836" s="4" t="s">
        <v>74</v>
      </c>
    </row>
    <row r="837" spans="1:7" ht="12.75">
      <c r="A837" s="98" t="s">
        <v>1470</v>
      </c>
      <c r="B837" s="98"/>
      <c r="C837" s="98" t="s">
        <v>428</v>
      </c>
      <c r="D837" s="4" t="s">
        <v>428</v>
      </c>
      <c r="E837" s="7">
        <v>38</v>
      </c>
      <c r="F837" s="7">
        <v>96</v>
      </c>
      <c r="G837" s="4" t="s">
        <v>74</v>
      </c>
    </row>
    <row r="838" spans="1:7" ht="12.75">
      <c r="A838" s="98" t="s">
        <v>1471</v>
      </c>
      <c r="B838" s="98" t="s">
        <v>1472</v>
      </c>
      <c r="C838" s="98"/>
      <c r="D838" s="4" t="s">
        <v>1472</v>
      </c>
      <c r="E838" s="7">
        <v>436</v>
      </c>
      <c r="F838" s="7">
        <v>436</v>
      </c>
      <c r="G838" s="4" t="s">
        <v>74</v>
      </c>
    </row>
    <row r="839" spans="1:7" ht="12.75">
      <c r="A839" s="98" t="s">
        <v>1473</v>
      </c>
      <c r="B839" s="98"/>
      <c r="C839" s="98" t="s">
        <v>428</v>
      </c>
      <c r="D839" s="4" t="s">
        <v>428</v>
      </c>
      <c r="E839" s="7">
        <v>38</v>
      </c>
      <c r="F839" s="7">
        <v>96</v>
      </c>
      <c r="G839" s="4" t="s">
        <v>74</v>
      </c>
    </row>
    <row r="840" spans="1:7" ht="12.75">
      <c r="A840" s="98" t="s">
        <v>1474</v>
      </c>
      <c r="B840" s="98"/>
      <c r="C840" s="98" t="s">
        <v>428</v>
      </c>
      <c r="D840" s="4" t="s">
        <v>428</v>
      </c>
      <c r="E840" s="7">
        <v>38</v>
      </c>
      <c r="F840" s="7">
        <v>96</v>
      </c>
      <c r="G840" s="4" t="s">
        <v>74</v>
      </c>
    </row>
    <row r="841" spans="1:7" ht="12.75">
      <c r="A841" s="98" t="s">
        <v>1475</v>
      </c>
      <c r="B841" s="98"/>
      <c r="C841" s="98" t="s">
        <v>428</v>
      </c>
      <c r="D841" s="4" t="s">
        <v>428</v>
      </c>
      <c r="E841" s="7">
        <v>38</v>
      </c>
      <c r="F841" s="7">
        <v>96</v>
      </c>
      <c r="G841" s="4" t="s">
        <v>74</v>
      </c>
    </row>
    <row r="842" spans="1:7" ht="12.75">
      <c r="A842" s="98" t="s">
        <v>1476</v>
      </c>
      <c r="B842" s="98"/>
      <c r="C842" s="98" t="s">
        <v>428</v>
      </c>
      <c r="D842" s="4" t="s">
        <v>428</v>
      </c>
      <c r="E842" s="7">
        <v>38</v>
      </c>
      <c r="F842" s="7">
        <v>96</v>
      </c>
      <c r="G842" s="4" t="s">
        <v>74</v>
      </c>
    </row>
    <row r="843" spans="1:7" ht="12.75">
      <c r="A843" s="98" t="s">
        <v>1477</v>
      </c>
      <c r="B843" s="98"/>
      <c r="C843" s="98" t="s">
        <v>428</v>
      </c>
      <c r="D843" s="4" t="s">
        <v>428</v>
      </c>
      <c r="E843" s="7">
        <v>38</v>
      </c>
      <c r="F843" s="7">
        <v>96</v>
      </c>
      <c r="G843" s="4" t="s">
        <v>74</v>
      </c>
    </row>
    <row r="844" spans="1:7" ht="12.75">
      <c r="A844" s="98" t="s">
        <v>1478</v>
      </c>
      <c r="B844" s="98"/>
      <c r="C844" s="98" t="s">
        <v>428</v>
      </c>
      <c r="D844" s="4" t="s">
        <v>428</v>
      </c>
      <c r="E844" s="7">
        <v>38</v>
      </c>
      <c r="F844" s="7">
        <v>96</v>
      </c>
      <c r="G844" s="4" t="s">
        <v>74</v>
      </c>
    </row>
    <row r="845" spans="1:7" ht="12.75">
      <c r="A845" s="98" t="s">
        <v>1479</v>
      </c>
      <c r="B845" s="98" t="s">
        <v>368</v>
      </c>
      <c r="C845" s="98"/>
      <c r="D845" s="4" t="s">
        <v>368</v>
      </c>
      <c r="E845" s="7">
        <v>1000</v>
      </c>
      <c r="F845" s="7">
        <v>1000</v>
      </c>
      <c r="G845" s="4" t="s">
        <v>74</v>
      </c>
    </row>
    <row r="846" spans="1:7" ht="12.75">
      <c r="A846" s="98" t="s">
        <v>1480</v>
      </c>
      <c r="B846" s="98"/>
      <c r="C846" s="98" t="s">
        <v>428</v>
      </c>
      <c r="D846" s="4" t="s">
        <v>428</v>
      </c>
      <c r="E846" s="7">
        <v>38</v>
      </c>
      <c r="F846" s="7">
        <v>96</v>
      </c>
      <c r="G846" s="4" t="s">
        <v>74</v>
      </c>
    </row>
    <row r="847" spans="1:7" ht="12.75">
      <c r="A847" s="98" t="s">
        <v>1481</v>
      </c>
      <c r="B847" s="98" t="s">
        <v>1482</v>
      </c>
      <c r="C847" s="98"/>
      <c r="D847" s="4" t="s">
        <v>1482</v>
      </c>
      <c r="E847" s="7">
        <v>924</v>
      </c>
      <c r="F847" s="7">
        <v>924</v>
      </c>
      <c r="G847" s="4" t="s">
        <v>74</v>
      </c>
    </row>
    <row r="848" spans="1:7" ht="12.75">
      <c r="A848" s="98" t="s">
        <v>1483</v>
      </c>
      <c r="B848" s="98"/>
      <c r="C848" s="98" t="s">
        <v>428</v>
      </c>
      <c r="D848" s="4" t="s">
        <v>428</v>
      </c>
      <c r="E848" s="7">
        <v>38</v>
      </c>
      <c r="F848" s="7">
        <v>96</v>
      </c>
      <c r="G848" s="4" t="s">
        <v>74</v>
      </c>
    </row>
    <row r="849" spans="1:7" ht="12.75">
      <c r="A849" s="98" t="s">
        <v>1484</v>
      </c>
      <c r="B849" s="98"/>
      <c r="C849" s="98" t="s">
        <v>428</v>
      </c>
      <c r="D849" s="4" t="s">
        <v>428</v>
      </c>
      <c r="E849" s="7">
        <v>38</v>
      </c>
      <c r="F849" s="7">
        <v>96</v>
      </c>
      <c r="G849" s="4" t="s">
        <v>74</v>
      </c>
    </row>
    <row r="850" spans="1:7" ht="12.75">
      <c r="A850" s="98" t="s">
        <v>1485</v>
      </c>
      <c r="B850" s="98"/>
      <c r="C850" s="98" t="s">
        <v>428</v>
      </c>
      <c r="D850" s="4" t="s">
        <v>428</v>
      </c>
      <c r="E850" s="7">
        <v>38</v>
      </c>
      <c r="F850" s="7">
        <v>96</v>
      </c>
      <c r="G850" s="4" t="s">
        <v>74</v>
      </c>
    </row>
    <row r="851" spans="1:7" ht="12.75">
      <c r="A851" s="98" t="s">
        <v>1486</v>
      </c>
      <c r="B851" s="98"/>
      <c r="C851" s="98" t="s">
        <v>428</v>
      </c>
      <c r="D851" s="4" t="s">
        <v>428</v>
      </c>
      <c r="E851" s="7">
        <v>38</v>
      </c>
      <c r="F851" s="7">
        <v>96</v>
      </c>
      <c r="G851" s="4" t="s">
        <v>74</v>
      </c>
    </row>
    <row r="852" spans="1:7" ht="12.75">
      <c r="A852" s="98" t="s">
        <v>1487</v>
      </c>
      <c r="B852" s="98"/>
      <c r="C852" s="98" t="s">
        <v>428</v>
      </c>
      <c r="D852" s="4" t="s">
        <v>428</v>
      </c>
      <c r="E852" s="7">
        <v>38</v>
      </c>
      <c r="F852" s="7">
        <v>96</v>
      </c>
      <c r="G852" s="4" t="s">
        <v>74</v>
      </c>
    </row>
    <row r="853" spans="1:7" ht="12.75">
      <c r="A853" s="98" t="s">
        <v>1488</v>
      </c>
      <c r="B853" s="98"/>
      <c r="C853" s="98" t="s">
        <v>428</v>
      </c>
      <c r="D853" s="4" t="s">
        <v>428</v>
      </c>
      <c r="E853" s="7">
        <v>38</v>
      </c>
      <c r="F853" s="7">
        <v>96</v>
      </c>
      <c r="G853" s="4" t="s">
        <v>74</v>
      </c>
    </row>
    <row r="854" spans="1:7" ht="12.75">
      <c r="A854" s="98" t="s">
        <v>1489</v>
      </c>
      <c r="B854" s="98"/>
      <c r="C854" s="98" t="s">
        <v>428</v>
      </c>
      <c r="D854" s="4" t="s">
        <v>428</v>
      </c>
      <c r="E854" s="7">
        <v>38</v>
      </c>
      <c r="F854" s="7">
        <v>96</v>
      </c>
      <c r="G854" s="4" t="s">
        <v>74</v>
      </c>
    </row>
    <row r="855" spans="1:7" ht="12.75">
      <c r="A855" s="98" t="s">
        <v>1490</v>
      </c>
      <c r="B855" s="98"/>
      <c r="C855" s="98" t="s">
        <v>428</v>
      </c>
      <c r="D855" s="4" t="s">
        <v>428</v>
      </c>
      <c r="E855" s="7">
        <v>38</v>
      </c>
      <c r="F855" s="7">
        <v>96</v>
      </c>
      <c r="G855" s="4" t="s">
        <v>74</v>
      </c>
    </row>
    <row r="856" spans="1:7" ht="12.75">
      <c r="A856" s="98" t="s">
        <v>1491</v>
      </c>
      <c r="B856" s="98"/>
      <c r="C856" s="98" t="s">
        <v>428</v>
      </c>
      <c r="D856" s="4" t="s">
        <v>428</v>
      </c>
      <c r="E856" s="7">
        <v>38</v>
      </c>
      <c r="F856" s="7">
        <v>96</v>
      </c>
      <c r="G856" s="4" t="s">
        <v>74</v>
      </c>
    </row>
    <row r="857" spans="1:7" ht="12.75">
      <c r="A857" s="98" t="s">
        <v>1492</v>
      </c>
      <c r="B857" s="98" t="s">
        <v>452</v>
      </c>
      <c r="C857" s="98"/>
      <c r="D857" s="4" t="s">
        <v>452</v>
      </c>
      <c r="E857" s="7">
        <v>120</v>
      </c>
      <c r="F857" s="7">
        <v>183</v>
      </c>
      <c r="G857" s="4" t="s">
        <v>74</v>
      </c>
    </row>
    <row r="858" spans="1:7" ht="12.75">
      <c r="A858" s="98" t="s">
        <v>1493</v>
      </c>
      <c r="B858" s="98"/>
      <c r="C858" s="98" t="s">
        <v>428</v>
      </c>
      <c r="D858" s="4" t="s">
        <v>428</v>
      </c>
      <c r="E858" s="7">
        <v>38</v>
      </c>
      <c r="F858" s="7">
        <v>96</v>
      </c>
      <c r="G858" s="4" t="s">
        <v>74</v>
      </c>
    </row>
    <row r="859" spans="1:7" ht="12.75">
      <c r="A859" s="98" t="s">
        <v>1494</v>
      </c>
      <c r="B859" s="98" t="s">
        <v>1495</v>
      </c>
      <c r="C859" s="98"/>
      <c r="D859" s="4" t="s">
        <v>1495</v>
      </c>
      <c r="E859" s="7">
        <v>27215</v>
      </c>
      <c r="F859" s="7">
        <v>27215</v>
      </c>
      <c r="G859" s="4" t="s">
        <v>74</v>
      </c>
    </row>
    <row r="860" spans="1:7" ht="12.75">
      <c r="A860" s="98" t="s">
        <v>1496</v>
      </c>
      <c r="B860" s="98"/>
      <c r="C860" s="98" t="s">
        <v>428</v>
      </c>
      <c r="D860" s="4" t="s">
        <v>428</v>
      </c>
      <c r="E860" s="7">
        <v>38</v>
      </c>
      <c r="F860" s="7">
        <v>96</v>
      </c>
      <c r="G860" s="4" t="s">
        <v>74</v>
      </c>
    </row>
    <row r="861" spans="1:7" ht="12.75">
      <c r="A861" s="98" t="s">
        <v>1497</v>
      </c>
      <c r="B861" s="98"/>
      <c r="C861" s="98" t="s">
        <v>428</v>
      </c>
      <c r="D861" s="4" t="s">
        <v>428</v>
      </c>
      <c r="E861" s="7">
        <v>38</v>
      </c>
      <c r="F861" s="7">
        <v>96</v>
      </c>
      <c r="G861" s="4" t="s">
        <v>74</v>
      </c>
    </row>
    <row r="862" spans="1:7" ht="12.75">
      <c r="A862" s="98" t="s">
        <v>1498</v>
      </c>
      <c r="B862" s="98"/>
      <c r="C862" s="98" t="s">
        <v>428</v>
      </c>
      <c r="D862" s="4" t="s">
        <v>428</v>
      </c>
      <c r="E862" s="7">
        <v>38</v>
      </c>
      <c r="F862" s="7">
        <v>96</v>
      </c>
      <c r="G862" s="4" t="s">
        <v>74</v>
      </c>
    </row>
    <row r="863" spans="1:7" ht="12.75">
      <c r="A863" s="98" t="s">
        <v>1499</v>
      </c>
      <c r="B863" s="98"/>
      <c r="C863" s="98" t="s">
        <v>428</v>
      </c>
      <c r="D863" s="4" t="s">
        <v>428</v>
      </c>
      <c r="E863" s="7">
        <v>38</v>
      </c>
      <c r="F863" s="7">
        <v>96</v>
      </c>
      <c r="G863" s="4" t="s">
        <v>74</v>
      </c>
    </row>
    <row r="864" spans="1:7" ht="12.75">
      <c r="A864" s="98" t="s">
        <v>1500</v>
      </c>
      <c r="B864" s="98"/>
      <c r="C864" s="98" t="s">
        <v>428</v>
      </c>
      <c r="D864" s="4" t="s">
        <v>428</v>
      </c>
      <c r="E864" s="7">
        <v>38</v>
      </c>
      <c r="F864" s="7">
        <v>96</v>
      </c>
      <c r="G864" s="4" t="s">
        <v>74</v>
      </c>
    </row>
    <row r="865" spans="1:7" ht="12.75">
      <c r="A865" s="98" t="s">
        <v>1501</v>
      </c>
      <c r="B865" s="98"/>
      <c r="C865" s="98" t="s">
        <v>428</v>
      </c>
      <c r="D865" s="4" t="s">
        <v>428</v>
      </c>
      <c r="E865" s="7">
        <v>38</v>
      </c>
      <c r="F865" s="7">
        <v>96</v>
      </c>
      <c r="G865" s="4" t="s">
        <v>74</v>
      </c>
    </row>
    <row r="866" spans="1:7" ht="12.75">
      <c r="A866" s="98" t="s">
        <v>1502</v>
      </c>
      <c r="B866" s="98"/>
      <c r="C866" s="98" t="s">
        <v>428</v>
      </c>
      <c r="D866" s="4" t="s">
        <v>428</v>
      </c>
      <c r="E866" s="7">
        <v>38</v>
      </c>
      <c r="F866" s="7">
        <v>96</v>
      </c>
      <c r="G866" s="4" t="s">
        <v>74</v>
      </c>
    </row>
    <row r="867" spans="1:7" ht="12.75">
      <c r="A867" s="98" t="s">
        <v>1503</v>
      </c>
      <c r="B867" s="98"/>
      <c r="C867" s="98" t="s">
        <v>428</v>
      </c>
      <c r="D867" s="4" t="s">
        <v>428</v>
      </c>
      <c r="E867" s="7">
        <v>38</v>
      </c>
      <c r="F867" s="7">
        <v>96</v>
      </c>
      <c r="G867" s="4" t="s">
        <v>74</v>
      </c>
    </row>
    <row r="868" spans="1:7" ht="12.75">
      <c r="A868" s="98" t="s">
        <v>1504</v>
      </c>
      <c r="B868" s="98"/>
      <c r="C868" s="98" t="s">
        <v>512</v>
      </c>
      <c r="D868" s="4" t="s">
        <v>512</v>
      </c>
      <c r="E868" s="7">
        <v>5950</v>
      </c>
      <c r="F868" s="7">
        <v>10539</v>
      </c>
      <c r="G868" s="4" t="s">
        <v>74</v>
      </c>
    </row>
    <row r="869" spans="1:7" ht="12.75">
      <c r="A869" s="98" t="s">
        <v>1505</v>
      </c>
      <c r="B869" s="98"/>
      <c r="C869" s="98" t="s">
        <v>428</v>
      </c>
      <c r="D869" s="4" t="s">
        <v>428</v>
      </c>
      <c r="E869" s="7">
        <v>38</v>
      </c>
      <c r="F869" s="7">
        <v>96</v>
      </c>
      <c r="G869" s="4" t="s">
        <v>74</v>
      </c>
    </row>
    <row r="870" spans="1:7" ht="12.75">
      <c r="A870" s="98" t="s">
        <v>1506</v>
      </c>
      <c r="B870" s="98"/>
      <c r="C870" s="98" t="s">
        <v>428</v>
      </c>
      <c r="D870" s="4" t="s">
        <v>428</v>
      </c>
      <c r="E870" s="7">
        <v>38</v>
      </c>
      <c r="F870" s="7">
        <v>96</v>
      </c>
      <c r="G870" s="4" t="s">
        <v>74</v>
      </c>
    </row>
    <row r="871" spans="1:7" ht="12.75">
      <c r="A871" s="98" t="s">
        <v>1507</v>
      </c>
      <c r="B871" s="98"/>
      <c r="C871" s="98" t="s">
        <v>428</v>
      </c>
      <c r="D871" s="4" t="s">
        <v>428</v>
      </c>
      <c r="E871" s="7">
        <v>38</v>
      </c>
      <c r="F871" s="7">
        <v>96</v>
      </c>
      <c r="G871" s="4" t="s">
        <v>74</v>
      </c>
    </row>
    <row r="872" spans="1:7" ht="12.75">
      <c r="A872" s="98" t="s">
        <v>1508</v>
      </c>
      <c r="B872" s="98"/>
      <c r="C872" s="98" t="s">
        <v>428</v>
      </c>
      <c r="D872" s="4" t="s">
        <v>428</v>
      </c>
      <c r="E872" s="7">
        <v>38</v>
      </c>
      <c r="F872" s="7">
        <v>96</v>
      </c>
      <c r="G872" s="4" t="s">
        <v>74</v>
      </c>
    </row>
    <row r="873" spans="1:7" ht="12.75">
      <c r="A873" s="98" t="s">
        <v>1509</v>
      </c>
      <c r="B873" s="98"/>
      <c r="C873" s="98" t="s">
        <v>428</v>
      </c>
      <c r="D873" s="4" t="s">
        <v>428</v>
      </c>
      <c r="E873" s="7">
        <v>38</v>
      </c>
      <c r="F873" s="7">
        <v>96</v>
      </c>
      <c r="G873" s="4" t="s">
        <v>74</v>
      </c>
    </row>
    <row r="874" spans="1:7" ht="12.75">
      <c r="A874" s="98" t="s">
        <v>1510</v>
      </c>
      <c r="B874" s="98" t="s">
        <v>1511</v>
      </c>
      <c r="C874" s="98"/>
      <c r="D874" s="4" t="s">
        <v>1511</v>
      </c>
      <c r="E874" s="7">
        <v>454</v>
      </c>
      <c r="F874" s="7">
        <v>454</v>
      </c>
      <c r="G874" s="4" t="s">
        <v>74</v>
      </c>
    </row>
    <row r="875" spans="1:7" ht="12.75">
      <c r="A875" s="98" t="s">
        <v>1512</v>
      </c>
      <c r="B875" s="98"/>
      <c r="C875" s="98" t="s">
        <v>428</v>
      </c>
      <c r="D875" s="4" t="s">
        <v>428</v>
      </c>
      <c r="E875" s="7">
        <v>38</v>
      </c>
      <c r="F875" s="7">
        <v>96</v>
      </c>
      <c r="G875" s="4" t="s">
        <v>74</v>
      </c>
    </row>
    <row r="876" spans="1:7" ht="12.75">
      <c r="A876" s="98" t="s">
        <v>1513</v>
      </c>
      <c r="B876" s="98"/>
      <c r="C876" s="98" t="s">
        <v>428</v>
      </c>
      <c r="D876" s="4" t="s">
        <v>428</v>
      </c>
      <c r="E876" s="7">
        <v>38</v>
      </c>
      <c r="F876" s="7">
        <v>96</v>
      </c>
      <c r="G876" s="4" t="s">
        <v>74</v>
      </c>
    </row>
    <row r="877" spans="1:7" ht="12.75">
      <c r="A877" s="98" t="s">
        <v>1514</v>
      </c>
      <c r="B877" s="98" t="s">
        <v>452</v>
      </c>
      <c r="C877" s="98"/>
      <c r="D877" s="4" t="s">
        <v>452</v>
      </c>
      <c r="E877" s="7">
        <v>120</v>
      </c>
      <c r="F877" s="7">
        <v>183</v>
      </c>
      <c r="G877" s="4" t="s">
        <v>74</v>
      </c>
    </row>
    <row r="878" spans="1:7" ht="12.75">
      <c r="A878" s="98" t="s">
        <v>1515</v>
      </c>
      <c r="B878" s="98"/>
      <c r="C878" s="98" t="s">
        <v>428</v>
      </c>
      <c r="D878" s="4" t="s">
        <v>428</v>
      </c>
      <c r="E878" s="7">
        <v>38</v>
      </c>
      <c r="F878" s="7">
        <v>96</v>
      </c>
      <c r="G878" s="4" t="s">
        <v>74</v>
      </c>
    </row>
    <row r="879" spans="1:7" ht="12.75">
      <c r="A879" s="98" t="s">
        <v>1516</v>
      </c>
      <c r="B879" s="98" t="s">
        <v>1517</v>
      </c>
      <c r="C879" s="98"/>
      <c r="D879" s="4" t="s">
        <v>1517</v>
      </c>
      <c r="E879" s="7">
        <v>35000</v>
      </c>
      <c r="F879" s="7">
        <v>70000</v>
      </c>
      <c r="G879" s="4" t="s">
        <v>74</v>
      </c>
    </row>
    <row r="880" spans="1:7" ht="12.75">
      <c r="A880" s="98" t="s">
        <v>1518</v>
      </c>
      <c r="B880" s="98"/>
      <c r="C880" s="98" t="s">
        <v>512</v>
      </c>
      <c r="D880" s="4" t="s">
        <v>512</v>
      </c>
      <c r="E880" s="7">
        <v>5950</v>
      </c>
      <c r="F880" s="7">
        <v>10539</v>
      </c>
      <c r="G880" s="4" t="s">
        <v>74</v>
      </c>
    </row>
    <row r="881" spans="1:7" ht="12.75">
      <c r="A881" s="98" t="s">
        <v>1519</v>
      </c>
      <c r="B881" s="98"/>
      <c r="C881" s="98" t="s">
        <v>428</v>
      </c>
      <c r="D881" s="4" t="s">
        <v>428</v>
      </c>
      <c r="E881" s="7">
        <v>38</v>
      </c>
      <c r="F881" s="7">
        <v>96</v>
      </c>
      <c r="G881" s="4" t="s">
        <v>74</v>
      </c>
    </row>
    <row r="882" spans="1:7" ht="12.75">
      <c r="A882" s="98" t="s">
        <v>1520</v>
      </c>
      <c r="B882" s="98"/>
      <c r="C882" s="98" t="s">
        <v>428</v>
      </c>
      <c r="D882" s="4" t="s">
        <v>428</v>
      </c>
      <c r="E882" s="7">
        <v>38</v>
      </c>
      <c r="F882" s="7">
        <v>96</v>
      </c>
      <c r="G882" s="4" t="s">
        <v>74</v>
      </c>
    </row>
    <row r="883" spans="1:7" ht="12.75">
      <c r="A883" s="98" t="s">
        <v>1521</v>
      </c>
      <c r="B883" s="98"/>
      <c r="C883" s="98" t="s">
        <v>428</v>
      </c>
      <c r="D883" s="4" t="s">
        <v>428</v>
      </c>
      <c r="E883" s="7">
        <v>38</v>
      </c>
      <c r="F883" s="7">
        <v>96</v>
      </c>
      <c r="G883" s="4" t="s">
        <v>74</v>
      </c>
    </row>
    <row r="884" spans="1:7" ht="12.75">
      <c r="A884" s="98" t="s">
        <v>1522</v>
      </c>
      <c r="B884" s="98"/>
      <c r="C884" s="98" t="s">
        <v>428</v>
      </c>
      <c r="D884" s="4" t="s">
        <v>428</v>
      </c>
      <c r="E884" s="7">
        <v>38</v>
      </c>
      <c r="F884" s="7">
        <v>96</v>
      </c>
      <c r="G884" s="4" t="s">
        <v>74</v>
      </c>
    </row>
    <row r="885" spans="1:7" ht="12.75">
      <c r="A885" s="98" t="s">
        <v>1523</v>
      </c>
      <c r="B885" s="98"/>
      <c r="C885" s="98" t="s">
        <v>428</v>
      </c>
      <c r="D885" s="4" t="s">
        <v>428</v>
      </c>
      <c r="E885" s="7">
        <v>38</v>
      </c>
      <c r="F885" s="7">
        <v>96</v>
      </c>
      <c r="G885" s="4" t="s">
        <v>74</v>
      </c>
    </row>
    <row r="886" spans="1:7" ht="12.75">
      <c r="A886" s="98" t="s">
        <v>1524</v>
      </c>
      <c r="B886" s="99" t="s">
        <v>1525</v>
      </c>
      <c r="C886" s="98"/>
      <c r="D886" s="4" t="s">
        <v>1525</v>
      </c>
      <c r="E886" s="7">
        <v>5</v>
      </c>
      <c r="F886" s="7">
        <v>5</v>
      </c>
      <c r="G886" s="4" t="s">
        <v>74</v>
      </c>
    </row>
    <row r="887" spans="1:7" ht="12.75">
      <c r="A887" s="98" t="s">
        <v>1526</v>
      </c>
      <c r="B887" s="98"/>
      <c r="C887" s="98" t="s">
        <v>428</v>
      </c>
      <c r="D887" s="4" t="s">
        <v>428</v>
      </c>
      <c r="E887" s="7">
        <v>38</v>
      </c>
      <c r="F887" s="7">
        <v>96</v>
      </c>
      <c r="G887" s="4" t="s">
        <v>74</v>
      </c>
    </row>
    <row r="888" spans="1:7" ht="12.75">
      <c r="A888" s="98" t="s">
        <v>1527</v>
      </c>
      <c r="B888" s="98" t="s">
        <v>1528</v>
      </c>
      <c r="C888" s="98"/>
      <c r="D888" s="4" t="s">
        <v>1528</v>
      </c>
      <c r="E888" s="7">
        <v>1000000</v>
      </c>
      <c r="F888" s="7">
        <v>1000000</v>
      </c>
      <c r="G888" s="4" t="s">
        <v>74</v>
      </c>
    </row>
    <row r="889" spans="1:7" ht="12.75">
      <c r="A889" s="98" t="s">
        <v>1529</v>
      </c>
      <c r="B889" s="98" t="s">
        <v>1530</v>
      </c>
      <c r="C889" s="98"/>
      <c r="D889" s="4" t="s">
        <v>1530</v>
      </c>
      <c r="E889" s="7">
        <v>141</v>
      </c>
      <c r="F889" s="7">
        <v>141</v>
      </c>
      <c r="G889" s="4" t="s">
        <v>74</v>
      </c>
    </row>
    <row r="890" spans="1:7" ht="12.75">
      <c r="A890" s="98" t="s">
        <v>1531</v>
      </c>
      <c r="B890" s="98"/>
      <c r="C890" s="98" t="s">
        <v>428</v>
      </c>
      <c r="D890" s="4" t="s">
        <v>428</v>
      </c>
      <c r="E890" s="7">
        <v>38</v>
      </c>
      <c r="F890" s="7">
        <v>96</v>
      </c>
      <c r="G890" s="4" t="s">
        <v>74</v>
      </c>
    </row>
    <row r="891" spans="1:7" ht="12.75">
      <c r="A891" s="98" t="s">
        <v>1532</v>
      </c>
      <c r="B891" s="98" t="s">
        <v>1533</v>
      </c>
      <c r="C891" s="98"/>
      <c r="D891" s="4" t="s">
        <v>1533</v>
      </c>
      <c r="E891" s="7">
        <v>93</v>
      </c>
      <c r="F891" s="7">
        <v>93</v>
      </c>
      <c r="G891" s="4" t="s">
        <v>74</v>
      </c>
    </row>
    <row r="892" spans="1:7" ht="12.75">
      <c r="A892" s="98" t="s">
        <v>1534</v>
      </c>
      <c r="B892" s="98"/>
      <c r="C892" s="98" t="s">
        <v>428</v>
      </c>
      <c r="D892" s="4" t="s">
        <v>428</v>
      </c>
      <c r="E892" s="7">
        <v>38</v>
      </c>
      <c r="F892" s="7">
        <v>96</v>
      </c>
      <c r="G892" s="4" t="s">
        <v>74</v>
      </c>
    </row>
    <row r="893" spans="1:7" ht="12.75">
      <c r="A893" s="98" t="s">
        <v>1535</v>
      </c>
      <c r="B893" s="98"/>
      <c r="C893" s="98" t="s">
        <v>428</v>
      </c>
      <c r="D893" s="4" t="s">
        <v>428</v>
      </c>
      <c r="E893" s="7">
        <v>38</v>
      </c>
      <c r="F893" s="7">
        <v>96</v>
      </c>
      <c r="G893" s="4" t="s">
        <v>74</v>
      </c>
    </row>
    <row r="894" spans="1:7" ht="12.75">
      <c r="A894" s="98" t="s">
        <v>1536</v>
      </c>
      <c r="B894" s="98"/>
      <c r="C894" s="98" t="s">
        <v>428</v>
      </c>
      <c r="D894" s="4" t="s">
        <v>428</v>
      </c>
      <c r="E894" s="7">
        <v>38</v>
      </c>
      <c r="F894" s="7">
        <v>96</v>
      </c>
      <c r="G894" s="4" t="s">
        <v>74</v>
      </c>
    </row>
    <row r="895" spans="1:7" ht="12.75">
      <c r="A895" s="98" t="s">
        <v>1537</v>
      </c>
      <c r="B895" s="98"/>
      <c r="C895" s="98" t="s">
        <v>428</v>
      </c>
      <c r="D895" s="4" t="s">
        <v>428</v>
      </c>
      <c r="E895" s="7">
        <v>38</v>
      </c>
      <c r="F895" s="7">
        <v>96</v>
      </c>
      <c r="G895" s="4" t="s">
        <v>74</v>
      </c>
    </row>
    <row r="896" spans="1:7" ht="12.75">
      <c r="A896" s="98" t="s">
        <v>1538</v>
      </c>
      <c r="B896" s="98"/>
      <c r="C896" s="98" t="s">
        <v>428</v>
      </c>
      <c r="D896" s="4" t="s">
        <v>428</v>
      </c>
      <c r="E896" s="7">
        <v>38</v>
      </c>
      <c r="F896" s="7">
        <v>96</v>
      </c>
      <c r="G896" s="4" t="s">
        <v>74</v>
      </c>
    </row>
    <row r="897" spans="1:7" ht="12.75">
      <c r="A897" s="98" t="s">
        <v>1539</v>
      </c>
      <c r="B897" s="98"/>
      <c r="C897" s="98" t="s">
        <v>428</v>
      </c>
      <c r="D897" s="4" t="s">
        <v>428</v>
      </c>
      <c r="E897" s="7">
        <v>38</v>
      </c>
      <c r="F897" s="7">
        <v>96</v>
      </c>
      <c r="G897" s="4" t="s">
        <v>74</v>
      </c>
    </row>
    <row r="898" spans="1:7" ht="12.75">
      <c r="A898" s="98" t="s">
        <v>1540</v>
      </c>
      <c r="B898" s="98"/>
      <c r="C898" s="98" t="s">
        <v>428</v>
      </c>
      <c r="D898" s="4" t="s">
        <v>428</v>
      </c>
      <c r="E898" s="7">
        <v>38</v>
      </c>
      <c r="F898" s="7">
        <v>96</v>
      </c>
      <c r="G898" s="4" t="s">
        <v>74</v>
      </c>
    </row>
    <row r="899" spans="1:7" ht="12.75">
      <c r="A899" s="98" t="s">
        <v>1541</v>
      </c>
      <c r="B899" s="98"/>
      <c r="C899" s="98" t="s">
        <v>428</v>
      </c>
      <c r="D899" s="4" t="s">
        <v>428</v>
      </c>
      <c r="E899" s="7">
        <v>38</v>
      </c>
      <c r="F899" s="7">
        <v>96</v>
      </c>
      <c r="G899" s="4" t="s">
        <v>74</v>
      </c>
    </row>
    <row r="900" spans="1:7" ht="12.75">
      <c r="A900" s="98" t="s">
        <v>1542</v>
      </c>
      <c r="B900" s="98" t="s">
        <v>1543</v>
      </c>
      <c r="C900" s="98"/>
      <c r="D900" s="4" t="s">
        <v>1543</v>
      </c>
      <c r="E900" s="7">
        <v>3740</v>
      </c>
      <c r="F900" s="7">
        <v>5100</v>
      </c>
      <c r="G900" s="4" t="s">
        <v>74</v>
      </c>
    </row>
    <row r="901" spans="1:7" ht="12.75">
      <c r="A901" s="98" t="s">
        <v>1544</v>
      </c>
      <c r="B901" s="98" t="s">
        <v>1545</v>
      </c>
      <c r="C901" s="98"/>
      <c r="D901" s="4" t="s">
        <v>1545</v>
      </c>
      <c r="E901" s="7">
        <v>704</v>
      </c>
      <c r="F901" s="7">
        <v>960</v>
      </c>
      <c r="G901" s="4" t="s">
        <v>74</v>
      </c>
    </row>
    <row r="902" spans="1:7" ht="12.75">
      <c r="A902" s="98" t="s">
        <v>1546</v>
      </c>
      <c r="B902" s="98" t="s">
        <v>1547</v>
      </c>
      <c r="C902" s="98"/>
      <c r="D902" s="4" t="s">
        <v>1547</v>
      </c>
      <c r="E902" s="7">
        <v>2759</v>
      </c>
      <c r="F902" s="7">
        <v>2795</v>
      </c>
      <c r="G902" s="4" t="s">
        <v>74</v>
      </c>
    </row>
    <row r="903" spans="1:7" ht="12.75">
      <c r="A903" s="98" t="s">
        <v>1548</v>
      </c>
      <c r="B903" s="98"/>
      <c r="C903" s="98" t="s">
        <v>428</v>
      </c>
      <c r="D903" s="4" t="s">
        <v>428</v>
      </c>
      <c r="E903" s="7">
        <v>38</v>
      </c>
      <c r="F903" s="7">
        <v>96</v>
      </c>
      <c r="G903" s="4" t="s">
        <v>74</v>
      </c>
    </row>
    <row r="904" spans="1:7" ht="12.75">
      <c r="A904" s="98" t="s">
        <v>1549</v>
      </c>
      <c r="B904" s="98" t="s">
        <v>1550</v>
      </c>
      <c r="C904" s="98"/>
      <c r="D904" s="4" t="s">
        <v>1550</v>
      </c>
      <c r="E904" s="7">
        <v>300</v>
      </c>
      <c r="F904" s="7">
        <v>1814</v>
      </c>
      <c r="G904" s="4" t="s">
        <v>74</v>
      </c>
    </row>
    <row r="905" spans="1:7" ht="12.75">
      <c r="A905" s="98" t="s">
        <v>1551</v>
      </c>
      <c r="B905" s="98"/>
      <c r="C905" s="98" t="s">
        <v>428</v>
      </c>
      <c r="D905" s="4" t="s">
        <v>428</v>
      </c>
      <c r="E905" s="7">
        <v>38</v>
      </c>
      <c r="F905" s="7">
        <v>96</v>
      </c>
      <c r="G905" s="4" t="s">
        <v>74</v>
      </c>
    </row>
    <row r="906" spans="1:7" ht="12.75">
      <c r="A906" s="98" t="s">
        <v>1552</v>
      </c>
      <c r="B906" s="98"/>
      <c r="C906" s="98" t="s">
        <v>428</v>
      </c>
      <c r="D906" s="4" t="s">
        <v>428</v>
      </c>
      <c r="E906" s="7">
        <v>38</v>
      </c>
      <c r="F906" s="7">
        <v>96</v>
      </c>
      <c r="G906" s="4" t="s">
        <v>74</v>
      </c>
    </row>
    <row r="907" spans="1:7" ht="12.75">
      <c r="A907" s="98" t="s">
        <v>1553</v>
      </c>
      <c r="B907" s="98"/>
      <c r="C907" s="98" t="s">
        <v>428</v>
      </c>
      <c r="D907" s="4" t="s">
        <v>428</v>
      </c>
      <c r="E907" s="7">
        <v>38</v>
      </c>
      <c r="F907" s="7">
        <v>96</v>
      </c>
      <c r="G907" s="4" t="s">
        <v>74</v>
      </c>
    </row>
    <row r="908" spans="1:7" ht="12.75">
      <c r="A908" s="98" t="s">
        <v>1554</v>
      </c>
      <c r="B908" s="98"/>
      <c r="C908" s="98" t="s">
        <v>428</v>
      </c>
      <c r="D908" s="4" t="s">
        <v>428</v>
      </c>
      <c r="E908" s="7">
        <v>38</v>
      </c>
      <c r="F908" s="7">
        <v>96</v>
      </c>
      <c r="G908" s="4" t="s">
        <v>74</v>
      </c>
    </row>
    <row r="909" spans="1:7" ht="12.75">
      <c r="A909" s="98" t="s">
        <v>1555</v>
      </c>
      <c r="B909" s="98"/>
      <c r="C909" s="98" t="s">
        <v>428</v>
      </c>
      <c r="D909" s="4" t="s">
        <v>428</v>
      </c>
      <c r="E909" s="7">
        <v>38</v>
      </c>
      <c r="F909" s="7">
        <v>96</v>
      </c>
      <c r="G909" s="4" t="s">
        <v>74</v>
      </c>
    </row>
    <row r="910" spans="1:7" ht="12.75">
      <c r="A910" s="98" t="s">
        <v>1556</v>
      </c>
      <c r="B910" s="98"/>
      <c r="C910" s="98" t="s">
        <v>428</v>
      </c>
      <c r="D910" s="4" t="s">
        <v>428</v>
      </c>
      <c r="E910" s="7">
        <v>38</v>
      </c>
      <c r="F910" s="7">
        <v>96</v>
      </c>
      <c r="G910" s="4" t="s">
        <v>74</v>
      </c>
    </row>
    <row r="911" spans="1:7" ht="12.75">
      <c r="A911" s="98" t="s">
        <v>1557</v>
      </c>
      <c r="B911" s="98"/>
      <c r="C911" s="98" t="s">
        <v>428</v>
      </c>
      <c r="D911" s="4" t="s">
        <v>428</v>
      </c>
      <c r="E911" s="7">
        <v>38</v>
      </c>
      <c r="F911" s="7">
        <v>96</v>
      </c>
      <c r="G911" s="4" t="s">
        <v>74</v>
      </c>
    </row>
    <row r="912" spans="1:7" ht="12.75">
      <c r="A912" s="98" t="s">
        <v>1558</v>
      </c>
      <c r="B912" s="98" t="s">
        <v>699</v>
      </c>
      <c r="C912" s="98"/>
      <c r="D912" s="4" t="s">
        <v>699</v>
      </c>
      <c r="E912" s="7">
        <v>23</v>
      </c>
      <c r="F912" s="7">
        <v>28</v>
      </c>
      <c r="G912" s="4" t="s">
        <v>74</v>
      </c>
    </row>
    <row r="913" spans="1:7" ht="12.75">
      <c r="A913" s="98" t="s">
        <v>1559</v>
      </c>
      <c r="B913" s="98"/>
      <c r="C913" s="98" t="s">
        <v>396</v>
      </c>
      <c r="D913" s="4" t="s">
        <v>396</v>
      </c>
      <c r="E913" s="7">
        <v>38</v>
      </c>
      <c r="F913" s="7">
        <v>97</v>
      </c>
      <c r="G913" s="4" t="s">
        <v>74</v>
      </c>
    </row>
    <row r="914" spans="1:7" ht="12.75">
      <c r="A914" s="98" t="s">
        <v>1560</v>
      </c>
      <c r="B914" s="98"/>
      <c r="C914" s="98" t="s">
        <v>428</v>
      </c>
      <c r="D914" s="4" t="s">
        <v>428</v>
      </c>
      <c r="E914" s="7">
        <v>38</v>
      </c>
      <c r="F914" s="7">
        <v>96</v>
      </c>
      <c r="G914" s="4" t="s">
        <v>74</v>
      </c>
    </row>
    <row r="915" spans="1:7" ht="12.75">
      <c r="A915" s="98" t="s">
        <v>1561</v>
      </c>
      <c r="B915" s="98"/>
      <c r="C915" s="98" t="s">
        <v>428</v>
      </c>
      <c r="D915" s="4" t="s">
        <v>428</v>
      </c>
      <c r="E915" s="7">
        <v>38</v>
      </c>
      <c r="F915" s="7">
        <v>96</v>
      </c>
      <c r="G915" s="4" t="s">
        <v>74</v>
      </c>
    </row>
    <row r="916" spans="1:7" ht="12.75">
      <c r="A916" s="98" t="s">
        <v>1562</v>
      </c>
      <c r="B916" s="98"/>
      <c r="C916" s="98" t="s">
        <v>428</v>
      </c>
      <c r="D916" s="4" t="s">
        <v>428</v>
      </c>
      <c r="E916" s="7">
        <v>38</v>
      </c>
      <c r="F916" s="7">
        <v>96</v>
      </c>
      <c r="G916" s="4" t="s">
        <v>74</v>
      </c>
    </row>
    <row r="917" spans="1:7" ht="12.75">
      <c r="A917" s="98" t="s">
        <v>1563</v>
      </c>
      <c r="B917" s="98"/>
      <c r="C917" s="98" t="s">
        <v>428</v>
      </c>
      <c r="D917" s="4" t="s">
        <v>428</v>
      </c>
      <c r="E917" s="7">
        <v>38</v>
      </c>
      <c r="F917" s="7">
        <v>96</v>
      </c>
      <c r="G917" s="4" t="s">
        <v>74</v>
      </c>
    </row>
    <row r="918" spans="1:7" ht="12.75">
      <c r="A918" s="98" t="s">
        <v>1564</v>
      </c>
      <c r="B918" s="98" t="s">
        <v>1565</v>
      </c>
      <c r="C918" s="98"/>
      <c r="D918" s="4" t="s">
        <v>1565</v>
      </c>
      <c r="E918" s="7">
        <v>907</v>
      </c>
      <c r="F918" s="7">
        <v>2272</v>
      </c>
      <c r="G918" s="4" t="s">
        <v>74</v>
      </c>
    </row>
    <row r="919" spans="1:7" ht="12.75">
      <c r="A919" s="98" t="s">
        <v>1566</v>
      </c>
      <c r="B919" s="98"/>
      <c r="C919" s="98" t="s">
        <v>428</v>
      </c>
      <c r="D919" s="4" t="s">
        <v>428</v>
      </c>
      <c r="E919" s="7">
        <v>38</v>
      </c>
      <c r="F919" s="7">
        <v>96</v>
      </c>
      <c r="G919" s="4" t="s">
        <v>74</v>
      </c>
    </row>
    <row r="920" spans="1:7" ht="12.75">
      <c r="A920" s="98" t="s">
        <v>1567</v>
      </c>
      <c r="B920" s="98"/>
      <c r="C920" s="98" t="s">
        <v>428</v>
      </c>
      <c r="D920" s="4" t="s">
        <v>428</v>
      </c>
      <c r="E920" s="7">
        <v>38</v>
      </c>
      <c r="F920" s="7">
        <v>96</v>
      </c>
      <c r="G920" s="4" t="s">
        <v>74</v>
      </c>
    </row>
    <row r="921" spans="1:7" ht="12.75">
      <c r="A921" s="98" t="s">
        <v>1568</v>
      </c>
      <c r="B921" s="98" t="s">
        <v>1569</v>
      </c>
      <c r="C921" s="98"/>
      <c r="D921" s="4" t="s">
        <v>1569</v>
      </c>
      <c r="E921" s="7">
        <v>11000</v>
      </c>
      <c r="F921" s="7">
        <v>11000</v>
      </c>
      <c r="G921" s="4" t="s">
        <v>74</v>
      </c>
    </row>
    <row r="922" spans="1:7" ht="12.75">
      <c r="A922" s="98" t="s">
        <v>1570</v>
      </c>
      <c r="B922" s="98"/>
      <c r="C922" s="98" t="s">
        <v>428</v>
      </c>
      <c r="D922" s="4" t="s">
        <v>428</v>
      </c>
      <c r="E922" s="7">
        <v>38</v>
      </c>
      <c r="F922" s="7">
        <v>96</v>
      </c>
      <c r="G922" s="4" t="s">
        <v>74</v>
      </c>
    </row>
    <row r="923" spans="1:7" ht="12.75">
      <c r="A923" s="98" t="s">
        <v>1571</v>
      </c>
      <c r="B923" s="98" t="s">
        <v>1572</v>
      </c>
      <c r="C923" s="98"/>
      <c r="D923" s="4" t="s">
        <v>1572</v>
      </c>
      <c r="E923" s="7">
        <v>135000</v>
      </c>
      <c r="F923" s="7">
        <v>135000</v>
      </c>
      <c r="G923" s="4" t="s">
        <v>74</v>
      </c>
    </row>
    <row r="924" spans="1:7" ht="12.75">
      <c r="A924" s="98" t="s">
        <v>1573</v>
      </c>
      <c r="B924" s="98"/>
      <c r="C924" s="98" t="s">
        <v>512</v>
      </c>
      <c r="D924" s="4" t="s">
        <v>512</v>
      </c>
      <c r="E924" s="7">
        <v>5950</v>
      </c>
      <c r="F924" s="7">
        <v>10539</v>
      </c>
      <c r="G924" s="4" t="s">
        <v>74</v>
      </c>
    </row>
    <row r="925" spans="1:7" ht="12.75">
      <c r="A925" s="98" t="s">
        <v>1574</v>
      </c>
      <c r="B925" s="98"/>
      <c r="C925" s="98" t="s">
        <v>428</v>
      </c>
      <c r="D925" s="4" t="s">
        <v>428</v>
      </c>
      <c r="E925" s="7">
        <v>38</v>
      </c>
      <c r="F925" s="7">
        <v>96</v>
      </c>
      <c r="G925" s="4" t="s">
        <v>74</v>
      </c>
    </row>
    <row r="926" spans="1:7" ht="12.75">
      <c r="A926" s="98" t="s">
        <v>1575</v>
      </c>
      <c r="B926" s="98"/>
      <c r="C926" s="98" t="s">
        <v>428</v>
      </c>
      <c r="D926" s="4" t="s">
        <v>428</v>
      </c>
      <c r="E926" s="7">
        <v>38</v>
      </c>
      <c r="F926" s="7">
        <v>96</v>
      </c>
      <c r="G926" s="4" t="s">
        <v>74</v>
      </c>
    </row>
    <row r="927" spans="1:7" ht="12.75">
      <c r="A927" s="98" t="s">
        <v>1576</v>
      </c>
      <c r="B927" s="98"/>
      <c r="C927" s="98" t="s">
        <v>428</v>
      </c>
      <c r="D927" s="4" t="s">
        <v>428</v>
      </c>
      <c r="E927" s="7">
        <v>38</v>
      </c>
      <c r="F927" s="7">
        <v>96</v>
      </c>
      <c r="G927" s="4" t="s">
        <v>74</v>
      </c>
    </row>
    <row r="928" spans="1:7" ht="12.75">
      <c r="A928" s="98" t="s">
        <v>1577</v>
      </c>
      <c r="B928" s="98"/>
      <c r="C928" s="98" t="s">
        <v>428</v>
      </c>
      <c r="D928" s="4" t="s">
        <v>428</v>
      </c>
      <c r="E928" s="7">
        <v>38</v>
      </c>
      <c r="F928" s="7">
        <v>96</v>
      </c>
      <c r="G928" s="4" t="s">
        <v>74</v>
      </c>
    </row>
    <row r="929" spans="1:7" ht="12.75">
      <c r="A929" s="98" t="s">
        <v>1578</v>
      </c>
      <c r="B929" s="98"/>
      <c r="C929" s="98" t="s">
        <v>428</v>
      </c>
      <c r="D929" s="4" t="s">
        <v>428</v>
      </c>
      <c r="E929" s="7">
        <v>38</v>
      </c>
      <c r="F929" s="7">
        <v>96</v>
      </c>
      <c r="G929" s="4" t="s">
        <v>74</v>
      </c>
    </row>
    <row r="930" spans="1:7" ht="12.75">
      <c r="A930" s="98" t="s">
        <v>1579</v>
      </c>
      <c r="B930" s="98"/>
      <c r="C930" s="98" t="s">
        <v>428</v>
      </c>
      <c r="D930" s="4" t="s">
        <v>428</v>
      </c>
      <c r="E930" s="7">
        <v>38</v>
      </c>
      <c r="F930" s="7">
        <v>96</v>
      </c>
      <c r="G930" s="4" t="s">
        <v>74</v>
      </c>
    </row>
    <row r="931" spans="1:7" ht="12.75">
      <c r="A931" s="98" t="s">
        <v>1580</v>
      </c>
      <c r="B931" s="98"/>
      <c r="C931" s="98" t="s">
        <v>428</v>
      </c>
      <c r="D931" s="4" t="s">
        <v>428</v>
      </c>
      <c r="E931" s="7">
        <v>38</v>
      </c>
      <c r="F931" s="7">
        <v>96</v>
      </c>
      <c r="G931" s="4" t="s">
        <v>74</v>
      </c>
    </row>
    <row r="932" spans="1:7" ht="12.75">
      <c r="A932" s="98" t="s">
        <v>1581</v>
      </c>
      <c r="B932" s="98"/>
      <c r="C932" s="98" t="s">
        <v>1218</v>
      </c>
      <c r="D932" s="4" t="s">
        <v>1218</v>
      </c>
      <c r="E932" s="7">
        <v>1155</v>
      </c>
      <c r="F932" s="7">
        <v>1575</v>
      </c>
      <c r="G932" s="4" t="s">
        <v>74</v>
      </c>
    </row>
    <row r="933" spans="1:7" ht="12.75">
      <c r="A933" s="98" t="s">
        <v>1582</v>
      </c>
      <c r="B933" s="98"/>
      <c r="C933" s="98" t="s">
        <v>512</v>
      </c>
      <c r="D933" s="4" t="s">
        <v>512</v>
      </c>
      <c r="E933" s="7">
        <v>5950</v>
      </c>
      <c r="F933" s="7">
        <v>10539</v>
      </c>
      <c r="G933" s="4" t="s">
        <v>74</v>
      </c>
    </row>
    <row r="934" spans="1:7" ht="12.75">
      <c r="A934" s="98" t="s">
        <v>1583</v>
      </c>
      <c r="B934" s="98"/>
      <c r="C934" s="98" t="s">
        <v>428</v>
      </c>
      <c r="D934" s="4" t="s">
        <v>428</v>
      </c>
      <c r="E934" s="7">
        <v>38</v>
      </c>
      <c r="F934" s="7">
        <v>96</v>
      </c>
      <c r="G934" s="4" t="s">
        <v>74</v>
      </c>
    </row>
    <row r="935" spans="1:7" ht="12.75">
      <c r="A935" s="98" t="s">
        <v>1584</v>
      </c>
      <c r="B935" s="98"/>
      <c r="C935" s="98" t="s">
        <v>428</v>
      </c>
      <c r="D935" s="4" t="s">
        <v>428</v>
      </c>
      <c r="E935" s="7">
        <v>38</v>
      </c>
      <c r="F935" s="7">
        <v>96</v>
      </c>
      <c r="G935" s="4" t="s">
        <v>74</v>
      </c>
    </row>
    <row r="936" spans="1:7" ht="12.75">
      <c r="A936" s="98" t="s">
        <v>1585</v>
      </c>
      <c r="B936" s="98"/>
      <c r="C936" s="98" t="s">
        <v>428</v>
      </c>
      <c r="D936" s="4" t="s">
        <v>428</v>
      </c>
      <c r="E936" s="7">
        <v>38</v>
      </c>
      <c r="F936" s="7">
        <v>96</v>
      </c>
      <c r="G936" s="4" t="s">
        <v>74</v>
      </c>
    </row>
    <row r="937" spans="1:7" ht="12.75">
      <c r="A937" s="98" t="s">
        <v>1586</v>
      </c>
      <c r="B937" s="98"/>
      <c r="C937" s="98" t="s">
        <v>428</v>
      </c>
      <c r="D937" s="4" t="s">
        <v>428</v>
      </c>
      <c r="E937" s="7">
        <v>38</v>
      </c>
      <c r="F937" s="7">
        <v>96</v>
      </c>
      <c r="G937" s="4" t="s">
        <v>74</v>
      </c>
    </row>
    <row r="938" spans="1:7" ht="12.75">
      <c r="A938" s="98" t="s">
        <v>1587</v>
      </c>
      <c r="B938" s="98"/>
      <c r="C938" s="98" t="s">
        <v>428</v>
      </c>
      <c r="D938" s="4" t="s">
        <v>428</v>
      </c>
      <c r="E938" s="7">
        <v>38</v>
      </c>
      <c r="F938" s="7">
        <v>96</v>
      </c>
      <c r="G938" s="4" t="s">
        <v>74</v>
      </c>
    </row>
    <row r="939" spans="1:7" ht="12.75">
      <c r="A939" s="98" t="s">
        <v>1588</v>
      </c>
      <c r="B939" s="98"/>
      <c r="C939" s="98" t="s">
        <v>428</v>
      </c>
      <c r="D939" s="4" t="s">
        <v>428</v>
      </c>
      <c r="E939" s="7">
        <v>38</v>
      </c>
      <c r="F939" s="7">
        <v>96</v>
      </c>
      <c r="G939" s="4" t="s">
        <v>74</v>
      </c>
    </row>
    <row r="940" spans="1:7" ht="12.75">
      <c r="A940" s="98" t="s">
        <v>1589</v>
      </c>
      <c r="B940" s="98"/>
      <c r="C940" s="98" t="s">
        <v>428</v>
      </c>
      <c r="D940" s="4" t="s">
        <v>428</v>
      </c>
      <c r="E940" s="7">
        <v>38</v>
      </c>
      <c r="F940" s="7">
        <v>96</v>
      </c>
      <c r="G940" s="4" t="s">
        <v>74</v>
      </c>
    </row>
    <row r="941" spans="1:7" ht="12.75">
      <c r="A941" s="98" t="s">
        <v>1590</v>
      </c>
      <c r="B941" s="98"/>
      <c r="C941" s="98" t="s">
        <v>428</v>
      </c>
      <c r="D941" s="4" t="s">
        <v>428</v>
      </c>
      <c r="E941" s="7">
        <v>38</v>
      </c>
      <c r="F941" s="7">
        <v>96</v>
      </c>
      <c r="G941" s="4" t="s">
        <v>74</v>
      </c>
    </row>
    <row r="942" spans="1:7" ht="12.75">
      <c r="A942" s="98" t="s">
        <v>1591</v>
      </c>
      <c r="B942" s="98"/>
      <c r="C942" s="98" t="s">
        <v>428</v>
      </c>
      <c r="D942" s="4" t="s">
        <v>428</v>
      </c>
      <c r="E942" s="7">
        <v>38</v>
      </c>
      <c r="F942" s="7">
        <v>96</v>
      </c>
      <c r="G942" s="4" t="s">
        <v>74</v>
      </c>
    </row>
    <row r="943" spans="1:7" ht="12.75">
      <c r="A943" s="98" t="s">
        <v>1592</v>
      </c>
      <c r="B943" s="98"/>
      <c r="C943" s="98" t="s">
        <v>428</v>
      </c>
      <c r="D943" s="4" t="s">
        <v>428</v>
      </c>
      <c r="E943" s="7">
        <v>38</v>
      </c>
      <c r="F943" s="7">
        <v>96</v>
      </c>
      <c r="G943" s="4" t="s">
        <v>74</v>
      </c>
    </row>
    <row r="944" spans="1:7" ht="12.75">
      <c r="A944" s="98" t="s">
        <v>1593</v>
      </c>
      <c r="B944" s="98"/>
      <c r="C944" s="98" t="s">
        <v>428</v>
      </c>
      <c r="D944" s="4" t="s">
        <v>428</v>
      </c>
      <c r="E944" s="7">
        <v>38</v>
      </c>
      <c r="F944" s="7">
        <v>96</v>
      </c>
      <c r="G944" s="4" t="s">
        <v>74</v>
      </c>
    </row>
    <row r="945" spans="1:7" ht="12.75">
      <c r="A945" s="98" t="s">
        <v>1594</v>
      </c>
      <c r="B945" s="98"/>
      <c r="C945" s="98" t="s">
        <v>512</v>
      </c>
      <c r="D945" s="4" t="s">
        <v>512</v>
      </c>
      <c r="E945" s="7">
        <v>5950</v>
      </c>
      <c r="F945" s="7">
        <v>10539</v>
      </c>
      <c r="G945" s="4" t="s">
        <v>74</v>
      </c>
    </row>
    <row r="946" spans="1:7" ht="12.75">
      <c r="A946" s="98" t="s">
        <v>1595</v>
      </c>
      <c r="B946" s="98"/>
      <c r="C946" s="98" t="s">
        <v>428</v>
      </c>
      <c r="D946" s="4" t="s">
        <v>428</v>
      </c>
      <c r="E946" s="7">
        <v>38</v>
      </c>
      <c r="F946" s="7">
        <v>96</v>
      </c>
      <c r="G946" s="4" t="s">
        <v>74</v>
      </c>
    </row>
    <row r="947" spans="1:7" ht="12.75">
      <c r="A947" s="98" t="s">
        <v>1596</v>
      </c>
      <c r="B947" s="98"/>
      <c r="C947" s="98" t="s">
        <v>428</v>
      </c>
      <c r="D947" s="4" t="s">
        <v>428</v>
      </c>
      <c r="E947" s="7">
        <v>38</v>
      </c>
      <c r="F947" s="7">
        <v>96</v>
      </c>
      <c r="G947" s="4" t="s">
        <v>74</v>
      </c>
    </row>
    <row r="948" spans="1:7" ht="12.75">
      <c r="A948" s="98" t="s">
        <v>1597</v>
      </c>
      <c r="B948" s="98"/>
      <c r="C948" s="98" t="s">
        <v>428</v>
      </c>
      <c r="D948" s="4" t="s">
        <v>428</v>
      </c>
      <c r="E948" s="7">
        <v>38</v>
      </c>
      <c r="F948" s="7">
        <v>96</v>
      </c>
      <c r="G948" s="4" t="s">
        <v>74</v>
      </c>
    </row>
    <row r="949" spans="1:7" ht="12.75">
      <c r="A949" s="98" t="s">
        <v>1598</v>
      </c>
      <c r="B949" s="98"/>
      <c r="C949" s="98" t="s">
        <v>428</v>
      </c>
      <c r="D949" s="4" t="s">
        <v>428</v>
      </c>
      <c r="E949" s="7">
        <v>38</v>
      </c>
      <c r="F949" s="7">
        <v>96</v>
      </c>
      <c r="G949" s="4" t="s">
        <v>74</v>
      </c>
    </row>
    <row r="950" spans="1:7" ht="12.75">
      <c r="A950" s="98" t="s">
        <v>1599</v>
      </c>
      <c r="B950" s="98"/>
      <c r="C950" s="98" t="s">
        <v>428</v>
      </c>
      <c r="D950" s="4" t="s">
        <v>428</v>
      </c>
      <c r="E950" s="7">
        <v>38</v>
      </c>
      <c r="F950" s="7">
        <v>96</v>
      </c>
      <c r="G950" s="4" t="s">
        <v>74</v>
      </c>
    </row>
    <row r="951" spans="1:7" ht="12.75">
      <c r="A951" s="98" t="s">
        <v>1600</v>
      </c>
      <c r="B951" s="98"/>
      <c r="C951" s="98" t="s">
        <v>512</v>
      </c>
      <c r="D951" s="4" t="s">
        <v>512</v>
      </c>
      <c r="E951" s="7">
        <v>5950</v>
      </c>
      <c r="F951" s="7">
        <v>10539</v>
      </c>
      <c r="G951" s="4" t="s">
        <v>74</v>
      </c>
    </row>
    <row r="952" spans="1:7" ht="12.75">
      <c r="A952" s="98" t="s">
        <v>1601</v>
      </c>
      <c r="B952" s="98"/>
      <c r="C952" s="98" t="s">
        <v>512</v>
      </c>
      <c r="D952" s="4" t="s">
        <v>512</v>
      </c>
      <c r="E952" s="7">
        <v>5950</v>
      </c>
      <c r="F952" s="7">
        <v>10539</v>
      </c>
      <c r="G952" s="4" t="s">
        <v>74</v>
      </c>
    </row>
    <row r="953" spans="1:7" ht="12.75">
      <c r="A953" s="98" t="s">
        <v>349</v>
      </c>
      <c r="B953" s="98" t="s">
        <v>1602</v>
      </c>
      <c r="C953" s="98"/>
      <c r="D953" s="4" t="s">
        <v>1602</v>
      </c>
      <c r="E953" s="7">
        <v>86</v>
      </c>
      <c r="F953" s="7">
        <v>86</v>
      </c>
      <c r="G953" s="4" t="s">
        <v>74</v>
      </c>
    </row>
    <row r="954" spans="1:7" ht="12.75">
      <c r="A954" s="98" t="s">
        <v>1603</v>
      </c>
      <c r="B954" s="98"/>
      <c r="C954" s="98" t="s">
        <v>428</v>
      </c>
      <c r="D954" s="4" t="s">
        <v>428</v>
      </c>
      <c r="E954" s="7">
        <v>38</v>
      </c>
      <c r="F954" s="7">
        <v>96</v>
      </c>
      <c r="G954" s="4" t="s">
        <v>74</v>
      </c>
    </row>
    <row r="955" spans="1:7" ht="12.75">
      <c r="A955" s="98" t="s">
        <v>1604</v>
      </c>
      <c r="B955" s="98"/>
      <c r="C955" s="98" t="s">
        <v>428</v>
      </c>
      <c r="D955" s="4" t="s">
        <v>428</v>
      </c>
      <c r="E955" s="7">
        <v>38</v>
      </c>
      <c r="F955" s="7">
        <v>96</v>
      </c>
      <c r="G955" s="4" t="s">
        <v>74</v>
      </c>
    </row>
    <row r="956" spans="1:7" ht="12.75">
      <c r="A956" s="98" t="s">
        <v>1605</v>
      </c>
      <c r="B956" s="98"/>
      <c r="C956" s="98" t="s">
        <v>428</v>
      </c>
      <c r="D956" s="4" t="s">
        <v>428</v>
      </c>
      <c r="E956" s="7">
        <v>38</v>
      </c>
      <c r="F956" s="7">
        <v>96</v>
      </c>
      <c r="G956" s="4" t="s">
        <v>74</v>
      </c>
    </row>
    <row r="957" spans="1:7" ht="12.75">
      <c r="A957" s="98" t="s">
        <v>1606</v>
      </c>
      <c r="B957" s="98"/>
      <c r="C957" s="98" t="s">
        <v>428</v>
      </c>
      <c r="D957" s="4" t="s">
        <v>428</v>
      </c>
      <c r="E957" s="7">
        <v>38</v>
      </c>
      <c r="F957" s="7">
        <v>96</v>
      </c>
      <c r="G957" s="4" t="s">
        <v>74</v>
      </c>
    </row>
    <row r="958" spans="1:7" ht="12.75">
      <c r="A958" s="98" t="s">
        <v>1607</v>
      </c>
      <c r="B958" s="98"/>
      <c r="C958" s="98" t="s">
        <v>428</v>
      </c>
      <c r="D958" s="4" t="s">
        <v>428</v>
      </c>
      <c r="E958" s="7">
        <v>38</v>
      </c>
      <c r="F958" s="7">
        <v>96</v>
      </c>
      <c r="G958" s="4" t="s">
        <v>74</v>
      </c>
    </row>
    <row r="959" spans="1:7" ht="12.75">
      <c r="A959" s="98" t="s">
        <v>1608</v>
      </c>
      <c r="B959" s="98"/>
      <c r="C959" s="98" t="s">
        <v>428</v>
      </c>
      <c r="D959" s="4" t="s">
        <v>428</v>
      </c>
      <c r="E959" s="7">
        <v>38</v>
      </c>
      <c r="F959" s="7">
        <v>96</v>
      </c>
      <c r="G959" s="4" t="s">
        <v>74</v>
      </c>
    </row>
    <row r="960" spans="1:7" ht="12.75">
      <c r="A960" s="98" t="s">
        <v>1609</v>
      </c>
      <c r="B960" s="98"/>
      <c r="C960" s="98" t="s">
        <v>428</v>
      </c>
      <c r="D960" s="4" t="s">
        <v>428</v>
      </c>
      <c r="E960" s="7">
        <v>38</v>
      </c>
      <c r="F960" s="7">
        <v>96</v>
      </c>
      <c r="G960" s="4" t="s">
        <v>74</v>
      </c>
    </row>
    <row r="961" spans="1:7" ht="12.75">
      <c r="A961" s="98" t="s">
        <v>1610</v>
      </c>
      <c r="B961" s="98"/>
      <c r="C961" s="98" t="s">
        <v>428</v>
      </c>
      <c r="D961" s="4" t="s">
        <v>428</v>
      </c>
      <c r="E961" s="7">
        <v>38</v>
      </c>
      <c r="F961" s="7">
        <v>96</v>
      </c>
      <c r="G961" s="4" t="s">
        <v>74</v>
      </c>
    </row>
    <row r="962" spans="1:7" ht="12.75">
      <c r="A962" s="98" t="s">
        <v>1611</v>
      </c>
      <c r="B962" s="98"/>
      <c r="C962" s="98" t="s">
        <v>428</v>
      </c>
      <c r="D962" s="4" t="s">
        <v>428</v>
      </c>
      <c r="E962" s="7">
        <v>38</v>
      </c>
      <c r="F962" s="7">
        <v>96</v>
      </c>
      <c r="G962" s="4" t="s">
        <v>74</v>
      </c>
    </row>
    <row r="963" spans="1:7" ht="12.75">
      <c r="A963" s="98" t="s">
        <v>1612</v>
      </c>
      <c r="B963" s="98"/>
      <c r="C963" s="98" t="s">
        <v>428</v>
      </c>
      <c r="D963" s="4" t="s">
        <v>428</v>
      </c>
      <c r="E963" s="7">
        <v>38</v>
      </c>
      <c r="F963" s="7">
        <v>96</v>
      </c>
      <c r="G963" s="4" t="s">
        <v>74</v>
      </c>
    </row>
    <row r="964" spans="1:7" ht="12.75">
      <c r="A964" s="98" t="s">
        <v>1613</v>
      </c>
      <c r="B964" s="98"/>
      <c r="C964" s="98" t="s">
        <v>428</v>
      </c>
      <c r="D964" s="4" t="s">
        <v>428</v>
      </c>
      <c r="E964" s="7">
        <v>38</v>
      </c>
      <c r="F964" s="7">
        <v>96</v>
      </c>
      <c r="G964" s="4" t="s">
        <v>74</v>
      </c>
    </row>
    <row r="965" spans="1:7" ht="12.75">
      <c r="A965" s="98" t="s">
        <v>1614</v>
      </c>
      <c r="B965" s="98" t="s">
        <v>1615</v>
      </c>
      <c r="C965" s="98"/>
      <c r="D965" s="4" t="s">
        <v>1615</v>
      </c>
      <c r="E965" s="7">
        <v>48</v>
      </c>
      <c r="F965" s="7">
        <v>81</v>
      </c>
      <c r="G965" s="4" t="s">
        <v>74</v>
      </c>
    </row>
    <row r="966" spans="1:7" ht="12.75">
      <c r="A966" s="98" t="s">
        <v>1616</v>
      </c>
      <c r="B966" s="98"/>
      <c r="C966" s="98" t="s">
        <v>428</v>
      </c>
      <c r="D966" s="4" t="s">
        <v>428</v>
      </c>
      <c r="E966" s="7">
        <v>38</v>
      </c>
      <c r="F966" s="7">
        <v>96</v>
      </c>
      <c r="G966" s="4" t="s">
        <v>74</v>
      </c>
    </row>
    <row r="967" spans="1:7" ht="12.75">
      <c r="A967" s="98" t="s">
        <v>1617</v>
      </c>
      <c r="B967" s="98"/>
      <c r="C967" s="98" t="s">
        <v>512</v>
      </c>
      <c r="D967" s="4" t="s">
        <v>512</v>
      </c>
      <c r="E967" s="7">
        <v>5950</v>
      </c>
      <c r="F967" s="7">
        <v>10539</v>
      </c>
      <c r="G967" s="4" t="s">
        <v>74</v>
      </c>
    </row>
    <row r="968" spans="1:7" ht="12.75">
      <c r="A968" s="98" t="s">
        <v>1618</v>
      </c>
      <c r="B968" s="98" t="s">
        <v>1619</v>
      </c>
      <c r="C968" s="98"/>
      <c r="D968" s="4" t="s">
        <v>1619</v>
      </c>
      <c r="E968" s="7">
        <v>909</v>
      </c>
      <c r="F968" s="7">
        <v>9091</v>
      </c>
      <c r="G968" s="4" t="s">
        <v>74</v>
      </c>
    </row>
    <row r="969" spans="1:7" ht="12.75">
      <c r="A969" s="98" t="s">
        <v>1620</v>
      </c>
      <c r="B969" s="98"/>
      <c r="C969" s="98" t="s">
        <v>512</v>
      </c>
      <c r="D969" s="4" t="s">
        <v>512</v>
      </c>
      <c r="E969" s="7">
        <v>5950</v>
      </c>
      <c r="F969" s="7">
        <v>10539</v>
      </c>
      <c r="G969" s="4" t="s">
        <v>74</v>
      </c>
    </row>
    <row r="970" spans="1:7" ht="12.75">
      <c r="A970" s="98" t="s">
        <v>1621</v>
      </c>
      <c r="B970" s="98" t="s">
        <v>1622</v>
      </c>
      <c r="C970" s="98"/>
      <c r="D970" s="4" t="s">
        <v>1622</v>
      </c>
      <c r="E970" s="7">
        <v>18000</v>
      </c>
      <c r="F970" s="7">
        <v>18000</v>
      </c>
      <c r="G970" s="4" t="s">
        <v>74</v>
      </c>
    </row>
    <row r="971" spans="1:7" ht="12.75">
      <c r="A971" s="98" t="s">
        <v>1623</v>
      </c>
      <c r="B971" s="98"/>
      <c r="C971" s="98" t="s">
        <v>428</v>
      </c>
      <c r="D971" s="4" t="s">
        <v>428</v>
      </c>
      <c r="E971" s="7">
        <v>38</v>
      </c>
      <c r="F971" s="7">
        <v>96</v>
      </c>
      <c r="G971" s="4" t="s">
        <v>74</v>
      </c>
    </row>
    <row r="972" spans="1:7" ht="12.75">
      <c r="A972" s="98" t="s">
        <v>1624</v>
      </c>
      <c r="B972" s="98" t="s">
        <v>1625</v>
      </c>
      <c r="C972" s="98"/>
      <c r="D972" s="4" t="s">
        <v>1625</v>
      </c>
      <c r="E972" s="7">
        <v>90000</v>
      </c>
      <c r="F972" s="7">
        <v>150000</v>
      </c>
      <c r="G972" s="4" t="s">
        <v>74</v>
      </c>
    </row>
    <row r="973" spans="1:7" ht="12.75">
      <c r="A973" s="98" t="s">
        <v>1626</v>
      </c>
      <c r="B973" s="98" t="s">
        <v>1627</v>
      </c>
      <c r="C973" s="98"/>
      <c r="D973" s="4" t="s">
        <v>1627</v>
      </c>
      <c r="E973" s="7">
        <v>523</v>
      </c>
      <c r="F973" s="7">
        <v>523</v>
      </c>
      <c r="G973" s="4" t="s">
        <v>74</v>
      </c>
    </row>
    <row r="974" spans="1:7" ht="12.75">
      <c r="A974" s="98" t="s">
        <v>1628</v>
      </c>
      <c r="B974" s="98" t="s">
        <v>1629</v>
      </c>
      <c r="C974" s="98"/>
      <c r="D974" s="4" t="s">
        <v>1629</v>
      </c>
      <c r="E974" s="7">
        <v>1684</v>
      </c>
      <c r="F974" s="7">
        <v>19794</v>
      </c>
      <c r="G974" s="4" t="s">
        <v>74</v>
      </c>
    </row>
    <row r="975" spans="1:7" ht="12.75">
      <c r="A975" s="98" t="s">
        <v>1630</v>
      </c>
      <c r="B975" s="98" t="s">
        <v>1631</v>
      </c>
      <c r="C975" s="98"/>
      <c r="D975" s="4" t="s">
        <v>1631</v>
      </c>
      <c r="E975" s="7">
        <v>1800</v>
      </c>
      <c r="F975" s="7">
        <v>3636</v>
      </c>
      <c r="G975" s="4" t="s">
        <v>74</v>
      </c>
    </row>
    <row r="976" spans="1:7" ht="12.75">
      <c r="A976" s="98" t="s">
        <v>1632</v>
      </c>
      <c r="B976" s="98"/>
      <c r="C976" s="98" t="s">
        <v>428</v>
      </c>
      <c r="D976" s="4" t="s">
        <v>428</v>
      </c>
      <c r="E976" s="7">
        <v>38</v>
      </c>
      <c r="F976" s="7">
        <v>96</v>
      </c>
      <c r="G976" s="4" t="s">
        <v>74</v>
      </c>
    </row>
    <row r="977" spans="1:7" ht="12.75">
      <c r="A977" s="98" t="s">
        <v>1633</v>
      </c>
      <c r="B977" s="98"/>
      <c r="C977" s="98" t="s">
        <v>428</v>
      </c>
      <c r="D977" s="4" t="s">
        <v>428</v>
      </c>
      <c r="E977" s="7">
        <v>38</v>
      </c>
      <c r="F977" s="7">
        <v>96</v>
      </c>
      <c r="G977" s="4" t="s">
        <v>74</v>
      </c>
    </row>
    <row r="978" spans="1:7" ht="12.75">
      <c r="A978" s="98" t="s">
        <v>1634</v>
      </c>
      <c r="B978" s="98"/>
      <c r="C978" s="98" t="s">
        <v>428</v>
      </c>
      <c r="D978" s="4" t="s">
        <v>428</v>
      </c>
      <c r="E978" s="7">
        <v>38</v>
      </c>
      <c r="F978" s="7">
        <v>96</v>
      </c>
      <c r="G978" s="4" t="s">
        <v>74</v>
      </c>
    </row>
    <row r="979" spans="1:7" ht="12.75">
      <c r="A979" s="98" t="s">
        <v>1635</v>
      </c>
      <c r="B979" s="98"/>
      <c r="C979" s="98" t="s">
        <v>428</v>
      </c>
      <c r="D979" s="4" t="s">
        <v>428</v>
      </c>
      <c r="E979" s="7">
        <v>38</v>
      </c>
      <c r="F979" s="7">
        <v>96</v>
      </c>
      <c r="G979" s="4" t="s">
        <v>74</v>
      </c>
    </row>
    <row r="980" spans="1:7" ht="12.75">
      <c r="A980" s="98" t="s">
        <v>1636</v>
      </c>
      <c r="B980" s="98"/>
      <c r="C980" s="98" t="s">
        <v>428</v>
      </c>
      <c r="D980" s="4" t="s">
        <v>428</v>
      </c>
      <c r="E980" s="7">
        <v>38</v>
      </c>
      <c r="F980" s="7">
        <v>96</v>
      </c>
      <c r="G980" s="4" t="s">
        <v>74</v>
      </c>
    </row>
    <row r="981" spans="1:7" ht="12.75">
      <c r="A981" s="98" t="s">
        <v>1637</v>
      </c>
      <c r="B981" s="98" t="s">
        <v>1638</v>
      </c>
      <c r="C981" s="98"/>
      <c r="D981" s="4" t="s">
        <v>1638</v>
      </c>
      <c r="E981" s="7">
        <v>3102</v>
      </c>
      <c r="F981" s="7">
        <v>3239</v>
      </c>
      <c r="G981" s="4" t="s">
        <v>74</v>
      </c>
    </row>
    <row r="982" spans="1:7" ht="12.75">
      <c r="A982" s="98" t="s">
        <v>1639</v>
      </c>
      <c r="B982" s="98"/>
      <c r="C982" s="98" t="s">
        <v>428</v>
      </c>
      <c r="D982" s="4" t="s">
        <v>428</v>
      </c>
      <c r="E982" s="7">
        <v>38</v>
      </c>
      <c r="F982" s="7">
        <v>96</v>
      </c>
      <c r="G982" s="4" t="s">
        <v>74</v>
      </c>
    </row>
    <row r="983" spans="1:7" ht="12.75">
      <c r="A983" s="98" t="s">
        <v>1640</v>
      </c>
      <c r="B983" s="98" t="s">
        <v>1641</v>
      </c>
      <c r="C983" s="98"/>
      <c r="D983" s="4" t="s">
        <v>1641</v>
      </c>
      <c r="E983" s="7">
        <v>2270</v>
      </c>
      <c r="F983" s="7">
        <v>4540</v>
      </c>
      <c r="G983" s="4" t="s">
        <v>74</v>
      </c>
    </row>
    <row r="984" spans="1:7" ht="12.75">
      <c r="A984" s="98" t="s">
        <v>1642</v>
      </c>
      <c r="B984" s="98"/>
      <c r="C984" s="98" t="s">
        <v>428</v>
      </c>
      <c r="D984" s="4" t="s">
        <v>428</v>
      </c>
      <c r="E984" s="7">
        <v>38</v>
      </c>
      <c r="F984" s="7">
        <v>96</v>
      </c>
      <c r="G984" s="4" t="s">
        <v>74</v>
      </c>
    </row>
    <row r="985" spans="1:7" ht="12.75">
      <c r="A985" s="98" t="s">
        <v>1643</v>
      </c>
      <c r="B985" s="98" t="s">
        <v>1644</v>
      </c>
      <c r="C985" s="98"/>
      <c r="D985" s="4" t="s">
        <v>1644</v>
      </c>
      <c r="E985" s="7">
        <v>113500</v>
      </c>
      <c r="F985" s="7">
        <v>113500</v>
      </c>
      <c r="G985" s="4" t="s">
        <v>74</v>
      </c>
    </row>
    <row r="986" spans="1:7" ht="12.75">
      <c r="A986" s="98" t="s">
        <v>1645</v>
      </c>
      <c r="B986" s="98" t="s">
        <v>1646</v>
      </c>
      <c r="C986" s="98"/>
      <c r="D986" s="4" t="s">
        <v>1646</v>
      </c>
      <c r="E986" s="7">
        <v>1000</v>
      </c>
      <c r="F986" s="7">
        <v>2000</v>
      </c>
      <c r="G986" s="4" t="s">
        <v>74</v>
      </c>
    </row>
    <row r="987" spans="1:7" ht="12.75">
      <c r="A987" s="98" t="s">
        <v>1647</v>
      </c>
      <c r="B987" s="98"/>
      <c r="C987" s="98" t="s">
        <v>428</v>
      </c>
      <c r="D987" s="4" t="s">
        <v>428</v>
      </c>
      <c r="E987" s="7">
        <v>38</v>
      </c>
      <c r="F987" s="7">
        <v>96</v>
      </c>
      <c r="G987" s="4" t="s">
        <v>74</v>
      </c>
    </row>
    <row r="988" spans="1:7" ht="12.75">
      <c r="A988" s="98" t="s">
        <v>1648</v>
      </c>
      <c r="B988" s="98"/>
      <c r="C988" s="98" t="s">
        <v>428</v>
      </c>
      <c r="D988" s="4" t="s">
        <v>428</v>
      </c>
      <c r="E988" s="7">
        <v>38</v>
      </c>
      <c r="F988" s="7">
        <v>96</v>
      </c>
      <c r="G988" s="4" t="s">
        <v>74</v>
      </c>
    </row>
    <row r="989" spans="1:7" ht="12.75">
      <c r="A989" s="98" t="s">
        <v>1649</v>
      </c>
      <c r="B989" s="98"/>
      <c r="C989" s="98" t="s">
        <v>512</v>
      </c>
      <c r="D989" s="4" t="s">
        <v>512</v>
      </c>
      <c r="E989" s="7">
        <v>5950</v>
      </c>
      <c r="F989" s="7">
        <v>10539</v>
      </c>
      <c r="G989" s="4" t="s">
        <v>74</v>
      </c>
    </row>
    <row r="990" spans="1:7" ht="12.75">
      <c r="A990" s="98" t="s">
        <v>1650</v>
      </c>
      <c r="B990" s="98" t="s">
        <v>1651</v>
      </c>
      <c r="C990" s="98"/>
      <c r="D990" s="4" t="s">
        <v>1651</v>
      </c>
      <c r="E990" s="7">
        <v>524</v>
      </c>
      <c r="F990" s="7">
        <v>1790</v>
      </c>
      <c r="G990" s="4" t="s">
        <v>74</v>
      </c>
    </row>
    <row r="991" spans="1:7" ht="12.75">
      <c r="A991" s="98" t="s">
        <v>1652</v>
      </c>
      <c r="B991" s="98"/>
      <c r="C991" s="98" t="s">
        <v>428</v>
      </c>
      <c r="D991" s="4" t="s">
        <v>428</v>
      </c>
      <c r="E991" s="7">
        <v>38</v>
      </c>
      <c r="F991" s="7">
        <v>96</v>
      </c>
      <c r="G991" s="4" t="s">
        <v>74</v>
      </c>
    </row>
    <row r="992" spans="1:7" ht="12.75">
      <c r="A992" s="98" t="s">
        <v>1653</v>
      </c>
      <c r="B992" s="98"/>
      <c r="C992" s="98" t="s">
        <v>512</v>
      </c>
      <c r="D992" s="4" t="s">
        <v>512</v>
      </c>
      <c r="E992" s="7">
        <v>5950</v>
      </c>
      <c r="F992" s="7">
        <v>10539</v>
      </c>
      <c r="G992" s="4" t="s">
        <v>74</v>
      </c>
    </row>
    <row r="993" spans="1:7" ht="12.75">
      <c r="A993" s="98" t="s">
        <v>1654</v>
      </c>
      <c r="B993" s="98"/>
      <c r="C993" s="98" t="s">
        <v>428</v>
      </c>
      <c r="D993" s="4" t="s">
        <v>428</v>
      </c>
      <c r="E993" s="7">
        <v>38</v>
      </c>
      <c r="F993" s="7">
        <v>96</v>
      </c>
      <c r="G993" s="4" t="s">
        <v>74</v>
      </c>
    </row>
    <row r="994" spans="1:7" ht="12.75">
      <c r="A994" s="98" t="s">
        <v>1655</v>
      </c>
      <c r="B994" s="98" t="s">
        <v>1656</v>
      </c>
      <c r="C994" s="98"/>
      <c r="D994" s="4" t="s">
        <v>1656</v>
      </c>
      <c r="E994" s="7">
        <v>111</v>
      </c>
      <c r="F994" s="7">
        <v>460</v>
      </c>
      <c r="G994" s="4" t="s">
        <v>74</v>
      </c>
    </row>
    <row r="995" spans="1:7" ht="12.75">
      <c r="A995" s="98" t="s">
        <v>1657</v>
      </c>
      <c r="B995" s="98"/>
      <c r="C995" s="98" t="s">
        <v>428</v>
      </c>
      <c r="D995" s="4" t="s">
        <v>428</v>
      </c>
      <c r="E995" s="7">
        <v>38</v>
      </c>
      <c r="F995" s="7">
        <v>96</v>
      </c>
      <c r="G995" s="4" t="s">
        <v>74</v>
      </c>
    </row>
    <row r="996" spans="1:7" ht="12.75">
      <c r="A996" s="98" t="s">
        <v>1658</v>
      </c>
      <c r="B996" s="98"/>
      <c r="C996" s="98" t="s">
        <v>428</v>
      </c>
      <c r="D996" s="4" t="s">
        <v>428</v>
      </c>
      <c r="E996" s="7">
        <v>38</v>
      </c>
      <c r="F996" s="7">
        <v>96</v>
      </c>
      <c r="G996" s="4" t="s">
        <v>74</v>
      </c>
    </row>
    <row r="997" spans="1:7" ht="12.75">
      <c r="A997" s="98" t="s">
        <v>1659</v>
      </c>
      <c r="B997" s="98" t="s">
        <v>1660</v>
      </c>
      <c r="C997" s="98"/>
      <c r="D997" s="4" t="s">
        <v>1660</v>
      </c>
      <c r="E997" s="7">
        <v>110</v>
      </c>
      <c r="F997" s="7">
        <v>149</v>
      </c>
      <c r="G997" s="4" t="s">
        <v>74</v>
      </c>
    </row>
    <row r="998" spans="1:7" ht="12.75">
      <c r="A998" s="98" t="s">
        <v>1661</v>
      </c>
      <c r="B998" s="98"/>
      <c r="C998" s="98" t="s">
        <v>428</v>
      </c>
      <c r="D998" s="4" t="s">
        <v>428</v>
      </c>
      <c r="E998" s="7">
        <v>38</v>
      </c>
      <c r="F998" s="7">
        <v>96</v>
      </c>
      <c r="G998" s="4" t="s">
        <v>74</v>
      </c>
    </row>
    <row r="999" spans="1:7" ht="12.75">
      <c r="A999" s="98" t="s">
        <v>1662</v>
      </c>
      <c r="B999" s="98" t="s">
        <v>1663</v>
      </c>
      <c r="C999" s="98"/>
      <c r="D999" s="4" t="s">
        <v>1663</v>
      </c>
      <c r="E999" s="7">
        <v>339</v>
      </c>
      <c r="F999" s="7">
        <v>462</v>
      </c>
      <c r="G999" s="4" t="s">
        <v>74</v>
      </c>
    </row>
    <row r="1000" spans="1:7" ht="12.75">
      <c r="A1000" s="98" t="s">
        <v>1664</v>
      </c>
      <c r="B1000" s="98"/>
      <c r="C1000" s="98" t="s">
        <v>428</v>
      </c>
      <c r="D1000" s="4" t="s">
        <v>428</v>
      </c>
      <c r="E1000" s="7">
        <v>38</v>
      </c>
      <c r="F1000" s="7">
        <v>96</v>
      </c>
      <c r="G1000" s="4" t="s">
        <v>74</v>
      </c>
    </row>
    <row r="1001" spans="1:7" ht="12.75">
      <c r="A1001" s="98" t="s">
        <v>1665</v>
      </c>
      <c r="B1001" s="98"/>
      <c r="C1001" s="98" t="s">
        <v>428</v>
      </c>
      <c r="D1001" s="4" t="s">
        <v>428</v>
      </c>
      <c r="E1001" s="7">
        <v>38</v>
      </c>
      <c r="F1001" s="7">
        <v>96</v>
      </c>
      <c r="G1001" s="4" t="s">
        <v>74</v>
      </c>
    </row>
    <row r="1002" spans="1:7" ht="12.75">
      <c r="A1002" s="98" t="s">
        <v>1666</v>
      </c>
      <c r="B1002" s="98"/>
      <c r="C1002" s="98" t="s">
        <v>428</v>
      </c>
      <c r="D1002" s="4" t="s">
        <v>428</v>
      </c>
      <c r="E1002" s="7">
        <v>38</v>
      </c>
      <c r="F1002" s="7">
        <v>96</v>
      </c>
      <c r="G1002" s="4" t="s">
        <v>74</v>
      </c>
    </row>
    <row r="1003" spans="1:7" ht="12.75">
      <c r="A1003" s="98" t="s">
        <v>1667</v>
      </c>
      <c r="B1003" s="98"/>
      <c r="C1003" s="98" t="s">
        <v>428</v>
      </c>
      <c r="D1003" s="4" t="s">
        <v>428</v>
      </c>
      <c r="E1003" s="7">
        <v>38</v>
      </c>
      <c r="F1003" s="7">
        <v>96</v>
      </c>
      <c r="G1003" s="4" t="s">
        <v>74</v>
      </c>
    </row>
    <row r="1004" spans="1:7" ht="12.75">
      <c r="A1004" s="98" t="s">
        <v>1668</v>
      </c>
      <c r="B1004" s="98"/>
      <c r="C1004" s="98" t="s">
        <v>428</v>
      </c>
      <c r="D1004" s="4" t="s">
        <v>428</v>
      </c>
      <c r="E1004" s="7">
        <v>38</v>
      </c>
      <c r="F1004" s="7">
        <v>96</v>
      </c>
      <c r="G1004" s="4" t="s">
        <v>74</v>
      </c>
    </row>
    <row r="1005" spans="1:7" ht="12.75">
      <c r="A1005" s="98" t="s">
        <v>1669</v>
      </c>
      <c r="B1005" s="98" t="s">
        <v>1670</v>
      </c>
      <c r="C1005" s="98"/>
      <c r="D1005" s="4" t="s">
        <v>1670</v>
      </c>
      <c r="E1005" s="7">
        <v>160000</v>
      </c>
      <c r="F1005" s="7">
        <v>160000</v>
      </c>
      <c r="G1005" s="4" t="s">
        <v>74</v>
      </c>
    </row>
    <row r="1006" spans="1:7" ht="12.75">
      <c r="A1006" s="98" t="s">
        <v>1671</v>
      </c>
      <c r="B1006" s="98" t="s">
        <v>1672</v>
      </c>
      <c r="C1006" s="98"/>
      <c r="D1006" s="4" t="s">
        <v>1672</v>
      </c>
      <c r="E1006" s="7">
        <v>7260</v>
      </c>
      <c r="F1006" s="7">
        <v>9900</v>
      </c>
      <c r="G1006" s="4" t="s">
        <v>74</v>
      </c>
    </row>
    <row r="1007" spans="1:7" ht="12.75">
      <c r="A1007" s="98" t="s">
        <v>1673</v>
      </c>
      <c r="B1007" s="98" t="s">
        <v>1674</v>
      </c>
      <c r="C1007" s="98"/>
      <c r="D1007" s="4" t="s">
        <v>1674</v>
      </c>
      <c r="E1007" s="7">
        <v>454</v>
      </c>
      <c r="F1007" s="7">
        <v>909</v>
      </c>
      <c r="G1007" s="4" t="s">
        <v>74</v>
      </c>
    </row>
    <row r="1008" spans="1:7" ht="12.75">
      <c r="A1008" s="98" t="s">
        <v>1675</v>
      </c>
      <c r="B1008" s="98"/>
      <c r="C1008" s="98" t="s">
        <v>512</v>
      </c>
      <c r="D1008" s="4" t="s">
        <v>512</v>
      </c>
      <c r="E1008" s="7">
        <v>5950</v>
      </c>
      <c r="F1008" s="7">
        <v>10539</v>
      </c>
      <c r="G1008" s="4" t="s">
        <v>74</v>
      </c>
    </row>
    <row r="1009" spans="1:7" ht="12.75">
      <c r="A1009" s="98" t="s">
        <v>1676</v>
      </c>
      <c r="B1009" s="98"/>
      <c r="C1009" s="98" t="s">
        <v>428</v>
      </c>
      <c r="D1009" s="4" t="s">
        <v>428</v>
      </c>
      <c r="E1009" s="7">
        <v>38</v>
      </c>
      <c r="F1009" s="7">
        <v>96</v>
      </c>
      <c r="G1009" s="4" t="s">
        <v>74</v>
      </c>
    </row>
    <row r="1010" spans="1:7" ht="12.75">
      <c r="A1010" s="98" t="s">
        <v>1677</v>
      </c>
      <c r="B1010" s="98"/>
      <c r="C1010" s="98" t="s">
        <v>428</v>
      </c>
      <c r="D1010" s="4" t="s">
        <v>428</v>
      </c>
      <c r="E1010" s="7">
        <v>38</v>
      </c>
      <c r="F1010" s="7">
        <v>96</v>
      </c>
      <c r="G1010" s="4" t="s">
        <v>74</v>
      </c>
    </row>
    <row r="1011" spans="1:7" ht="12.75">
      <c r="A1011" s="98" t="s">
        <v>1678</v>
      </c>
      <c r="B1011" s="98" t="s">
        <v>1679</v>
      </c>
      <c r="C1011" s="98"/>
      <c r="D1011" s="4" t="s">
        <v>1679</v>
      </c>
      <c r="E1011" s="7">
        <v>300</v>
      </c>
      <c r="F1011" s="7">
        <v>800</v>
      </c>
      <c r="G1011" s="4" t="s">
        <v>74</v>
      </c>
    </row>
    <row r="1012" spans="1:7" ht="12.75">
      <c r="A1012" s="98" t="s">
        <v>1680</v>
      </c>
      <c r="B1012" s="98" t="s">
        <v>1681</v>
      </c>
      <c r="C1012" s="98"/>
      <c r="D1012" s="4" t="s">
        <v>1681</v>
      </c>
      <c r="E1012" s="7">
        <v>1242</v>
      </c>
      <c r="F1012" s="7">
        <v>4253</v>
      </c>
      <c r="G1012" s="4" t="s">
        <v>74</v>
      </c>
    </row>
    <row r="1013" spans="1:7" ht="12.75">
      <c r="A1013" s="98" t="s">
        <v>1682</v>
      </c>
      <c r="B1013" s="98"/>
      <c r="C1013" s="98" t="s">
        <v>428</v>
      </c>
      <c r="D1013" s="4" t="s">
        <v>428</v>
      </c>
      <c r="E1013" s="7">
        <v>38</v>
      </c>
      <c r="F1013" s="7">
        <v>96</v>
      </c>
      <c r="G1013" s="4" t="s">
        <v>74</v>
      </c>
    </row>
    <row r="1014" spans="1:7" ht="12.75">
      <c r="A1014" s="98" t="s">
        <v>1683</v>
      </c>
      <c r="B1014" s="98"/>
      <c r="C1014" s="98" t="s">
        <v>428</v>
      </c>
      <c r="D1014" s="4" t="s">
        <v>428</v>
      </c>
      <c r="E1014" s="7">
        <v>38</v>
      </c>
      <c r="F1014" s="7">
        <v>96</v>
      </c>
      <c r="G1014" s="4" t="s">
        <v>74</v>
      </c>
    </row>
    <row r="1015" spans="1:7" ht="12.75">
      <c r="A1015" s="98" t="s">
        <v>1684</v>
      </c>
      <c r="B1015" s="98"/>
      <c r="C1015" s="98" t="s">
        <v>428</v>
      </c>
      <c r="D1015" s="4" t="s">
        <v>428</v>
      </c>
      <c r="E1015" s="7">
        <v>38</v>
      </c>
      <c r="F1015" s="7">
        <v>96</v>
      </c>
      <c r="G1015" s="4" t="s">
        <v>74</v>
      </c>
    </row>
    <row r="1016" spans="1:7" ht="12.75">
      <c r="A1016" s="98" t="s">
        <v>1685</v>
      </c>
      <c r="B1016" s="98"/>
      <c r="C1016" s="98" t="s">
        <v>428</v>
      </c>
      <c r="D1016" s="4" t="s">
        <v>428</v>
      </c>
      <c r="E1016" s="7">
        <v>38</v>
      </c>
      <c r="F1016" s="7">
        <v>96</v>
      </c>
      <c r="G1016" s="4" t="s">
        <v>74</v>
      </c>
    </row>
    <row r="1017" spans="1:7" ht="12.75">
      <c r="A1017" s="98" t="s">
        <v>1686</v>
      </c>
      <c r="B1017" s="98"/>
      <c r="C1017" s="98" t="s">
        <v>512</v>
      </c>
      <c r="D1017" s="4" t="s">
        <v>512</v>
      </c>
      <c r="E1017" s="7">
        <v>5950</v>
      </c>
      <c r="F1017" s="7">
        <v>10539</v>
      </c>
      <c r="G1017" s="4" t="s">
        <v>74</v>
      </c>
    </row>
    <row r="1018" spans="1:7" ht="12.75">
      <c r="A1018" s="98" t="s">
        <v>1687</v>
      </c>
      <c r="B1018" s="98" t="s">
        <v>1688</v>
      </c>
      <c r="C1018" s="98"/>
      <c r="D1018" s="4" t="s">
        <v>1688</v>
      </c>
      <c r="E1018" s="7">
        <v>247</v>
      </c>
      <c r="F1018" s="7">
        <v>247</v>
      </c>
      <c r="G1018" s="4" t="s">
        <v>74</v>
      </c>
    </row>
    <row r="1019" spans="1:7" ht="12.75">
      <c r="A1019" s="98" t="s">
        <v>1689</v>
      </c>
      <c r="B1019" s="98"/>
      <c r="C1019" s="98" t="s">
        <v>428</v>
      </c>
      <c r="D1019" s="4" t="s">
        <v>428</v>
      </c>
      <c r="E1019" s="7">
        <v>38</v>
      </c>
      <c r="F1019" s="7">
        <v>96</v>
      </c>
      <c r="G1019" s="4" t="s">
        <v>74</v>
      </c>
    </row>
    <row r="1020" spans="1:7" ht="12.75">
      <c r="A1020" s="98" t="s">
        <v>1690</v>
      </c>
      <c r="B1020" s="98"/>
      <c r="C1020" s="98" t="s">
        <v>428</v>
      </c>
      <c r="D1020" s="4" t="s">
        <v>428</v>
      </c>
      <c r="E1020" s="7">
        <v>38</v>
      </c>
      <c r="F1020" s="7">
        <v>96</v>
      </c>
      <c r="G1020" s="4" t="s">
        <v>74</v>
      </c>
    </row>
    <row r="1021" spans="1:7" ht="12.75">
      <c r="A1021" s="98" t="s">
        <v>1691</v>
      </c>
      <c r="B1021" s="98"/>
      <c r="C1021" s="98" t="s">
        <v>428</v>
      </c>
      <c r="D1021" s="4" t="s">
        <v>428</v>
      </c>
      <c r="E1021" s="7">
        <v>38</v>
      </c>
      <c r="F1021" s="7">
        <v>96</v>
      </c>
      <c r="G1021" s="4" t="s">
        <v>74</v>
      </c>
    </row>
    <row r="1022" spans="1:7" ht="12.75">
      <c r="A1022" s="98" t="s">
        <v>1692</v>
      </c>
      <c r="B1022" s="98"/>
      <c r="C1022" s="98" t="s">
        <v>428</v>
      </c>
      <c r="D1022" s="4" t="s">
        <v>428</v>
      </c>
      <c r="E1022" s="7">
        <v>38</v>
      </c>
      <c r="F1022" s="7">
        <v>96</v>
      </c>
      <c r="G1022" s="4" t="s">
        <v>74</v>
      </c>
    </row>
    <row r="1023" spans="1:7" ht="12.75">
      <c r="A1023" s="98" t="s">
        <v>1693</v>
      </c>
      <c r="B1023" s="98"/>
      <c r="C1023" s="98" t="s">
        <v>428</v>
      </c>
      <c r="D1023" s="4" t="s">
        <v>428</v>
      </c>
      <c r="E1023" s="7">
        <v>38</v>
      </c>
      <c r="F1023" s="7">
        <v>96</v>
      </c>
      <c r="G1023" s="4" t="s">
        <v>74</v>
      </c>
    </row>
    <row r="1024" spans="1:7" ht="12.75">
      <c r="A1024" s="98" t="s">
        <v>1694</v>
      </c>
      <c r="B1024" s="98"/>
      <c r="C1024" s="98" t="s">
        <v>428</v>
      </c>
      <c r="D1024" s="4" t="s">
        <v>428</v>
      </c>
      <c r="E1024" s="7">
        <v>38</v>
      </c>
      <c r="F1024" s="7">
        <v>96</v>
      </c>
      <c r="G1024" s="4" t="s">
        <v>74</v>
      </c>
    </row>
    <row r="1025" spans="1:7" ht="12.75">
      <c r="A1025" s="98" t="s">
        <v>1695</v>
      </c>
      <c r="B1025" s="98"/>
      <c r="C1025" s="98" t="s">
        <v>428</v>
      </c>
      <c r="D1025" s="4" t="s">
        <v>428</v>
      </c>
      <c r="E1025" s="7">
        <v>38</v>
      </c>
      <c r="F1025" s="7">
        <v>96</v>
      </c>
      <c r="G1025" s="4" t="s">
        <v>74</v>
      </c>
    </row>
    <row r="1026" spans="1:7" ht="12.75">
      <c r="A1026" s="98" t="s">
        <v>1696</v>
      </c>
      <c r="B1026" s="98"/>
      <c r="C1026" s="98" t="s">
        <v>512</v>
      </c>
      <c r="D1026" s="4" t="s">
        <v>512</v>
      </c>
      <c r="E1026" s="7">
        <v>5950</v>
      </c>
      <c r="F1026" s="7">
        <v>10539</v>
      </c>
      <c r="G1026" s="4" t="s">
        <v>74</v>
      </c>
    </row>
    <row r="1027" spans="1:7" ht="12.75">
      <c r="A1027" s="98" t="s">
        <v>1697</v>
      </c>
      <c r="B1027" s="98"/>
      <c r="C1027" s="98" t="s">
        <v>428</v>
      </c>
      <c r="D1027" s="4" t="s">
        <v>428</v>
      </c>
      <c r="E1027" s="7">
        <v>38</v>
      </c>
      <c r="F1027" s="7">
        <v>96</v>
      </c>
      <c r="G1027" s="4" t="s">
        <v>74</v>
      </c>
    </row>
    <row r="1028" spans="1:7" ht="12.75">
      <c r="A1028" s="98" t="s">
        <v>1698</v>
      </c>
      <c r="B1028" s="98" t="s">
        <v>1699</v>
      </c>
      <c r="C1028" s="98"/>
      <c r="D1028" s="4" t="s">
        <v>1699</v>
      </c>
      <c r="E1028" s="7">
        <v>115102</v>
      </c>
      <c r="F1028" s="7">
        <v>115102</v>
      </c>
      <c r="G1028" s="4" t="s">
        <v>74</v>
      </c>
    </row>
    <row r="1029" spans="1:7" ht="12.75">
      <c r="A1029" s="98" t="s">
        <v>1700</v>
      </c>
      <c r="B1029" s="98" t="s">
        <v>1701</v>
      </c>
      <c r="C1029" s="98"/>
      <c r="D1029" s="4" t="s">
        <v>1701</v>
      </c>
      <c r="E1029" s="7">
        <v>5232</v>
      </c>
      <c r="F1029" s="7">
        <v>44213</v>
      </c>
      <c r="G1029" s="4" t="s">
        <v>74</v>
      </c>
    </row>
    <row r="1030" spans="1:7" ht="12.75">
      <c r="A1030" s="98" t="s">
        <v>1702</v>
      </c>
      <c r="B1030" s="98"/>
      <c r="C1030" s="98" t="s">
        <v>428</v>
      </c>
      <c r="D1030" s="4" t="s">
        <v>428</v>
      </c>
      <c r="E1030" s="7">
        <v>38</v>
      </c>
      <c r="F1030" s="7">
        <v>96</v>
      </c>
      <c r="G1030" s="4" t="s">
        <v>74</v>
      </c>
    </row>
    <row r="1031" spans="1:7" ht="12.75">
      <c r="A1031" s="98" t="s">
        <v>1703</v>
      </c>
      <c r="B1031" s="98"/>
      <c r="C1031" s="98" t="s">
        <v>428</v>
      </c>
      <c r="D1031" s="4" t="s">
        <v>428</v>
      </c>
      <c r="E1031" s="7">
        <v>38</v>
      </c>
      <c r="F1031" s="7">
        <v>96</v>
      </c>
      <c r="G1031" s="4" t="s">
        <v>74</v>
      </c>
    </row>
    <row r="1032" spans="1:7" ht="12.75">
      <c r="A1032" s="98" t="s">
        <v>1704</v>
      </c>
      <c r="B1032" s="98"/>
      <c r="C1032" s="98" t="s">
        <v>428</v>
      </c>
      <c r="D1032" s="4" t="s">
        <v>428</v>
      </c>
      <c r="E1032" s="7">
        <v>38</v>
      </c>
      <c r="F1032" s="7">
        <v>96</v>
      </c>
      <c r="G1032" s="4" t="s">
        <v>74</v>
      </c>
    </row>
    <row r="1033" spans="1:7" ht="12.75">
      <c r="A1033" s="98" t="s">
        <v>1705</v>
      </c>
      <c r="B1033" s="99" t="s">
        <v>631</v>
      </c>
      <c r="C1033" s="98"/>
      <c r="D1033" s="4" t="s">
        <v>631</v>
      </c>
      <c r="E1033" s="7">
        <v>3</v>
      </c>
      <c r="F1033" s="7">
        <v>4</v>
      </c>
      <c r="G1033" s="4" t="s">
        <v>74</v>
      </c>
    </row>
    <row r="1034" spans="1:7" ht="12.75">
      <c r="A1034" s="98" t="s">
        <v>1706</v>
      </c>
      <c r="B1034" s="98"/>
      <c r="C1034" s="98" t="s">
        <v>428</v>
      </c>
      <c r="D1034" s="4" t="s">
        <v>428</v>
      </c>
      <c r="E1034" s="7">
        <v>38</v>
      </c>
      <c r="F1034" s="7">
        <v>96</v>
      </c>
      <c r="G1034" s="4" t="s">
        <v>74</v>
      </c>
    </row>
    <row r="1035" spans="1:7" ht="12.75">
      <c r="A1035" s="98" t="s">
        <v>1707</v>
      </c>
      <c r="B1035" s="98"/>
      <c r="C1035" s="98" t="s">
        <v>428</v>
      </c>
      <c r="D1035" s="4" t="s">
        <v>428</v>
      </c>
      <c r="E1035" s="7">
        <v>38</v>
      </c>
      <c r="F1035" s="7">
        <v>96</v>
      </c>
      <c r="G1035" s="4" t="s">
        <v>74</v>
      </c>
    </row>
    <row r="1036" spans="1:7" ht="12.75">
      <c r="A1036" s="98" t="s">
        <v>1708</v>
      </c>
      <c r="B1036" s="98"/>
      <c r="C1036" s="98" t="s">
        <v>428</v>
      </c>
      <c r="D1036" s="4" t="s">
        <v>428</v>
      </c>
      <c r="E1036" s="7">
        <v>38</v>
      </c>
      <c r="F1036" s="7">
        <v>96</v>
      </c>
      <c r="G1036" s="4" t="s">
        <v>74</v>
      </c>
    </row>
    <row r="1037" spans="1:7" ht="12.75">
      <c r="A1037" s="98" t="s">
        <v>1709</v>
      </c>
      <c r="B1037" s="98"/>
      <c r="C1037" s="98" t="s">
        <v>512</v>
      </c>
      <c r="D1037" s="4" t="s">
        <v>512</v>
      </c>
      <c r="E1037" s="7">
        <v>5950</v>
      </c>
      <c r="F1037" s="7">
        <v>10539</v>
      </c>
      <c r="G1037" s="4" t="s">
        <v>74</v>
      </c>
    </row>
    <row r="1038" spans="1:7" ht="12.75">
      <c r="A1038" s="98" t="s">
        <v>1710</v>
      </c>
      <c r="B1038" s="98"/>
      <c r="C1038" s="98" t="s">
        <v>428</v>
      </c>
      <c r="D1038" s="4" t="s">
        <v>428</v>
      </c>
      <c r="E1038" s="7">
        <v>38</v>
      </c>
      <c r="F1038" s="7">
        <v>96</v>
      </c>
      <c r="G1038" s="4" t="s">
        <v>74</v>
      </c>
    </row>
    <row r="1039" spans="1:7" ht="12.75">
      <c r="A1039" s="98" t="s">
        <v>1711</v>
      </c>
      <c r="B1039" s="98" t="s">
        <v>1712</v>
      </c>
      <c r="C1039" s="98"/>
      <c r="D1039" s="4" t="s">
        <v>1712</v>
      </c>
      <c r="E1039" s="7">
        <v>21</v>
      </c>
      <c r="F1039" s="7">
        <v>361</v>
      </c>
      <c r="G1039" s="4" t="s">
        <v>74</v>
      </c>
    </row>
    <row r="1040" spans="1:7" ht="12.75">
      <c r="A1040" s="98" t="s">
        <v>1713</v>
      </c>
      <c r="B1040" s="98" t="s">
        <v>1714</v>
      </c>
      <c r="C1040" s="98"/>
      <c r="D1040" s="4" t="s">
        <v>1714</v>
      </c>
      <c r="E1040" s="7">
        <v>87</v>
      </c>
      <c r="F1040" s="7">
        <v>116</v>
      </c>
      <c r="G1040" s="4" t="s">
        <v>74</v>
      </c>
    </row>
    <row r="1041" spans="1:7" ht="12.75">
      <c r="A1041" s="98" t="s">
        <v>1715</v>
      </c>
      <c r="B1041" s="98"/>
      <c r="C1041" s="98" t="s">
        <v>428</v>
      </c>
      <c r="D1041" s="4" t="s">
        <v>428</v>
      </c>
      <c r="E1041" s="7">
        <v>38</v>
      </c>
      <c r="F1041" s="7">
        <v>96</v>
      </c>
      <c r="G1041" s="4" t="s">
        <v>74</v>
      </c>
    </row>
    <row r="1042" spans="1:7" ht="12.75">
      <c r="A1042" s="98" t="s">
        <v>1716</v>
      </c>
      <c r="B1042" s="98"/>
      <c r="C1042" s="98" t="s">
        <v>428</v>
      </c>
      <c r="D1042" s="4" t="s">
        <v>428</v>
      </c>
      <c r="E1042" s="7">
        <v>38</v>
      </c>
      <c r="F1042" s="7">
        <v>96</v>
      </c>
      <c r="G1042" s="4" t="s">
        <v>74</v>
      </c>
    </row>
    <row r="1043" spans="1:7" ht="12.75">
      <c r="A1043" s="98" t="s">
        <v>1717</v>
      </c>
      <c r="B1043" s="98"/>
      <c r="C1043" s="98" t="s">
        <v>428</v>
      </c>
      <c r="D1043" s="4" t="s">
        <v>428</v>
      </c>
      <c r="E1043" s="7">
        <v>38</v>
      </c>
      <c r="F1043" s="7">
        <v>96</v>
      </c>
      <c r="G1043" s="4" t="s">
        <v>74</v>
      </c>
    </row>
    <row r="1044" spans="1:7" ht="12.75">
      <c r="A1044" s="98" t="s">
        <v>1718</v>
      </c>
      <c r="B1044" s="98"/>
      <c r="C1044" s="98" t="s">
        <v>428</v>
      </c>
      <c r="D1044" s="4" t="s">
        <v>428</v>
      </c>
      <c r="E1044" s="7">
        <v>38</v>
      </c>
      <c r="F1044" s="7">
        <v>96</v>
      </c>
      <c r="G1044" s="4" t="s">
        <v>74</v>
      </c>
    </row>
    <row r="1045" spans="1:7" ht="12.75">
      <c r="A1045" s="98" t="s">
        <v>1719</v>
      </c>
      <c r="B1045" s="98" t="s">
        <v>1720</v>
      </c>
      <c r="C1045" s="98"/>
      <c r="D1045" s="4" t="s">
        <v>1720</v>
      </c>
      <c r="E1045" s="7">
        <v>4540</v>
      </c>
      <c r="F1045" s="7">
        <v>4540</v>
      </c>
      <c r="G1045" s="4" t="s">
        <v>74</v>
      </c>
    </row>
    <row r="1046" spans="1:7" ht="12.75">
      <c r="A1046" s="98" t="s">
        <v>1721</v>
      </c>
      <c r="B1046" s="98"/>
      <c r="C1046" s="98" t="s">
        <v>428</v>
      </c>
      <c r="D1046" s="4" t="s">
        <v>428</v>
      </c>
      <c r="E1046" s="7">
        <v>38</v>
      </c>
      <c r="F1046" s="7">
        <v>96</v>
      </c>
      <c r="G1046" s="4" t="s">
        <v>74</v>
      </c>
    </row>
    <row r="1047" spans="1:7" ht="12.75">
      <c r="A1047" s="98" t="s">
        <v>1722</v>
      </c>
      <c r="B1047" s="98" t="s">
        <v>1723</v>
      </c>
      <c r="C1047" s="98"/>
      <c r="D1047" s="4" t="s">
        <v>1723</v>
      </c>
      <c r="E1047" s="7">
        <v>190000</v>
      </c>
      <c r="F1047" s="7">
        <v>190000</v>
      </c>
      <c r="G1047" s="4" t="s">
        <v>74</v>
      </c>
    </row>
    <row r="1048" spans="1:7" ht="12.75">
      <c r="A1048" s="98" t="s">
        <v>1724</v>
      </c>
      <c r="B1048" s="98"/>
      <c r="C1048" s="98" t="s">
        <v>428</v>
      </c>
      <c r="D1048" s="4" t="s">
        <v>428</v>
      </c>
      <c r="E1048" s="7">
        <v>38</v>
      </c>
      <c r="F1048" s="7">
        <v>96</v>
      </c>
      <c r="G1048" s="4" t="s">
        <v>74</v>
      </c>
    </row>
    <row r="1049" spans="1:7" ht="12.75">
      <c r="A1049" s="98" t="s">
        <v>1725</v>
      </c>
      <c r="B1049" s="98"/>
      <c r="C1049" s="98" t="s">
        <v>428</v>
      </c>
      <c r="D1049" s="4" t="s">
        <v>428</v>
      </c>
      <c r="E1049" s="7">
        <v>38</v>
      </c>
      <c r="F1049" s="7">
        <v>96</v>
      </c>
      <c r="G1049" s="4" t="s">
        <v>74</v>
      </c>
    </row>
    <row r="1050" spans="1:7" ht="12.75">
      <c r="A1050" s="98" t="s">
        <v>1726</v>
      </c>
      <c r="B1050" s="98" t="s">
        <v>1727</v>
      </c>
      <c r="C1050" s="98"/>
      <c r="D1050" s="4" t="s">
        <v>1727</v>
      </c>
      <c r="E1050" s="7">
        <v>1134</v>
      </c>
      <c r="F1050" s="7">
        <v>1134</v>
      </c>
      <c r="G1050" s="4" t="s">
        <v>74</v>
      </c>
    </row>
    <row r="1051" spans="1:7" ht="12.75">
      <c r="A1051" s="98" t="s">
        <v>1728</v>
      </c>
      <c r="B1051" s="98"/>
      <c r="C1051" s="98" t="s">
        <v>428</v>
      </c>
      <c r="D1051" s="4" t="s">
        <v>428</v>
      </c>
      <c r="E1051" s="7">
        <v>38</v>
      </c>
      <c r="F1051" s="7">
        <v>96</v>
      </c>
      <c r="G1051" s="4" t="s">
        <v>74</v>
      </c>
    </row>
    <row r="1052" spans="1:7" ht="12.75">
      <c r="A1052" s="98" t="s">
        <v>1729</v>
      </c>
      <c r="B1052" s="98"/>
      <c r="C1052" s="98" t="s">
        <v>428</v>
      </c>
      <c r="D1052" s="4" t="s">
        <v>428</v>
      </c>
      <c r="E1052" s="7">
        <v>38</v>
      </c>
      <c r="F1052" s="7">
        <v>96</v>
      </c>
      <c r="G1052" s="4" t="s">
        <v>74</v>
      </c>
    </row>
    <row r="1053" spans="1:7" ht="12.75">
      <c r="A1053" s="98" t="s">
        <v>1730</v>
      </c>
      <c r="B1053" s="98"/>
      <c r="C1053" s="98" t="s">
        <v>428</v>
      </c>
      <c r="D1053" s="4" t="s">
        <v>428</v>
      </c>
      <c r="E1053" s="7">
        <v>38</v>
      </c>
      <c r="F1053" s="7">
        <v>96</v>
      </c>
      <c r="G1053" s="4" t="s">
        <v>74</v>
      </c>
    </row>
    <row r="1054" spans="1:7" ht="12.75">
      <c r="A1054" s="98" t="s">
        <v>1731</v>
      </c>
      <c r="B1054" s="98"/>
      <c r="C1054" s="98" t="s">
        <v>428</v>
      </c>
      <c r="D1054" s="4" t="s">
        <v>428</v>
      </c>
      <c r="E1054" s="7">
        <v>38</v>
      </c>
      <c r="F1054" s="7">
        <v>96</v>
      </c>
      <c r="G1054" s="4" t="s">
        <v>74</v>
      </c>
    </row>
    <row r="1055" spans="1:7" ht="12.75">
      <c r="A1055" s="98" t="s">
        <v>1732</v>
      </c>
      <c r="B1055" s="98"/>
      <c r="C1055" s="98" t="s">
        <v>428</v>
      </c>
      <c r="D1055" s="4" t="s">
        <v>428</v>
      </c>
      <c r="E1055" s="7">
        <v>38</v>
      </c>
      <c r="F1055" s="7">
        <v>96</v>
      </c>
      <c r="G1055" s="4" t="s">
        <v>74</v>
      </c>
    </row>
    <row r="1056" spans="1:7" ht="12.75">
      <c r="A1056" s="98" t="s">
        <v>1733</v>
      </c>
      <c r="B1056" s="98" t="s">
        <v>1734</v>
      </c>
      <c r="C1056" s="98"/>
      <c r="D1056" s="4" t="s">
        <v>1734</v>
      </c>
      <c r="E1056" s="7">
        <v>428</v>
      </c>
      <c r="F1056" s="7">
        <v>583</v>
      </c>
      <c r="G1056" s="4" t="s">
        <v>74</v>
      </c>
    </row>
    <row r="1057" spans="1:7" ht="12.75">
      <c r="A1057" s="98" t="s">
        <v>1735</v>
      </c>
      <c r="B1057" s="98"/>
      <c r="C1057" s="98" t="s">
        <v>428</v>
      </c>
      <c r="D1057" s="4" t="s">
        <v>428</v>
      </c>
      <c r="E1057" s="7">
        <v>38</v>
      </c>
      <c r="F1057" s="7">
        <v>96</v>
      </c>
      <c r="G1057" s="4" t="s">
        <v>74</v>
      </c>
    </row>
    <row r="1058" spans="1:7" ht="12.75">
      <c r="A1058" s="98" t="s">
        <v>1736</v>
      </c>
      <c r="B1058" s="98"/>
      <c r="C1058" s="98" t="s">
        <v>428</v>
      </c>
      <c r="D1058" s="4" t="s">
        <v>428</v>
      </c>
      <c r="E1058" s="7">
        <v>38</v>
      </c>
      <c r="F1058" s="7">
        <v>96</v>
      </c>
      <c r="G1058" s="4" t="s">
        <v>74</v>
      </c>
    </row>
    <row r="1059" spans="1:7" ht="12.75">
      <c r="A1059" s="98" t="s">
        <v>1737</v>
      </c>
      <c r="B1059" s="98"/>
      <c r="C1059" s="98" t="s">
        <v>428</v>
      </c>
      <c r="D1059" s="4" t="s">
        <v>428</v>
      </c>
      <c r="E1059" s="7">
        <v>38</v>
      </c>
      <c r="F1059" s="7">
        <v>96</v>
      </c>
      <c r="G1059" s="4" t="s">
        <v>74</v>
      </c>
    </row>
    <row r="1060" spans="1:7" ht="12.75">
      <c r="A1060" s="98" t="s">
        <v>1738</v>
      </c>
      <c r="B1060" s="98"/>
      <c r="C1060" s="98" t="s">
        <v>428</v>
      </c>
      <c r="D1060" s="4" t="s">
        <v>428</v>
      </c>
      <c r="E1060" s="7">
        <v>38</v>
      </c>
      <c r="F1060" s="7">
        <v>96</v>
      </c>
      <c r="G1060" s="4" t="s">
        <v>74</v>
      </c>
    </row>
    <row r="1061" spans="1:7" ht="12.75">
      <c r="A1061" s="98" t="s">
        <v>1739</v>
      </c>
      <c r="B1061" s="98"/>
      <c r="C1061" s="98" t="s">
        <v>512</v>
      </c>
      <c r="D1061" s="4" t="s">
        <v>512</v>
      </c>
      <c r="E1061" s="7">
        <v>5950</v>
      </c>
      <c r="F1061" s="7">
        <v>10539</v>
      </c>
      <c r="G1061" s="4" t="s">
        <v>74</v>
      </c>
    </row>
    <row r="1062" spans="1:7" ht="12.75">
      <c r="A1062" s="98" t="s">
        <v>1740</v>
      </c>
      <c r="B1062" s="98" t="s">
        <v>1741</v>
      </c>
      <c r="C1062" s="98"/>
      <c r="D1062" s="4" t="s">
        <v>1741</v>
      </c>
      <c r="E1062" s="7">
        <v>16</v>
      </c>
      <c r="F1062" s="7">
        <v>25</v>
      </c>
      <c r="G1062" s="4" t="s">
        <v>74</v>
      </c>
    </row>
    <row r="1063" spans="1:7" ht="12.75">
      <c r="A1063" s="98" t="s">
        <v>1742</v>
      </c>
      <c r="B1063" s="98" t="s">
        <v>1743</v>
      </c>
      <c r="C1063" s="98"/>
      <c r="D1063" s="4" t="s">
        <v>1743</v>
      </c>
      <c r="E1063" s="7">
        <v>454</v>
      </c>
      <c r="F1063" s="7">
        <v>4545</v>
      </c>
      <c r="G1063" s="4" t="s">
        <v>74</v>
      </c>
    </row>
    <row r="1064" spans="1:7" ht="12.75">
      <c r="A1064" s="98" t="s">
        <v>1744</v>
      </c>
      <c r="B1064" s="98"/>
      <c r="C1064" s="98" t="s">
        <v>428</v>
      </c>
      <c r="D1064" s="4" t="s">
        <v>428</v>
      </c>
      <c r="E1064" s="7">
        <v>38</v>
      </c>
      <c r="F1064" s="7">
        <v>96</v>
      </c>
      <c r="G1064" s="4" t="s">
        <v>74</v>
      </c>
    </row>
    <row r="1065" spans="1:7" ht="12.75">
      <c r="A1065" s="98" t="s">
        <v>1745</v>
      </c>
      <c r="B1065" s="98"/>
      <c r="C1065" s="98" t="s">
        <v>1615</v>
      </c>
      <c r="D1065" s="4" t="s">
        <v>1615</v>
      </c>
      <c r="E1065" s="7">
        <v>48</v>
      </c>
      <c r="F1065" s="7">
        <v>81</v>
      </c>
      <c r="G1065" s="4" t="s">
        <v>74</v>
      </c>
    </row>
    <row r="1066" spans="1:7" ht="12.75">
      <c r="A1066" s="98" t="s">
        <v>1746</v>
      </c>
      <c r="B1066" s="98"/>
      <c r="C1066" s="98" t="s">
        <v>428</v>
      </c>
      <c r="D1066" s="4" t="s">
        <v>428</v>
      </c>
      <c r="E1066" s="7">
        <v>38</v>
      </c>
      <c r="F1066" s="7">
        <v>96</v>
      </c>
      <c r="G1066" s="4" t="s">
        <v>74</v>
      </c>
    </row>
    <row r="1067" spans="1:7" ht="12.75">
      <c r="A1067" s="98" t="s">
        <v>1747</v>
      </c>
      <c r="B1067" s="98" t="s">
        <v>1748</v>
      </c>
      <c r="C1067" s="98"/>
      <c r="D1067" s="4" t="s">
        <v>1748</v>
      </c>
      <c r="E1067" s="7">
        <v>1056</v>
      </c>
      <c r="F1067" s="7">
        <v>1440</v>
      </c>
      <c r="G1067" s="4" t="s">
        <v>74</v>
      </c>
    </row>
    <row r="1068" spans="1:7" ht="12.75">
      <c r="A1068" s="98" t="s">
        <v>1749</v>
      </c>
      <c r="B1068" s="98"/>
      <c r="C1068" s="98" t="s">
        <v>428</v>
      </c>
      <c r="D1068" s="4" t="s">
        <v>428</v>
      </c>
      <c r="E1068" s="7">
        <v>38</v>
      </c>
      <c r="F1068" s="7">
        <v>96</v>
      </c>
      <c r="G1068" s="4" t="s">
        <v>74</v>
      </c>
    </row>
    <row r="1069" spans="1:7" ht="12.75">
      <c r="A1069" s="98" t="s">
        <v>1750</v>
      </c>
      <c r="B1069" s="98"/>
      <c r="C1069" s="98" t="s">
        <v>428</v>
      </c>
      <c r="D1069" s="4" t="s">
        <v>428</v>
      </c>
      <c r="E1069" s="7">
        <v>38</v>
      </c>
      <c r="F1069" s="7">
        <v>96</v>
      </c>
      <c r="G1069" s="4" t="s">
        <v>74</v>
      </c>
    </row>
    <row r="1070" spans="1:7" ht="12.75">
      <c r="A1070" s="98" t="s">
        <v>1751</v>
      </c>
      <c r="B1070" s="98"/>
      <c r="C1070" s="98" t="s">
        <v>428</v>
      </c>
      <c r="D1070" s="4" t="s">
        <v>428</v>
      </c>
      <c r="E1070" s="7">
        <v>38</v>
      </c>
      <c r="F1070" s="7">
        <v>96</v>
      </c>
      <c r="G1070" s="4" t="s">
        <v>74</v>
      </c>
    </row>
    <row r="1071" spans="1:7" ht="12.75">
      <c r="A1071" s="98" t="s">
        <v>1752</v>
      </c>
      <c r="B1071" s="98"/>
      <c r="C1071" s="98" t="s">
        <v>428</v>
      </c>
      <c r="D1071" s="4" t="s">
        <v>428</v>
      </c>
      <c r="E1071" s="7">
        <v>38</v>
      </c>
      <c r="F1071" s="7">
        <v>96</v>
      </c>
      <c r="G1071" s="4" t="s">
        <v>74</v>
      </c>
    </row>
    <row r="1072" spans="1:7" ht="12.75">
      <c r="A1072" s="98" t="s">
        <v>1753</v>
      </c>
      <c r="B1072" s="98"/>
      <c r="C1072" s="98" t="s">
        <v>428</v>
      </c>
      <c r="D1072" s="4" t="s">
        <v>428</v>
      </c>
      <c r="E1072" s="7">
        <v>38</v>
      </c>
      <c r="F1072" s="7">
        <v>96</v>
      </c>
      <c r="G1072" s="4" t="s">
        <v>74</v>
      </c>
    </row>
    <row r="1073" spans="1:7" ht="12.75">
      <c r="A1073" s="98" t="s">
        <v>1754</v>
      </c>
      <c r="B1073" s="98"/>
      <c r="C1073" s="98" t="s">
        <v>428</v>
      </c>
      <c r="D1073" s="4" t="s">
        <v>428</v>
      </c>
      <c r="E1073" s="7">
        <v>38</v>
      </c>
      <c r="F1073" s="7">
        <v>96</v>
      </c>
      <c r="G1073" s="4" t="s">
        <v>74</v>
      </c>
    </row>
    <row r="1074" spans="1:7" ht="12.75">
      <c r="A1074" s="98" t="s">
        <v>1755</v>
      </c>
      <c r="B1074" s="98"/>
      <c r="C1074" s="98" t="s">
        <v>428</v>
      </c>
      <c r="D1074" s="4" t="s">
        <v>428</v>
      </c>
      <c r="E1074" s="7">
        <v>38</v>
      </c>
      <c r="F1074" s="7">
        <v>96</v>
      </c>
      <c r="G1074" s="4" t="s">
        <v>74</v>
      </c>
    </row>
    <row r="1075" spans="1:7" ht="12.75">
      <c r="A1075" s="98" t="s">
        <v>1756</v>
      </c>
      <c r="B1075" s="98"/>
      <c r="C1075" s="98" t="s">
        <v>512</v>
      </c>
      <c r="D1075" s="4" t="s">
        <v>512</v>
      </c>
      <c r="E1075" s="7">
        <v>5950</v>
      </c>
      <c r="F1075" s="7">
        <v>10539</v>
      </c>
      <c r="G1075" s="4" t="s">
        <v>74</v>
      </c>
    </row>
    <row r="1076" spans="1:7" ht="12.75">
      <c r="A1076" s="98" t="s">
        <v>1757</v>
      </c>
      <c r="B1076" s="98"/>
      <c r="C1076" s="98" t="s">
        <v>428</v>
      </c>
      <c r="D1076" s="4" t="s">
        <v>428</v>
      </c>
      <c r="E1076" s="7">
        <v>38</v>
      </c>
      <c r="F1076" s="7">
        <v>96</v>
      </c>
      <c r="G1076" s="4" t="s">
        <v>74</v>
      </c>
    </row>
    <row r="1077" spans="1:7" ht="12.75">
      <c r="A1077" s="98" t="s">
        <v>1758</v>
      </c>
      <c r="B1077" s="98"/>
      <c r="C1077" s="98" t="s">
        <v>428</v>
      </c>
      <c r="D1077" s="4" t="s">
        <v>428</v>
      </c>
      <c r="E1077" s="7">
        <v>38</v>
      </c>
      <c r="F1077" s="7">
        <v>96</v>
      </c>
      <c r="G1077" s="4" t="s">
        <v>74</v>
      </c>
    </row>
    <row r="1078" spans="1:7" ht="12.75">
      <c r="A1078" s="98" t="s">
        <v>1759</v>
      </c>
      <c r="B1078" s="98"/>
      <c r="C1078" s="98" t="s">
        <v>428</v>
      </c>
      <c r="D1078" s="4" t="s">
        <v>428</v>
      </c>
      <c r="E1078" s="7">
        <v>38</v>
      </c>
      <c r="F1078" s="7">
        <v>96</v>
      </c>
      <c r="G1078" s="4" t="s">
        <v>74</v>
      </c>
    </row>
    <row r="1079" spans="1:7" ht="12.75">
      <c r="A1079" s="98" t="s">
        <v>1760</v>
      </c>
      <c r="B1079" s="98"/>
      <c r="C1079" s="98" t="s">
        <v>428</v>
      </c>
      <c r="D1079" s="4" t="s">
        <v>428</v>
      </c>
      <c r="E1079" s="7">
        <v>38</v>
      </c>
      <c r="F1079" s="7">
        <v>96</v>
      </c>
      <c r="G1079" s="4" t="s">
        <v>74</v>
      </c>
    </row>
    <row r="1080" spans="1:7" ht="12.75">
      <c r="A1080" s="98" t="s">
        <v>1761</v>
      </c>
      <c r="B1080" s="98"/>
      <c r="C1080" s="98" t="s">
        <v>428</v>
      </c>
      <c r="D1080" s="4" t="s">
        <v>428</v>
      </c>
      <c r="E1080" s="7">
        <v>38</v>
      </c>
      <c r="F1080" s="7">
        <v>96</v>
      </c>
      <c r="G1080" s="4" t="s">
        <v>74</v>
      </c>
    </row>
    <row r="1081" spans="1:7" ht="12.75">
      <c r="A1081" s="98" t="s">
        <v>1762</v>
      </c>
      <c r="B1081" s="98"/>
      <c r="C1081" s="98" t="s">
        <v>512</v>
      </c>
      <c r="D1081" s="4" t="s">
        <v>512</v>
      </c>
      <c r="E1081" s="7">
        <v>5950</v>
      </c>
      <c r="F1081" s="7">
        <v>10539</v>
      </c>
      <c r="G1081" s="4" t="s">
        <v>74</v>
      </c>
    </row>
    <row r="1082" spans="1:7" ht="12.75">
      <c r="A1082" s="98" t="s">
        <v>1763</v>
      </c>
      <c r="B1082" s="98"/>
      <c r="C1082" s="98" t="s">
        <v>428</v>
      </c>
      <c r="D1082" s="4" t="s">
        <v>428</v>
      </c>
      <c r="E1082" s="7">
        <v>38</v>
      </c>
      <c r="F1082" s="7">
        <v>96</v>
      </c>
      <c r="G1082" s="4" t="s">
        <v>74</v>
      </c>
    </row>
    <row r="1083" spans="1:7" ht="12.75">
      <c r="A1083" s="98" t="s">
        <v>1764</v>
      </c>
      <c r="B1083" s="98"/>
      <c r="C1083" s="98" t="s">
        <v>428</v>
      </c>
      <c r="D1083" s="4" t="s">
        <v>428</v>
      </c>
      <c r="E1083" s="7">
        <v>38</v>
      </c>
      <c r="F1083" s="7">
        <v>96</v>
      </c>
      <c r="G1083" s="4" t="s">
        <v>74</v>
      </c>
    </row>
    <row r="1084" spans="1:7" ht="12.75">
      <c r="A1084" s="98" t="s">
        <v>1765</v>
      </c>
      <c r="B1084" s="98"/>
      <c r="C1084" s="98" t="s">
        <v>512</v>
      </c>
      <c r="D1084" s="4" t="s">
        <v>512</v>
      </c>
      <c r="E1084" s="7">
        <v>5950</v>
      </c>
      <c r="F1084" s="7">
        <v>10539</v>
      </c>
      <c r="G1084" s="4" t="s">
        <v>74</v>
      </c>
    </row>
    <row r="1085" spans="1:7" ht="12.75">
      <c r="A1085" s="98" t="s">
        <v>1766</v>
      </c>
      <c r="B1085" s="98"/>
      <c r="C1085" s="98" t="s">
        <v>428</v>
      </c>
      <c r="D1085" s="4" t="s">
        <v>428</v>
      </c>
      <c r="E1085" s="7">
        <v>38</v>
      </c>
      <c r="F1085" s="7">
        <v>96</v>
      </c>
      <c r="G1085" s="4" t="s">
        <v>74</v>
      </c>
    </row>
    <row r="1086" spans="1:7" ht="12.75">
      <c r="A1086" s="98" t="s">
        <v>1767</v>
      </c>
      <c r="B1086" s="98"/>
      <c r="C1086" s="98" t="s">
        <v>1218</v>
      </c>
      <c r="D1086" s="4" t="s">
        <v>1218</v>
      </c>
      <c r="E1086" s="7">
        <v>1155</v>
      </c>
      <c r="F1086" s="7">
        <v>1575</v>
      </c>
      <c r="G1086" s="4" t="s">
        <v>74</v>
      </c>
    </row>
    <row r="1087" spans="1:7" ht="12.75">
      <c r="A1087" s="98" t="s">
        <v>1768</v>
      </c>
      <c r="B1087" s="98"/>
      <c r="C1087" s="98" t="s">
        <v>428</v>
      </c>
      <c r="D1087" s="4" t="s">
        <v>428</v>
      </c>
      <c r="E1087" s="7">
        <v>38</v>
      </c>
      <c r="F1087" s="7">
        <v>96</v>
      </c>
      <c r="G1087" s="4" t="s">
        <v>74</v>
      </c>
    </row>
    <row r="1088" spans="1:7" ht="12.75">
      <c r="A1088" s="98" t="s">
        <v>1769</v>
      </c>
      <c r="B1088" s="98"/>
      <c r="C1088" s="98" t="s">
        <v>428</v>
      </c>
      <c r="D1088" s="4" t="s">
        <v>428</v>
      </c>
      <c r="E1088" s="7">
        <v>38</v>
      </c>
      <c r="F1088" s="7">
        <v>96</v>
      </c>
      <c r="G1088" s="4" t="s">
        <v>74</v>
      </c>
    </row>
    <row r="1089" spans="1:7" ht="12.75">
      <c r="A1089" s="98" t="s">
        <v>1770</v>
      </c>
      <c r="B1089" s="98" t="s">
        <v>1771</v>
      </c>
      <c r="C1089" s="98"/>
      <c r="D1089" s="4" t="s">
        <v>1771</v>
      </c>
      <c r="E1089" s="7">
        <v>1631</v>
      </c>
      <c r="F1089" s="7">
        <v>2120</v>
      </c>
      <c r="G1089" s="4" t="s">
        <v>74</v>
      </c>
    </row>
    <row r="1090" spans="1:7" ht="12.75">
      <c r="A1090" s="98" t="s">
        <v>1772</v>
      </c>
      <c r="B1090" s="98"/>
      <c r="C1090" s="98" t="s">
        <v>428</v>
      </c>
      <c r="D1090" s="4" t="s">
        <v>428</v>
      </c>
      <c r="E1090" s="7">
        <v>38</v>
      </c>
      <c r="F1090" s="7">
        <v>96</v>
      </c>
      <c r="G1090" s="4" t="s">
        <v>74</v>
      </c>
    </row>
    <row r="1091" spans="1:7" ht="12.75">
      <c r="A1091" s="98" t="s">
        <v>1773</v>
      </c>
      <c r="B1091" s="98"/>
      <c r="C1091" s="98" t="s">
        <v>428</v>
      </c>
      <c r="D1091" s="4" t="s">
        <v>428</v>
      </c>
      <c r="E1091" s="7">
        <v>38</v>
      </c>
      <c r="F1091" s="7">
        <v>96</v>
      </c>
      <c r="G1091" s="4" t="s">
        <v>74</v>
      </c>
    </row>
    <row r="1092" spans="1:7" ht="12.75">
      <c r="A1092" s="98" t="s">
        <v>1774</v>
      </c>
      <c r="B1092" s="98" t="s">
        <v>1775</v>
      </c>
      <c r="C1092" s="98"/>
      <c r="D1092" s="4" t="s">
        <v>1775</v>
      </c>
      <c r="E1092" s="7">
        <v>93</v>
      </c>
      <c r="F1092" s="7">
        <v>637</v>
      </c>
      <c r="G1092" s="4" t="s">
        <v>74</v>
      </c>
    </row>
    <row r="1093" spans="1:7" ht="12.75">
      <c r="A1093" s="98" t="s">
        <v>1776</v>
      </c>
      <c r="B1093" s="98"/>
      <c r="C1093" s="98" t="s">
        <v>428</v>
      </c>
      <c r="D1093" s="4" t="s">
        <v>428</v>
      </c>
      <c r="E1093" s="7">
        <v>38</v>
      </c>
      <c r="F1093" s="7">
        <v>96</v>
      </c>
      <c r="G1093" s="4" t="s">
        <v>74</v>
      </c>
    </row>
    <row r="1094" spans="1:7" ht="12.75">
      <c r="A1094" s="98" t="s">
        <v>1777</v>
      </c>
      <c r="B1094" s="98"/>
      <c r="C1094" s="98" t="s">
        <v>428</v>
      </c>
      <c r="D1094" s="4" t="s">
        <v>428</v>
      </c>
      <c r="E1094" s="7">
        <v>38</v>
      </c>
      <c r="F1094" s="7">
        <v>96</v>
      </c>
      <c r="G1094" s="4" t="s">
        <v>74</v>
      </c>
    </row>
    <row r="1095" spans="1:7" ht="12.75">
      <c r="A1095" s="98" t="s">
        <v>1778</v>
      </c>
      <c r="B1095" s="98"/>
      <c r="C1095" s="98" t="s">
        <v>512</v>
      </c>
      <c r="D1095" s="4" t="s">
        <v>512</v>
      </c>
      <c r="E1095" s="7">
        <v>5950</v>
      </c>
      <c r="F1095" s="7">
        <v>10539</v>
      </c>
      <c r="G1095" s="4" t="s">
        <v>74</v>
      </c>
    </row>
    <row r="1096" spans="1:7" ht="12.75">
      <c r="A1096" s="98" t="s">
        <v>1779</v>
      </c>
      <c r="B1096" s="98"/>
      <c r="C1096" s="98" t="s">
        <v>512</v>
      </c>
      <c r="D1096" s="4" t="s">
        <v>512</v>
      </c>
      <c r="E1096" s="7">
        <v>5950</v>
      </c>
      <c r="F1096" s="7">
        <v>10539</v>
      </c>
      <c r="G1096" s="4" t="s">
        <v>74</v>
      </c>
    </row>
    <row r="1097" spans="1:7" ht="12.75">
      <c r="A1097" s="98" t="s">
        <v>1780</v>
      </c>
      <c r="B1097" s="98"/>
      <c r="C1097" s="98" t="s">
        <v>512</v>
      </c>
      <c r="D1097" s="4" t="s">
        <v>512</v>
      </c>
      <c r="E1097" s="7">
        <v>5950</v>
      </c>
      <c r="F1097" s="7">
        <v>10539</v>
      </c>
      <c r="G1097" s="4" t="s">
        <v>74</v>
      </c>
    </row>
    <row r="1098" spans="1:7" ht="12.75">
      <c r="A1098" s="98" t="s">
        <v>1781</v>
      </c>
      <c r="B1098" s="98"/>
      <c r="C1098" s="98" t="s">
        <v>428</v>
      </c>
      <c r="D1098" s="4" t="s">
        <v>428</v>
      </c>
      <c r="E1098" s="7">
        <v>38</v>
      </c>
      <c r="F1098" s="7">
        <v>96</v>
      </c>
      <c r="G1098" s="4" t="s">
        <v>74</v>
      </c>
    </row>
    <row r="1099" spans="1:7" ht="12.75">
      <c r="A1099" s="98" t="s">
        <v>1782</v>
      </c>
      <c r="B1099" s="98"/>
      <c r="C1099" s="98" t="s">
        <v>428</v>
      </c>
      <c r="D1099" s="4" t="s">
        <v>428</v>
      </c>
      <c r="E1099" s="7">
        <v>38</v>
      </c>
      <c r="F1099" s="7">
        <v>96</v>
      </c>
      <c r="G1099" s="4" t="s">
        <v>74</v>
      </c>
    </row>
    <row r="1100" spans="1:7" ht="12.75">
      <c r="A1100" s="98" t="s">
        <v>1783</v>
      </c>
      <c r="B1100" s="98"/>
      <c r="C1100" s="98" t="s">
        <v>428</v>
      </c>
      <c r="D1100" s="4" t="s">
        <v>428</v>
      </c>
      <c r="E1100" s="7">
        <v>38</v>
      </c>
      <c r="F1100" s="7">
        <v>96</v>
      </c>
      <c r="G1100" s="4" t="s">
        <v>74</v>
      </c>
    </row>
    <row r="1101" spans="1:7" ht="12.75">
      <c r="A1101" s="98" t="s">
        <v>1784</v>
      </c>
      <c r="B1101" s="98"/>
      <c r="C1101" s="98" t="s">
        <v>428</v>
      </c>
      <c r="D1101" s="4" t="s">
        <v>428</v>
      </c>
      <c r="E1101" s="7">
        <v>38</v>
      </c>
      <c r="F1101" s="7">
        <v>96</v>
      </c>
      <c r="G1101" s="4" t="s">
        <v>74</v>
      </c>
    </row>
    <row r="1102" spans="1:7" ht="12.75">
      <c r="A1102" s="98" t="s">
        <v>1785</v>
      </c>
      <c r="B1102" s="98"/>
      <c r="C1102" s="98" t="s">
        <v>428</v>
      </c>
      <c r="D1102" s="4" t="s">
        <v>428</v>
      </c>
      <c r="E1102" s="7">
        <v>38</v>
      </c>
      <c r="F1102" s="7">
        <v>96</v>
      </c>
      <c r="G1102" s="4" t="s">
        <v>74</v>
      </c>
    </row>
    <row r="1103" spans="1:7" ht="12.75">
      <c r="A1103" s="98" t="s">
        <v>1786</v>
      </c>
      <c r="B1103" s="98"/>
      <c r="C1103" s="98" t="s">
        <v>512</v>
      </c>
      <c r="D1103" s="4" t="s">
        <v>512</v>
      </c>
      <c r="E1103" s="7">
        <v>5950</v>
      </c>
      <c r="F1103" s="7">
        <v>10539</v>
      </c>
      <c r="G1103" s="4" t="s">
        <v>74</v>
      </c>
    </row>
    <row r="1104" spans="1:7" ht="12.75">
      <c r="A1104" s="98" t="s">
        <v>1787</v>
      </c>
      <c r="B1104" s="98" t="s">
        <v>1788</v>
      </c>
      <c r="C1104" s="98"/>
      <c r="D1104" s="4" t="s">
        <v>1788</v>
      </c>
      <c r="E1104" s="7">
        <v>35</v>
      </c>
      <c r="F1104" s="7">
        <v>116</v>
      </c>
      <c r="G1104" s="4" t="s">
        <v>74</v>
      </c>
    </row>
    <row r="1105" spans="1:7" ht="12.75">
      <c r="A1105" s="98" t="s">
        <v>1789</v>
      </c>
      <c r="B1105" s="98"/>
      <c r="C1105" s="98" t="s">
        <v>428</v>
      </c>
      <c r="D1105" s="4" t="s">
        <v>428</v>
      </c>
      <c r="E1105" s="7">
        <v>38</v>
      </c>
      <c r="F1105" s="7">
        <v>96</v>
      </c>
      <c r="G1105" s="4" t="s">
        <v>74</v>
      </c>
    </row>
    <row r="1106" spans="1:7" ht="12.75">
      <c r="A1106" s="98" t="s">
        <v>1790</v>
      </c>
      <c r="B1106" s="98"/>
      <c r="C1106" s="98" t="s">
        <v>428</v>
      </c>
      <c r="D1106" s="4" t="s">
        <v>428</v>
      </c>
      <c r="E1106" s="7">
        <v>38</v>
      </c>
      <c r="F1106" s="7">
        <v>96</v>
      </c>
      <c r="G1106" s="4" t="s">
        <v>74</v>
      </c>
    </row>
    <row r="1107" spans="1:7" ht="12.75">
      <c r="A1107" s="98" t="s">
        <v>1791</v>
      </c>
      <c r="B1107" s="98"/>
      <c r="C1107" s="98" t="s">
        <v>428</v>
      </c>
      <c r="D1107" s="4" t="s">
        <v>428</v>
      </c>
      <c r="E1107" s="7">
        <v>38</v>
      </c>
      <c r="F1107" s="7">
        <v>96</v>
      </c>
      <c r="G1107" s="4" t="s">
        <v>74</v>
      </c>
    </row>
    <row r="1108" spans="1:7" ht="12.75">
      <c r="A1108" s="98" t="s">
        <v>1792</v>
      </c>
      <c r="B1108" s="98" t="s">
        <v>1793</v>
      </c>
      <c r="C1108" s="98"/>
      <c r="D1108" s="4" t="s">
        <v>1793</v>
      </c>
      <c r="E1108" s="7">
        <v>14000</v>
      </c>
      <c r="F1108" s="7">
        <v>18000</v>
      </c>
      <c r="G1108" s="4" t="s">
        <v>74</v>
      </c>
    </row>
    <row r="1109" spans="1:7" ht="12.75">
      <c r="A1109" s="98" t="s">
        <v>1794</v>
      </c>
      <c r="B1109" s="98" t="s">
        <v>481</v>
      </c>
      <c r="C1109" s="98"/>
      <c r="D1109" s="4" t="s">
        <v>481</v>
      </c>
      <c r="E1109" s="7">
        <v>5000</v>
      </c>
      <c r="F1109" s="7">
        <v>5000</v>
      </c>
      <c r="G1109" s="4" t="s">
        <v>74</v>
      </c>
    </row>
    <row r="1110" spans="1:7" ht="12.75">
      <c r="A1110" s="98" t="s">
        <v>1795</v>
      </c>
      <c r="B1110" s="98"/>
      <c r="C1110" s="98" t="s">
        <v>428</v>
      </c>
      <c r="D1110" s="4" t="s">
        <v>428</v>
      </c>
      <c r="E1110" s="7">
        <v>38</v>
      </c>
      <c r="F1110" s="7">
        <v>96</v>
      </c>
      <c r="G1110" s="4" t="s">
        <v>74</v>
      </c>
    </row>
    <row r="1111" spans="1:7" ht="12.75">
      <c r="A1111" s="98" t="s">
        <v>1796</v>
      </c>
      <c r="B1111" s="98" t="s">
        <v>1797</v>
      </c>
      <c r="C1111" s="98"/>
      <c r="D1111" s="4" t="s">
        <v>1797</v>
      </c>
      <c r="E1111" s="7">
        <v>9072</v>
      </c>
      <c r="F1111" s="7">
        <v>18144</v>
      </c>
      <c r="G1111" s="4" t="s">
        <v>74</v>
      </c>
    </row>
    <row r="1112" spans="1:7" ht="12.75">
      <c r="A1112" s="98" t="s">
        <v>1798</v>
      </c>
      <c r="B1112" s="98"/>
      <c r="C1112" s="98" t="s">
        <v>512</v>
      </c>
      <c r="D1112" s="4" t="s">
        <v>512</v>
      </c>
      <c r="E1112" s="7">
        <v>5950</v>
      </c>
      <c r="F1112" s="7">
        <v>10539</v>
      </c>
      <c r="G1112" s="4" t="s">
        <v>74</v>
      </c>
    </row>
    <row r="1113" spans="1:7" ht="12.75">
      <c r="A1113" s="98" t="s">
        <v>1799</v>
      </c>
      <c r="B1113" s="98"/>
      <c r="C1113" s="98" t="s">
        <v>428</v>
      </c>
      <c r="D1113" s="4" t="s">
        <v>428</v>
      </c>
      <c r="E1113" s="7">
        <v>38</v>
      </c>
      <c r="F1113" s="7">
        <v>96</v>
      </c>
      <c r="G1113" s="4" t="s">
        <v>74</v>
      </c>
    </row>
    <row r="1114" spans="1:7" ht="12.75">
      <c r="A1114" s="98" t="s">
        <v>1800</v>
      </c>
      <c r="B1114" s="98"/>
      <c r="C1114" s="98" t="s">
        <v>428</v>
      </c>
      <c r="D1114" s="4" t="s">
        <v>428</v>
      </c>
      <c r="E1114" s="7">
        <v>38</v>
      </c>
      <c r="F1114" s="7">
        <v>96</v>
      </c>
      <c r="G1114" s="4" t="s">
        <v>74</v>
      </c>
    </row>
    <row r="1115" spans="1:7" ht="12.75">
      <c r="A1115" s="98" t="s">
        <v>1801</v>
      </c>
      <c r="B1115" s="98"/>
      <c r="C1115" s="98" t="s">
        <v>428</v>
      </c>
      <c r="D1115" s="4" t="s">
        <v>428</v>
      </c>
      <c r="E1115" s="7">
        <v>38</v>
      </c>
      <c r="F1115" s="7">
        <v>96</v>
      </c>
      <c r="G1115" s="4" t="s">
        <v>74</v>
      </c>
    </row>
    <row r="1116" spans="1:7" ht="12.75">
      <c r="A1116" s="98" t="s">
        <v>1802</v>
      </c>
      <c r="B1116" s="98"/>
      <c r="C1116" s="98" t="s">
        <v>1615</v>
      </c>
      <c r="D1116" s="4" t="s">
        <v>1615</v>
      </c>
      <c r="E1116" s="7">
        <v>48</v>
      </c>
      <c r="F1116" s="7">
        <v>81</v>
      </c>
      <c r="G1116" s="4" t="s">
        <v>74</v>
      </c>
    </row>
    <row r="1117" spans="1:7" ht="12.75">
      <c r="A1117" s="98" t="s">
        <v>1803</v>
      </c>
      <c r="B1117" s="98"/>
      <c r="C1117" s="98" t="s">
        <v>512</v>
      </c>
      <c r="D1117" s="4" t="s">
        <v>512</v>
      </c>
      <c r="E1117" s="7">
        <v>5950</v>
      </c>
      <c r="F1117" s="7">
        <v>10539</v>
      </c>
      <c r="G1117" s="4" t="s">
        <v>74</v>
      </c>
    </row>
    <row r="1118" spans="1:7" ht="12.75">
      <c r="A1118" s="98" t="s">
        <v>1804</v>
      </c>
      <c r="B1118" s="98"/>
      <c r="C1118" s="98" t="s">
        <v>428</v>
      </c>
      <c r="D1118" s="4" t="s">
        <v>428</v>
      </c>
      <c r="E1118" s="7">
        <v>38</v>
      </c>
      <c r="F1118" s="7">
        <v>96</v>
      </c>
      <c r="G1118" s="4" t="s">
        <v>74</v>
      </c>
    </row>
    <row r="1119" spans="1:7" ht="12.75">
      <c r="A1119" s="98" t="s">
        <v>1805</v>
      </c>
      <c r="B1119" s="98"/>
      <c r="C1119" s="98" t="s">
        <v>428</v>
      </c>
      <c r="D1119" s="4" t="s">
        <v>428</v>
      </c>
      <c r="E1119" s="7">
        <v>38</v>
      </c>
      <c r="F1119" s="7">
        <v>96</v>
      </c>
      <c r="G1119" s="4" t="s">
        <v>74</v>
      </c>
    </row>
    <row r="1120" spans="1:7" ht="12.75">
      <c r="A1120" s="98" t="s">
        <v>1806</v>
      </c>
      <c r="B1120" s="98"/>
      <c r="C1120" s="98" t="s">
        <v>428</v>
      </c>
      <c r="D1120" s="4" t="s">
        <v>428</v>
      </c>
      <c r="E1120" s="7">
        <v>38</v>
      </c>
      <c r="F1120" s="7">
        <v>96</v>
      </c>
      <c r="G1120" s="4" t="s">
        <v>74</v>
      </c>
    </row>
    <row r="1121" spans="1:7" ht="12.75">
      <c r="A1121" s="98" t="s">
        <v>1807</v>
      </c>
      <c r="B1121" s="98"/>
      <c r="C1121" s="98" t="s">
        <v>428</v>
      </c>
      <c r="D1121" s="4" t="s">
        <v>428</v>
      </c>
      <c r="E1121" s="7">
        <v>38</v>
      </c>
      <c r="F1121" s="7">
        <v>96</v>
      </c>
      <c r="G1121" s="4" t="s">
        <v>74</v>
      </c>
    </row>
    <row r="1122" spans="1:7" ht="12.75">
      <c r="A1122" s="98" t="s">
        <v>1808</v>
      </c>
      <c r="B1122" s="98" t="s">
        <v>1809</v>
      </c>
      <c r="C1122" s="98"/>
      <c r="D1122" s="4" t="s">
        <v>1809</v>
      </c>
      <c r="E1122" s="7">
        <v>2036</v>
      </c>
      <c r="F1122" s="7">
        <v>2900</v>
      </c>
      <c r="G1122" s="4" t="s">
        <v>74</v>
      </c>
    </row>
    <row r="1123" spans="1:7" ht="12.75">
      <c r="A1123" s="98" t="s">
        <v>1810</v>
      </c>
      <c r="B1123" s="98"/>
      <c r="C1123" s="98" t="s">
        <v>428</v>
      </c>
      <c r="D1123" s="4" t="s">
        <v>428</v>
      </c>
      <c r="E1123" s="7">
        <v>38</v>
      </c>
      <c r="F1123" s="7">
        <v>96</v>
      </c>
      <c r="G1123" s="4" t="s">
        <v>74</v>
      </c>
    </row>
    <row r="1124" spans="1:7" ht="12.75">
      <c r="A1124" s="98" t="s">
        <v>1811</v>
      </c>
      <c r="B1124" s="98"/>
      <c r="C1124" s="98" t="s">
        <v>428</v>
      </c>
      <c r="D1124" s="4" t="s">
        <v>428</v>
      </c>
      <c r="E1124" s="7">
        <v>38</v>
      </c>
      <c r="F1124" s="7">
        <v>96</v>
      </c>
      <c r="G1124" s="4" t="s">
        <v>74</v>
      </c>
    </row>
    <row r="1125" spans="1:7" ht="12.75">
      <c r="A1125" s="98" t="s">
        <v>1812</v>
      </c>
      <c r="B1125" s="98"/>
      <c r="C1125" s="98" t="s">
        <v>512</v>
      </c>
      <c r="D1125" s="4" t="s">
        <v>512</v>
      </c>
      <c r="E1125" s="7">
        <v>5950</v>
      </c>
      <c r="F1125" s="7">
        <v>10539</v>
      </c>
      <c r="G1125" s="4" t="s">
        <v>74</v>
      </c>
    </row>
    <row r="1126" spans="1:7" ht="12.75">
      <c r="A1126" s="98" t="s">
        <v>1813</v>
      </c>
      <c r="B1126" s="98"/>
      <c r="C1126" s="98" t="s">
        <v>428</v>
      </c>
      <c r="D1126" s="4" t="s">
        <v>428</v>
      </c>
      <c r="E1126" s="7">
        <v>38</v>
      </c>
      <c r="F1126" s="7">
        <v>96</v>
      </c>
      <c r="G1126" s="4" t="s">
        <v>74</v>
      </c>
    </row>
    <row r="1127" spans="1:7" ht="12.75">
      <c r="A1127" s="98" t="s">
        <v>1814</v>
      </c>
      <c r="B1127" s="98"/>
      <c r="C1127" s="98" t="s">
        <v>428</v>
      </c>
      <c r="D1127" s="4" t="s">
        <v>428</v>
      </c>
      <c r="E1127" s="7">
        <v>38</v>
      </c>
      <c r="F1127" s="7">
        <v>96</v>
      </c>
      <c r="G1127" s="4" t="s">
        <v>74</v>
      </c>
    </row>
    <row r="1128" spans="1:7" ht="12.75">
      <c r="A1128" s="98" t="s">
        <v>1815</v>
      </c>
      <c r="B1128" s="98"/>
      <c r="C1128" s="98" t="s">
        <v>428</v>
      </c>
      <c r="D1128" s="4" t="s">
        <v>428</v>
      </c>
      <c r="E1128" s="7">
        <v>38</v>
      </c>
      <c r="F1128" s="7">
        <v>96</v>
      </c>
      <c r="G1128" s="4" t="s">
        <v>74</v>
      </c>
    </row>
    <row r="1129" spans="1:7" ht="12.75">
      <c r="A1129" s="98" t="s">
        <v>1816</v>
      </c>
      <c r="B1129" s="98"/>
      <c r="C1129" s="98" t="s">
        <v>428</v>
      </c>
      <c r="D1129" s="4" t="s">
        <v>428</v>
      </c>
      <c r="E1129" s="7">
        <v>38</v>
      </c>
      <c r="F1129" s="7">
        <v>96</v>
      </c>
      <c r="G1129" s="4" t="s">
        <v>74</v>
      </c>
    </row>
    <row r="1130" spans="1:7" ht="12.75">
      <c r="A1130" s="98" t="s">
        <v>1817</v>
      </c>
      <c r="B1130" s="98"/>
      <c r="C1130" s="98" t="s">
        <v>428</v>
      </c>
      <c r="D1130" s="4" t="s">
        <v>428</v>
      </c>
      <c r="E1130" s="7">
        <v>38</v>
      </c>
      <c r="F1130" s="7">
        <v>96</v>
      </c>
      <c r="G1130" s="4" t="s">
        <v>74</v>
      </c>
    </row>
    <row r="1131" spans="1:7" ht="12.75">
      <c r="A1131" s="98" t="s">
        <v>1818</v>
      </c>
      <c r="B1131" s="98"/>
      <c r="C1131" s="98" t="s">
        <v>428</v>
      </c>
      <c r="D1131" s="4" t="s">
        <v>428</v>
      </c>
      <c r="E1131" s="7">
        <v>38</v>
      </c>
      <c r="F1131" s="7">
        <v>96</v>
      </c>
      <c r="G1131" s="4" t="s">
        <v>74</v>
      </c>
    </row>
    <row r="1132" spans="1:7" ht="12.75">
      <c r="A1132" s="98" t="s">
        <v>1819</v>
      </c>
      <c r="B1132" s="98" t="s">
        <v>1820</v>
      </c>
      <c r="C1132" s="98"/>
      <c r="D1132" s="4" t="s">
        <v>1820</v>
      </c>
      <c r="E1132" s="7">
        <v>3636</v>
      </c>
      <c r="F1132" s="7">
        <v>4545</v>
      </c>
      <c r="G1132" s="4" t="s">
        <v>74</v>
      </c>
    </row>
    <row r="1133" spans="1:7" ht="12.75">
      <c r="A1133" s="98" t="s">
        <v>1821</v>
      </c>
      <c r="B1133" s="98"/>
      <c r="C1133" s="98" t="s">
        <v>428</v>
      </c>
      <c r="D1133" s="4" t="s">
        <v>428</v>
      </c>
      <c r="E1133" s="7">
        <v>38</v>
      </c>
      <c r="F1133" s="7">
        <v>96</v>
      </c>
      <c r="G1133" s="4" t="s">
        <v>74</v>
      </c>
    </row>
    <row r="1134" spans="1:7" ht="12.75">
      <c r="A1134" s="98" t="s">
        <v>1822</v>
      </c>
      <c r="B1134" s="98"/>
      <c r="C1134" s="98" t="s">
        <v>512</v>
      </c>
      <c r="D1134" s="4" t="s">
        <v>512</v>
      </c>
      <c r="E1134" s="7">
        <v>5950</v>
      </c>
      <c r="F1134" s="7">
        <v>10539</v>
      </c>
      <c r="G1134" s="4" t="s">
        <v>74</v>
      </c>
    </row>
    <row r="1135" spans="1:7" ht="12.75">
      <c r="A1135" s="98" t="s">
        <v>1823</v>
      </c>
      <c r="B1135" s="98"/>
      <c r="C1135" s="98" t="s">
        <v>428</v>
      </c>
      <c r="D1135" s="4" t="s">
        <v>428</v>
      </c>
      <c r="E1135" s="7">
        <v>38</v>
      </c>
      <c r="F1135" s="7">
        <v>96</v>
      </c>
      <c r="G1135" s="4" t="s">
        <v>74</v>
      </c>
    </row>
    <row r="1136" spans="1:7" ht="12.75">
      <c r="A1136" s="98" t="s">
        <v>1824</v>
      </c>
      <c r="B1136" s="98"/>
      <c r="C1136" s="98" t="s">
        <v>428</v>
      </c>
      <c r="D1136" s="4" t="s">
        <v>428</v>
      </c>
      <c r="E1136" s="7">
        <v>38</v>
      </c>
      <c r="F1136" s="7">
        <v>96</v>
      </c>
      <c r="G1136" s="4" t="s">
        <v>74</v>
      </c>
    </row>
    <row r="1137" spans="1:7" ht="12.75">
      <c r="A1137" s="98" t="s">
        <v>1825</v>
      </c>
      <c r="B1137" s="98"/>
      <c r="C1137" s="98" t="s">
        <v>428</v>
      </c>
      <c r="D1137" s="4" t="s">
        <v>428</v>
      </c>
      <c r="E1137" s="7">
        <v>38</v>
      </c>
      <c r="F1137" s="7">
        <v>96</v>
      </c>
      <c r="G1137" s="4" t="s">
        <v>74</v>
      </c>
    </row>
    <row r="1138" spans="1:7" ht="12.75">
      <c r="A1138" s="98" t="s">
        <v>1826</v>
      </c>
      <c r="B1138" s="98"/>
      <c r="C1138" s="98" t="s">
        <v>428</v>
      </c>
      <c r="D1138" s="4" t="s">
        <v>428</v>
      </c>
      <c r="E1138" s="7">
        <v>38</v>
      </c>
      <c r="F1138" s="7">
        <v>96</v>
      </c>
      <c r="G1138" s="4" t="s">
        <v>74</v>
      </c>
    </row>
    <row r="1139" spans="1:7" ht="12.75">
      <c r="A1139" s="98" t="s">
        <v>1827</v>
      </c>
      <c r="B1139" s="98"/>
      <c r="C1139" s="98" t="s">
        <v>428</v>
      </c>
      <c r="D1139" s="4" t="s">
        <v>428</v>
      </c>
      <c r="E1139" s="7">
        <v>38</v>
      </c>
      <c r="F1139" s="7">
        <v>96</v>
      </c>
      <c r="G1139" s="4" t="s">
        <v>74</v>
      </c>
    </row>
    <row r="1140" spans="1:7" ht="12.75">
      <c r="A1140" s="98" t="s">
        <v>1828</v>
      </c>
      <c r="B1140" s="98"/>
      <c r="C1140" s="98" t="s">
        <v>428</v>
      </c>
      <c r="D1140" s="4" t="s">
        <v>428</v>
      </c>
      <c r="E1140" s="7">
        <v>38</v>
      </c>
      <c r="F1140" s="7">
        <v>96</v>
      </c>
      <c r="G1140" s="4" t="s">
        <v>74</v>
      </c>
    </row>
    <row r="1141" spans="1:7" ht="12.75">
      <c r="A1141" s="98" t="s">
        <v>1829</v>
      </c>
      <c r="B1141" s="98"/>
      <c r="C1141" s="98" t="s">
        <v>428</v>
      </c>
      <c r="D1141" s="4" t="s">
        <v>428</v>
      </c>
      <c r="E1141" s="7">
        <v>38</v>
      </c>
      <c r="F1141" s="7">
        <v>96</v>
      </c>
      <c r="G1141" s="4" t="s">
        <v>74</v>
      </c>
    </row>
    <row r="1142" spans="1:7" ht="12.75">
      <c r="A1142" s="98" t="s">
        <v>1830</v>
      </c>
      <c r="B1142" s="98"/>
      <c r="C1142" s="98" t="s">
        <v>428</v>
      </c>
      <c r="D1142" s="4" t="s">
        <v>428</v>
      </c>
      <c r="E1142" s="7">
        <v>38</v>
      </c>
      <c r="F1142" s="7">
        <v>96</v>
      </c>
      <c r="G1142" s="4" t="s">
        <v>74</v>
      </c>
    </row>
    <row r="1143" spans="1:7" ht="12.75">
      <c r="A1143" s="98" t="s">
        <v>1831</v>
      </c>
      <c r="B1143" s="98"/>
      <c r="C1143" s="98" t="s">
        <v>428</v>
      </c>
      <c r="D1143" s="4" t="s">
        <v>428</v>
      </c>
      <c r="E1143" s="7">
        <v>38</v>
      </c>
      <c r="F1143" s="7">
        <v>96</v>
      </c>
      <c r="G1143" s="4" t="s">
        <v>74</v>
      </c>
    </row>
    <row r="1144" spans="1:7" ht="12.75">
      <c r="A1144" s="98" t="s">
        <v>1832</v>
      </c>
      <c r="B1144" s="98"/>
      <c r="C1144" s="98" t="s">
        <v>428</v>
      </c>
      <c r="D1144" s="4" t="s">
        <v>428</v>
      </c>
      <c r="E1144" s="7">
        <v>38</v>
      </c>
      <c r="F1144" s="7">
        <v>96</v>
      </c>
      <c r="G1144" s="4" t="s">
        <v>74</v>
      </c>
    </row>
    <row r="1145" spans="1:7" ht="12.75">
      <c r="A1145" s="98" t="s">
        <v>1833</v>
      </c>
      <c r="B1145" s="98"/>
      <c r="C1145" s="98" t="s">
        <v>428</v>
      </c>
      <c r="D1145" s="4" t="s">
        <v>428</v>
      </c>
      <c r="E1145" s="7">
        <v>38</v>
      </c>
      <c r="F1145" s="7">
        <v>96</v>
      </c>
      <c r="G1145" s="4" t="s">
        <v>74</v>
      </c>
    </row>
    <row r="1146" spans="1:7" ht="12.75">
      <c r="A1146" s="98" t="s">
        <v>1834</v>
      </c>
      <c r="B1146" s="98"/>
      <c r="C1146" s="98" t="s">
        <v>428</v>
      </c>
      <c r="D1146" s="4" t="s">
        <v>428</v>
      </c>
      <c r="E1146" s="7">
        <v>38</v>
      </c>
      <c r="F1146" s="7">
        <v>96</v>
      </c>
      <c r="G1146" s="4" t="s">
        <v>74</v>
      </c>
    </row>
    <row r="1147" spans="1:7" ht="12.75">
      <c r="A1147" s="98" t="s">
        <v>1835</v>
      </c>
      <c r="B1147" s="98"/>
      <c r="C1147" s="98" t="s">
        <v>428</v>
      </c>
      <c r="D1147" s="4" t="s">
        <v>428</v>
      </c>
      <c r="E1147" s="7">
        <v>38</v>
      </c>
      <c r="F1147" s="7">
        <v>96</v>
      </c>
      <c r="G1147" s="4" t="s">
        <v>74</v>
      </c>
    </row>
    <row r="1148" spans="1:7" ht="12.75">
      <c r="A1148" s="98" t="s">
        <v>1836</v>
      </c>
      <c r="B1148" s="98"/>
      <c r="C1148" s="98" t="s">
        <v>512</v>
      </c>
      <c r="D1148" s="4" t="s">
        <v>512</v>
      </c>
      <c r="E1148" s="7">
        <v>5950</v>
      </c>
      <c r="F1148" s="7">
        <v>10539</v>
      </c>
      <c r="G1148" s="4" t="s">
        <v>74</v>
      </c>
    </row>
    <row r="1149" spans="1:7" ht="12.75">
      <c r="A1149" s="98" t="s">
        <v>1837</v>
      </c>
      <c r="B1149" s="98" t="s">
        <v>1838</v>
      </c>
      <c r="C1149" s="98"/>
      <c r="D1149" s="4" t="s">
        <v>1838</v>
      </c>
      <c r="E1149" s="7">
        <v>385000</v>
      </c>
      <c r="F1149" s="7">
        <v>685000</v>
      </c>
      <c r="G1149" s="4" t="s">
        <v>74</v>
      </c>
    </row>
    <row r="1150" spans="1:7" ht="12.75">
      <c r="A1150" s="98" t="s">
        <v>1839</v>
      </c>
      <c r="B1150" s="98"/>
      <c r="C1150" s="98" t="s">
        <v>428</v>
      </c>
      <c r="D1150" s="4" t="s">
        <v>428</v>
      </c>
      <c r="E1150" s="7">
        <v>38</v>
      </c>
      <c r="F1150" s="7">
        <v>96</v>
      </c>
      <c r="G1150" s="4" t="s">
        <v>74</v>
      </c>
    </row>
    <row r="1151" spans="1:7" ht="12.75">
      <c r="A1151" s="98" t="s">
        <v>1840</v>
      </c>
      <c r="B1151" s="98"/>
      <c r="C1151" s="98" t="s">
        <v>428</v>
      </c>
      <c r="D1151" s="4" t="s">
        <v>428</v>
      </c>
      <c r="E1151" s="7">
        <v>38</v>
      </c>
      <c r="F1151" s="7">
        <v>96</v>
      </c>
      <c r="G1151" s="4" t="s">
        <v>74</v>
      </c>
    </row>
    <row r="1152" spans="1:7" ht="12.75">
      <c r="A1152" s="98" t="s">
        <v>1841</v>
      </c>
      <c r="B1152" s="98"/>
      <c r="C1152" s="98" t="s">
        <v>428</v>
      </c>
      <c r="D1152" s="4" t="s">
        <v>428</v>
      </c>
      <c r="E1152" s="7">
        <v>38</v>
      </c>
      <c r="F1152" s="7">
        <v>96</v>
      </c>
      <c r="G1152" s="4" t="s">
        <v>74</v>
      </c>
    </row>
    <row r="1153" spans="1:7" ht="12.75">
      <c r="A1153" s="98" t="s">
        <v>1842</v>
      </c>
      <c r="B1153" s="98"/>
      <c r="C1153" s="98" t="s">
        <v>428</v>
      </c>
      <c r="D1153" s="4" t="s">
        <v>428</v>
      </c>
      <c r="E1153" s="7">
        <v>38</v>
      </c>
      <c r="F1153" s="7">
        <v>96</v>
      </c>
      <c r="G1153" s="4" t="s">
        <v>74</v>
      </c>
    </row>
    <row r="1154" spans="1:7" ht="12.75">
      <c r="A1154" s="98" t="s">
        <v>1843</v>
      </c>
      <c r="B1154" s="98"/>
      <c r="C1154" s="98" t="s">
        <v>428</v>
      </c>
      <c r="D1154" s="4" t="s">
        <v>428</v>
      </c>
      <c r="E1154" s="7">
        <v>38</v>
      </c>
      <c r="F1154" s="7">
        <v>96</v>
      </c>
      <c r="G1154" s="4" t="s">
        <v>74</v>
      </c>
    </row>
    <row r="1155" spans="1:7" ht="12.75">
      <c r="A1155" s="98" t="s">
        <v>1844</v>
      </c>
      <c r="B1155" s="98"/>
      <c r="C1155" s="98" t="s">
        <v>428</v>
      </c>
      <c r="D1155" s="4" t="s">
        <v>428</v>
      </c>
      <c r="E1155" s="7">
        <v>38</v>
      </c>
      <c r="F1155" s="7">
        <v>96</v>
      </c>
      <c r="G1155" s="4" t="s">
        <v>74</v>
      </c>
    </row>
    <row r="1156" spans="1:7" ht="12.75">
      <c r="A1156" s="98" t="s">
        <v>1845</v>
      </c>
      <c r="B1156" s="98"/>
      <c r="C1156" s="98" t="s">
        <v>512</v>
      </c>
      <c r="D1156" s="4" t="s">
        <v>512</v>
      </c>
      <c r="E1156" s="7">
        <v>5950</v>
      </c>
      <c r="F1156" s="7">
        <v>10539</v>
      </c>
      <c r="G1156" s="4" t="s">
        <v>74</v>
      </c>
    </row>
    <row r="1157" spans="1:7" ht="12.75">
      <c r="A1157" s="98" t="s">
        <v>1846</v>
      </c>
      <c r="B1157" s="98"/>
      <c r="C1157" s="98" t="s">
        <v>428</v>
      </c>
      <c r="D1157" s="4" t="s">
        <v>428</v>
      </c>
      <c r="E1157" s="7">
        <v>38</v>
      </c>
      <c r="F1157" s="7">
        <v>96</v>
      </c>
      <c r="G1157" s="4" t="s">
        <v>74</v>
      </c>
    </row>
    <row r="1158" spans="1:7" ht="12.75">
      <c r="A1158" s="98" t="s">
        <v>1847</v>
      </c>
      <c r="B1158" s="98"/>
      <c r="C1158" s="98" t="s">
        <v>428</v>
      </c>
      <c r="D1158" s="4" t="s">
        <v>428</v>
      </c>
      <c r="E1158" s="7">
        <v>38</v>
      </c>
      <c r="F1158" s="7">
        <v>96</v>
      </c>
      <c r="G1158" s="4" t="s">
        <v>74</v>
      </c>
    </row>
    <row r="1159" spans="1:7" ht="12.75">
      <c r="A1159" s="98" t="s">
        <v>1848</v>
      </c>
      <c r="B1159" s="98"/>
      <c r="C1159" s="98" t="s">
        <v>428</v>
      </c>
      <c r="D1159" s="4" t="s">
        <v>428</v>
      </c>
      <c r="E1159" s="7">
        <v>38</v>
      </c>
      <c r="F1159" s="7">
        <v>96</v>
      </c>
      <c r="G1159" s="4" t="s">
        <v>74</v>
      </c>
    </row>
    <row r="1160" spans="1:7" ht="12.75">
      <c r="A1160" s="98" t="s">
        <v>1849</v>
      </c>
      <c r="B1160" s="98"/>
      <c r="C1160" s="98" t="s">
        <v>428</v>
      </c>
      <c r="D1160" s="4" t="s">
        <v>428</v>
      </c>
      <c r="E1160" s="7">
        <v>38</v>
      </c>
      <c r="F1160" s="7">
        <v>96</v>
      </c>
      <c r="G1160" s="4" t="s">
        <v>74</v>
      </c>
    </row>
    <row r="1161" spans="1:7" ht="12.75">
      <c r="A1161" s="98" t="s">
        <v>1850</v>
      </c>
      <c r="B1161" s="98"/>
      <c r="C1161" s="98" t="s">
        <v>512</v>
      </c>
      <c r="D1161" s="4" t="s">
        <v>512</v>
      </c>
      <c r="E1161" s="7">
        <v>5950</v>
      </c>
      <c r="F1161" s="7">
        <v>10539</v>
      </c>
      <c r="G1161" s="4" t="s">
        <v>74</v>
      </c>
    </row>
    <row r="1162" spans="1:7" ht="12.75">
      <c r="A1162" s="98" t="s">
        <v>1851</v>
      </c>
      <c r="B1162" s="98" t="s">
        <v>1852</v>
      </c>
      <c r="C1162" s="98"/>
      <c r="D1162" s="4" t="s">
        <v>1852</v>
      </c>
      <c r="E1162" s="7">
        <v>2700</v>
      </c>
      <c r="F1162" s="7">
        <v>2700</v>
      </c>
      <c r="G1162" s="4" t="s">
        <v>74</v>
      </c>
    </row>
    <row r="1163" spans="1:7" ht="12.75">
      <c r="A1163" s="98" t="s">
        <v>1853</v>
      </c>
      <c r="B1163" s="98"/>
      <c r="C1163" s="98" t="s">
        <v>512</v>
      </c>
      <c r="D1163" s="4" t="s">
        <v>512</v>
      </c>
      <c r="E1163" s="7">
        <v>5950</v>
      </c>
      <c r="F1163" s="7">
        <v>10539</v>
      </c>
      <c r="G1163" s="4" t="s">
        <v>74</v>
      </c>
    </row>
    <row r="1164" spans="1:7" ht="12.75">
      <c r="A1164" s="98" t="s">
        <v>1854</v>
      </c>
      <c r="B1164" s="98" t="s">
        <v>1855</v>
      </c>
      <c r="C1164" s="98"/>
      <c r="D1164" s="4" t="s">
        <v>1855</v>
      </c>
      <c r="E1164" s="7">
        <v>128</v>
      </c>
      <c r="F1164" s="7">
        <v>402</v>
      </c>
      <c r="G1164" s="4" t="s">
        <v>74</v>
      </c>
    </row>
    <row r="1165" spans="1:7" ht="12.75">
      <c r="A1165" s="98" t="s">
        <v>1856</v>
      </c>
      <c r="B1165" s="98"/>
      <c r="C1165" s="98" t="s">
        <v>428</v>
      </c>
      <c r="D1165" s="4" t="s">
        <v>428</v>
      </c>
      <c r="E1165" s="7">
        <v>38</v>
      </c>
      <c r="F1165" s="7">
        <v>96</v>
      </c>
      <c r="G1165" s="4" t="s">
        <v>74</v>
      </c>
    </row>
    <row r="1166" spans="1:7" ht="12.75">
      <c r="A1166" s="98" t="s">
        <v>1857</v>
      </c>
      <c r="B1166" s="98"/>
      <c r="C1166" s="98" t="s">
        <v>428</v>
      </c>
      <c r="D1166" s="4" t="s">
        <v>428</v>
      </c>
      <c r="E1166" s="7">
        <v>38</v>
      </c>
      <c r="F1166" s="7">
        <v>96</v>
      </c>
      <c r="G1166" s="4" t="s">
        <v>74</v>
      </c>
    </row>
    <row r="1167" spans="1:7" ht="12.75">
      <c r="A1167" s="98" t="s">
        <v>1858</v>
      </c>
      <c r="B1167" s="98"/>
      <c r="C1167" s="98" t="s">
        <v>512</v>
      </c>
      <c r="D1167" s="4" t="s">
        <v>512</v>
      </c>
      <c r="E1167" s="7">
        <v>5950</v>
      </c>
      <c r="F1167" s="7">
        <v>10539</v>
      </c>
      <c r="G1167" s="4" t="s">
        <v>74</v>
      </c>
    </row>
    <row r="1168" spans="1:7" ht="12.75">
      <c r="A1168" s="98" t="s">
        <v>1859</v>
      </c>
      <c r="B1168" s="98"/>
      <c r="C1168" s="98" t="s">
        <v>428</v>
      </c>
      <c r="D1168" s="4" t="s">
        <v>428</v>
      </c>
      <c r="E1168" s="7">
        <v>38</v>
      </c>
      <c r="F1168" s="7">
        <v>96</v>
      </c>
      <c r="G1168" s="4" t="s">
        <v>74</v>
      </c>
    </row>
    <row r="1169" spans="1:7" ht="12.75">
      <c r="A1169" s="98" t="s">
        <v>1860</v>
      </c>
      <c r="B1169" s="98"/>
      <c r="C1169" s="98" t="s">
        <v>428</v>
      </c>
      <c r="D1169" s="4" t="s">
        <v>428</v>
      </c>
      <c r="E1169" s="7">
        <v>38</v>
      </c>
      <c r="F1169" s="7">
        <v>96</v>
      </c>
      <c r="G1169" s="4" t="s">
        <v>74</v>
      </c>
    </row>
    <row r="1170" spans="1:7" ht="12.75">
      <c r="A1170" s="98" t="s">
        <v>1861</v>
      </c>
      <c r="B1170" s="98"/>
      <c r="C1170" s="98" t="s">
        <v>428</v>
      </c>
      <c r="D1170" s="4" t="s">
        <v>428</v>
      </c>
      <c r="E1170" s="7">
        <v>38</v>
      </c>
      <c r="F1170" s="7">
        <v>96</v>
      </c>
      <c r="G1170" s="4" t="s">
        <v>74</v>
      </c>
    </row>
    <row r="1171" spans="1:7" ht="12.75">
      <c r="A1171" s="98" t="s">
        <v>1862</v>
      </c>
      <c r="B1171" s="98"/>
      <c r="C1171" s="98" t="s">
        <v>428</v>
      </c>
      <c r="D1171" s="4" t="s">
        <v>428</v>
      </c>
      <c r="E1171" s="7">
        <v>38</v>
      </c>
      <c r="F1171" s="7">
        <v>96</v>
      </c>
      <c r="G1171" s="4" t="s">
        <v>74</v>
      </c>
    </row>
    <row r="1172" spans="1:7" ht="12.75">
      <c r="A1172" s="98" t="s">
        <v>1863</v>
      </c>
      <c r="B1172" s="98" t="s">
        <v>1864</v>
      </c>
      <c r="C1172" s="98"/>
      <c r="D1172" s="4" t="s">
        <v>1864</v>
      </c>
      <c r="E1172" s="7">
        <v>2016</v>
      </c>
      <c r="F1172" s="7">
        <v>2016</v>
      </c>
      <c r="G1172" s="4" t="s">
        <v>74</v>
      </c>
    </row>
    <row r="1173" spans="1:7" ht="12.75">
      <c r="A1173" s="98" t="s">
        <v>1865</v>
      </c>
      <c r="B1173" s="98"/>
      <c r="C1173" s="98" t="s">
        <v>428</v>
      </c>
      <c r="D1173" s="4" t="s">
        <v>428</v>
      </c>
      <c r="E1173" s="7">
        <v>38</v>
      </c>
      <c r="F1173" s="7">
        <v>96</v>
      </c>
      <c r="G1173" s="4" t="s">
        <v>74</v>
      </c>
    </row>
    <row r="1174" spans="1:7" ht="12.75">
      <c r="A1174" s="98" t="s">
        <v>1866</v>
      </c>
      <c r="B1174" s="98"/>
      <c r="C1174" s="98" t="s">
        <v>428</v>
      </c>
      <c r="D1174" s="4" t="s">
        <v>428</v>
      </c>
      <c r="E1174" s="7">
        <v>38</v>
      </c>
      <c r="F1174" s="7">
        <v>96</v>
      </c>
      <c r="G1174" s="4" t="s">
        <v>74</v>
      </c>
    </row>
    <row r="1175" spans="1:7" ht="12.75">
      <c r="A1175" s="98" t="s">
        <v>1867</v>
      </c>
      <c r="B1175" s="98"/>
      <c r="C1175" s="98" t="s">
        <v>428</v>
      </c>
      <c r="D1175" s="4" t="s">
        <v>428</v>
      </c>
      <c r="E1175" s="7">
        <v>38</v>
      </c>
      <c r="F1175" s="7">
        <v>96</v>
      </c>
      <c r="G1175" s="4" t="s">
        <v>74</v>
      </c>
    </row>
    <row r="1176" spans="1:7" ht="12.75">
      <c r="A1176" s="98" t="s">
        <v>1868</v>
      </c>
      <c r="B1176" s="98" t="s">
        <v>1869</v>
      </c>
      <c r="C1176" s="98"/>
      <c r="D1176" s="4" t="s">
        <v>1869</v>
      </c>
      <c r="E1176" s="7">
        <v>60000</v>
      </c>
      <c r="F1176" s="7">
        <v>96000</v>
      </c>
      <c r="G1176" s="4" t="s">
        <v>74</v>
      </c>
    </row>
    <row r="1177" spans="1:7" ht="12.75">
      <c r="A1177" s="98" t="s">
        <v>1870</v>
      </c>
      <c r="B1177" s="98"/>
      <c r="C1177" s="98" t="s">
        <v>512</v>
      </c>
      <c r="D1177" s="4" t="s">
        <v>512</v>
      </c>
      <c r="E1177" s="7">
        <v>5950</v>
      </c>
      <c r="F1177" s="7">
        <v>10539</v>
      </c>
      <c r="G1177" s="4" t="s">
        <v>74</v>
      </c>
    </row>
    <row r="1178" spans="1:7" ht="12.75">
      <c r="A1178" s="98" t="s">
        <v>1871</v>
      </c>
      <c r="B1178" s="98"/>
      <c r="C1178" s="98" t="s">
        <v>428</v>
      </c>
      <c r="D1178" s="4" t="s">
        <v>428</v>
      </c>
      <c r="E1178" s="7">
        <v>38</v>
      </c>
      <c r="F1178" s="7">
        <v>96</v>
      </c>
      <c r="G1178" s="4" t="s">
        <v>74</v>
      </c>
    </row>
    <row r="1179" spans="1:7" ht="12.75">
      <c r="A1179" s="98" t="s">
        <v>1872</v>
      </c>
      <c r="B1179" s="98" t="s">
        <v>1873</v>
      </c>
      <c r="C1179" s="98"/>
      <c r="D1179" s="4" t="s">
        <v>1873</v>
      </c>
      <c r="E1179" s="7">
        <v>3080</v>
      </c>
      <c r="F1179" s="7">
        <v>4200</v>
      </c>
      <c r="G1179" s="4" t="s">
        <v>74</v>
      </c>
    </row>
    <row r="1180" spans="1:7" ht="12.75">
      <c r="A1180" s="98" t="s">
        <v>1874</v>
      </c>
      <c r="B1180" s="98"/>
      <c r="C1180" s="98" t="s">
        <v>428</v>
      </c>
      <c r="D1180" s="4" t="s">
        <v>428</v>
      </c>
      <c r="E1180" s="7">
        <v>38</v>
      </c>
      <c r="F1180" s="7">
        <v>96</v>
      </c>
      <c r="G1180" s="4" t="s">
        <v>74</v>
      </c>
    </row>
    <row r="1181" spans="1:7" ht="12.75">
      <c r="A1181" s="98" t="s">
        <v>1875</v>
      </c>
      <c r="B1181" s="98"/>
      <c r="C1181" s="98" t="s">
        <v>428</v>
      </c>
      <c r="D1181" s="4" t="s">
        <v>428</v>
      </c>
      <c r="E1181" s="7">
        <v>38</v>
      </c>
      <c r="F1181" s="7">
        <v>96</v>
      </c>
      <c r="G1181" s="4" t="s">
        <v>74</v>
      </c>
    </row>
    <row r="1182" spans="1:7" ht="12.75">
      <c r="A1182" s="98" t="s">
        <v>1876</v>
      </c>
      <c r="B1182" s="98"/>
      <c r="C1182" s="98" t="s">
        <v>428</v>
      </c>
      <c r="D1182" s="4" t="s">
        <v>428</v>
      </c>
      <c r="E1182" s="7">
        <v>38</v>
      </c>
      <c r="F1182" s="7">
        <v>96</v>
      </c>
      <c r="G1182" s="4" t="s">
        <v>74</v>
      </c>
    </row>
    <row r="1183" spans="1:7" ht="12.75">
      <c r="A1183" s="98" t="s">
        <v>1877</v>
      </c>
      <c r="B1183" s="98"/>
      <c r="C1183" s="98" t="s">
        <v>512</v>
      </c>
      <c r="D1183" s="4" t="s">
        <v>512</v>
      </c>
      <c r="E1183" s="7">
        <v>5950</v>
      </c>
      <c r="F1183" s="7">
        <v>10539</v>
      </c>
      <c r="G1183" s="4" t="s">
        <v>74</v>
      </c>
    </row>
    <row r="1184" spans="1:7" ht="12.75">
      <c r="A1184" s="98" t="s">
        <v>1878</v>
      </c>
      <c r="B1184" s="98"/>
      <c r="C1184" s="98" t="s">
        <v>428</v>
      </c>
      <c r="D1184" s="4" t="s">
        <v>428</v>
      </c>
      <c r="E1184" s="7">
        <v>38</v>
      </c>
      <c r="F1184" s="7">
        <v>96</v>
      </c>
      <c r="G1184" s="4" t="s">
        <v>74</v>
      </c>
    </row>
    <row r="1185" spans="1:7" ht="12.75">
      <c r="A1185" s="98" t="s">
        <v>1879</v>
      </c>
      <c r="B1185" s="98"/>
      <c r="C1185" s="98" t="s">
        <v>428</v>
      </c>
      <c r="D1185" s="4" t="s">
        <v>428</v>
      </c>
      <c r="E1185" s="7">
        <v>38</v>
      </c>
      <c r="F1185" s="7">
        <v>96</v>
      </c>
      <c r="G1185" s="4" t="s">
        <v>74</v>
      </c>
    </row>
    <row r="1186" spans="1:7" ht="12.75">
      <c r="A1186" s="98" t="s">
        <v>1880</v>
      </c>
      <c r="B1186" s="98"/>
      <c r="C1186" s="98" t="s">
        <v>428</v>
      </c>
      <c r="D1186" s="4" t="s">
        <v>428</v>
      </c>
      <c r="E1186" s="7">
        <v>38</v>
      </c>
      <c r="F1186" s="7">
        <v>96</v>
      </c>
      <c r="G1186" s="4" t="s">
        <v>74</v>
      </c>
    </row>
    <row r="1187" spans="1:7" ht="12.75">
      <c r="A1187" s="98" t="s">
        <v>1881</v>
      </c>
      <c r="B1187" s="98"/>
      <c r="C1187" s="98" t="s">
        <v>428</v>
      </c>
      <c r="D1187" s="4" t="s">
        <v>428</v>
      </c>
      <c r="E1187" s="7">
        <v>38</v>
      </c>
      <c r="F1187" s="7">
        <v>96</v>
      </c>
      <c r="G1187" s="4" t="s">
        <v>74</v>
      </c>
    </row>
    <row r="1188" spans="1:7" ht="12.75">
      <c r="A1188" s="98" t="s">
        <v>1882</v>
      </c>
      <c r="B1188" s="98"/>
      <c r="C1188" s="98" t="s">
        <v>512</v>
      </c>
      <c r="D1188" s="4" t="s">
        <v>512</v>
      </c>
      <c r="E1188" s="7">
        <v>5950</v>
      </c>
      <c r="F1188" s="7">
        <v>10539</v>
      </c>
      <c r="G1188" s="4" t="s">
        <v>74</v>
      </c>
    </row>
    <row r="1189" spans="1:7" ht="12.75">
      <c r="A1189" s="98" t="s">
        <v>1883</v>
      </c>
      <c r="B1189" s="98"/>
      <c r="C1189" s="98" t="s">
        <v>428</v>
      </c>
      <c r="D1189" s="4" t="s">
        <v>428</v>
      </c>
      <c r="E1189" s="7">
        <v>38</v>
      </c>
      <c r="F1189" s="7">
        <v>96</v>
      </c>
      <c r="G1189" s="4" t="s">
        <v>74</v>
      </c>
    </row>
    <row r="1190" spans="1:7" ht="12.75">
      <c r="A1190" s="98" t="s">
        <v>1884</v>
      </c>
      <c r="B1190" s="98"/>
      <c r="C1190" s="98" t="s">
        <v>428</v>
      </c>
      <c r="D1190" s="4" t="s">
        <v>428</v>
      </c>
      <c r="E1190" s="7">
        <v>38</v>
      </c>
      <c r="F1190" s="7">
        <v>96</v>
      </c>
      <c r="G1190" s="4" t="s">
        <v>74</v>
      </c>
    </row>
    <row r="1191" spans="1:7" ht="12.75">
      <c r="A1191" s="98" t="s">
        <v>1885</v>
      </c>
      <c r="B1191" s="98"/>
      <c r="C1191" s="98" t="s">
        <v>428</v>
      </c>
      <c r="D1191" s="4" t="s">
        <v>428</v>
      </c>
      <c r="E1191" s="7">
        <v>38</v>
      </c>
      <c r="F1191" s="7">
        <v>96</v>
      </c>
      <c r="G1191" s="4" t="s">
        <v>74</v>
      </c>
    </row>
    <row r="1192" spans="1:7" ht="12.75">
      <c r="A1192" s="98" t="s">
        <v>1886</v>
      </c>
      <c r="B1192" s="98"/>
      <c r="C1192" s="98" t="s">
        <v>428</v>
      </c>
      <c r="D1192" s="4" t="s">
        <v>428</v>
      </c>
      <c r="E1192" s="7">
        <v>38</v>
      </c>
      <c r="F1192" s="7">
        <v>96</v>
      </c>
      <c r="G1192" s="4" t="s">
        <v>74</v>
      </c>
    </row>
    <row r="1193" spans="1:7" ht="12.75">
      <c r="A1193" s="98" t="s">
        <v>367</v>
      </c>
      <c r="B1193" s="98" t="s">
        <v>1887</v>
      </c>
      <c r="C1193" s="98"/>
      <c r="D1193" s="4" t="s">
        <v>1887</v>
      </c>
      <c r="E1193" s="7">
        <v>1818</v>
      </c>
      <c r="F1193" s="7">
        <v>3636</v>
      </c>
      <c r="G1193" s="4" t="s">
        <v>74</v>
      </c>
    </row>
    <row r="1194" spans="1:7" ht="12.75">
      <c r="A1194" s="98" t="s">
        <v>1888</v>
      </c>
      <c r="B1194" s="98" t="s">
        <v>1889</v>
      </c>
      <c r="C1194" s="98"/>
      <c r="D1194" s="4" t="s">
        <v>1889</v>
      </c>
      <c r="E1194" s="7">
        <v>26000</v>
      </c>
      <c r="F1194" s="7">
        <v>26000</v>
      </c>
      <c r="G1194" s="4" t="s">
        <v>74</v>
      </c>
    </row>
    <row r="1195" spans="1:7" ht="12.75">
      <c r="A1195" s="98" t="s">
        <v>1890</v>
      </c>
      <c r="B1195" s="98"/>
      <c r="C1195" s="98" t="s">
        <v>428</v>
      </c>
      <c r="D1195" s="4" t="s">
        <v>428</v>
      </c>
      <c r="E1195" s="7">
        <v>38</v>
      </c>
      <c r="F1195" s="7">
        <v>96</v>
      </c>
      <c r="G1195" s="4" t="s">
        <v>74</v>
      </c>
    </row>
    <row r="1196" spans="1:7" ht="12.75">
      <c r="A1196" s="98" t="s">
        <v>1891</v>
      </c>
      <c r="B1196" s="98"/>
      <c r="C1196" s="98" t="s">
        <v>428</v>
      </c>
      <c r="D1196" s="4" t="s">
        <v>428</v>
      </c>
      <c r="E1196" s="7">
        <v>38</v>
      </c>
      <c r="F1196" s="7">
        <v>96</v>
      </c>
      <c r="G1196" s="4" t="s">
        <v>74</v>
      </c>
    </row>
    <row r="1197" spans="1:7" ht="12.75">
      <c r="A1197" s="98" t="s">
        <v>1892</v>
      </c>
      <c r="B1197" s="98"/>
      <c r="C1197" s="98" t="s">
        <v>428</v>
      </c>
      <c r="D1197" s="4" t="s">
        <v>428</v>
      </c>
      <c r="E1197" s="7">
        <v>38</v>
      </c>
      <c r="F1197" s="7">
        <v>96</v>
      </c>
      <c r="G1197" s="4" t="s">
        <v>74</v>
      </c>
    </row>
    <row r="1198" spans="1:7" ht="12.75">
      <c r="A1198" s="98" t="s">
        <v>1893</v>
      </c>
      <c r="B1198" s="98"/>
      <c r="C1198" s="98" t="s">
        <v>512</v>
      </c>
      <c r="D1198" s="4" t="s">
        <v>512</v>
      </c>
      <c r="E1198" s="7">
        <v>5950</v>
      </c>
      <c r="F1198" s="7">
        <v>10539</v>
      </c>
      <c r="G1198" s="4" t="s">
        <v>74</v>
      </c>
    </row>
    <row r="1199" spans="1:7" ht="12.75">
      <c r="A1199" s="98" t="s">
        <v>1894</v>
      </c>
      <c r="B1199" s="98"/>
      <c r="C1199" s="98" t="s">
        <v>428</v>
      </c>
      <c r="D1199" s="4" t="s">
        <v>428</v>
      </c>
      <c r="E1199" s="7">
        <v>38</v>
      </c>
      <c r="F1199" s="7">
        <v>96</v>
      </c>
      <c r="G1199" s="4" t="s">
        <v>74</v>
      </c>
    </row>
    <row r="1200" spans="1:7" ht="12.75">
      <c r="A1200" s="98" t="s">
        <v>1895</v>
      </c>
      <c r="B1200" s="98"/>
      <c r="C1200" s="98" t="s">
        <v>428</v>
      </c>
      <c r="D1200" s="4" t="s">
        <v>428</v>
      </c>
      <c r="E1200" s="7">
        <v>38</v>
      </c>
      <c r="F1200" s="7">
        <v>96</v>
      </c>
      <c r="G1200" s="4" t="s">
        <v>74</v>
      </c>
    </row>
    <row r="1201" spans="1:7" ht="12.75">
      <c r="A1201" s="98" t="s">
        <v>1896</v>
      </c>
      <c r="B1201" s="98"/>
      <c r="C1201" s="98" t="s">
        <v>428</v>
      </c>
      <c r="D1201" s="4" t="s">
        <v>428</v>
      </c>
      <c r="E1201" s="7">
        <v>38</v>
      </c>
      <c r="F1201" s="7">
        <v>96</v>
      </c>
      <c r="G1201" s="4" t="s">
        <v>74</v>
      </c>
    </row>
    <row r="1202" spans="1:7" ht="12.75">
      <c r="A1202" s="98" t="s">
        <v>1897</v>
      </c>
      <c r="B1202" s="98"/>
      <c r="C1202" s="98" t="s">
        <v>428</v>
      </c>
      <c r="D1202" s="4" t="s">
        <v>428</v>
      </c>
      <c r="E1202" s="7">
        <v>38</v>
      </c>
      <c r="F1202" s="7">
        <v>96</v>
      </c>
      <c r="G1202" s="4" t="s">
        <v>74</v>
      </c>
    </row>
    <row r="1203" spans="1:7" ht="12.75">
      <c r="A1203" s="98" t="s">
        <v>1898</v>
      </c>
      <c r="B1203" s="98"/>
      <c r="C1203" s="98" t="s">
        <v>428</v>
      </c>
      <c r="D1203" s="4" t="s">
        <v>428</v>
      </c>
      <c r="E1203" s="7">
        <v>38</v>
      </c>
      <c r="F1203" s="7">
        <v>96</v>
      </c>
      <c r="G1203" s="4" t="s">
        <v>74</v>
      </c>
    </row>
    <row r="1204" spans="1:7" ht="12.75">
      <c r="A1204" s="98" t="s">
        <v>1899</v>
      </c>
      <c r="B1204" s="98"/>
      <c r="C1204" s="98" t="s">
        <v>428</v>
      </c>
      <c r="D1204" s="4" t="s">
        <v>428</v>
      </c>
      <c r="E1204" s="7">
        <v>38</v>
      </c>
      <c r="F1204" s="7">
        <v>96</v>
      </c>
      <c r="G1204" s="4" t="s">
        <v>74</v>
      </c>
    </row>
    <row r="1205" spans="1:7" ht="12.75">
      <c r="A1205" s="98" t="s">
        <v>1900</v>
      </c>
      <c r="B1205" s="98"/>
      <c r="C1205" s="98" t="s">
        <v>428</v>
      </c>
      <c r="D1205" s="4" t="s">
        <v>428</v>
      </c>
      <c r="E1205" s="7">
        <v>38</v>
      </c>
      <c r="F1205" s="7">
        <v>96</v>
      </c>
      <c r="G1205" s="4" t="s">
        <v>74</v>
      </c>
    </row>
    <row r="1206" spans="1:7" ht="12.75">
      <c r="A1206" s="98" t="s">
        <v>1901</v>
      </c>
      <c r="B1206" s="98"/>
      <c r="C1206" s="98" t="s">
        <v>428</v>
      </c>
      <c r="D1206" s="4" t="s">
        <v>428</v>
      </c>
      <c r="E1206" s="7">
        <v>38</v>
      </c>
      <c r="F1206" s="7">
        <v>96</v>
      </c>
      <c r="G1206" s="4" t="s">
        <v>74</v>
      </c>
    </row>
    <row r="1207" spans="1:7" ht="12.75">
      <c r="A1207" s="98" t="s">
        <v>1902</v>
      </c>
      <c r="B1207" s="98"/>
      <c r="C1207" s="98" t="s">
        <v>428</v>
      </c>
      <c r="D1207" s="4" t="s">
        <v>428</v>
      </c>
      <c r="E1207" s="7">
        <v>38</v>
      </c>
      <c r="F1207" s="7">
        <v>96</v>
      </c>
      <c r="G1207" s="4" t="s">
        <v>74</v>
      </c>
    </row>
    <row r="1208" spans="1:7" ht="12.75">
      <c r="A1208" s="98" t="s">
        <v>1903</v>
      </c>
      <c r="B1208" s="98"/>
      <c r="C1208" s="98" t="s">
        <v>512</v>
      </c>
      <c r="D1208" s="4" t="s">
        <v>512</v>
      </c>
      <c r="E1208" s="7">
        <v>5950</v>
      </c>
      <c r="F1208" s="7">
        <v>10539</v>
      </c>
      <c r="G1208" s="4" t="s">
        <v>74</v>
      </c>
    </row>
    <row r="1209" spans="1:7" ht="12.75">
      <c r="A1209" s="98" t="s">
        <v>1904</v>
      </c>
      <c r="B1209" s="98"/>
      <c r="C1209" s="98" t="s">
        <v>428</v>
      </c>
      <c r="D1209" s="4" t="s">
        <v>428</v>
      </c>
      <c r="E1209" s="7">
        <v>38</v>
      </c>
      <c r="F1209" s="7">
        <v>96</v>
      </c>
      <c r="G1209" s="4" t="s">
        <v>74</v>
      </c>
    </row>
    <row r="1210" spans="1:7" ht="12.75">
      <c r="A1210" s="98" t="s">
        <v>1905</v>
      </c>
      <c r="B1210" s="98"/>
      <c r="C1210" s="98" t="s">
        <v>428</v>
      </c>
      <c r="D1210" s="4" t="s">
        <v>428</v>
      </c>
      <c r="E1210" s="7">
        <v>38</v>
      </c>
      <c r="F1210" s="7">
        <v>96</v>
      </c>
      <c r="G1210" s="4" t="s">
        <v>74</v>
      </c>
    </row>
    <row r="1211" spans="1:7" ht="12.75">
      <c r="A1211" s="98" t="s">
        <v>1906</v>
      </c>
      <c r="B1211" s="98"/>
      <c r="C1211" s="98" t="s">
        <v>512</v>
      </c>
      <c r="D1211" s="4" t="s">
        <v>512</v>
      </c>
      <c r="E1211" s="7">
        <v>5950</v>
      </c>
      <c r="F1211" s="7">
        <v>10539</v>
      </c>
      <c r="G1211" s="4" t="s">
        <v>74</v>
      </c>
    </row>
    <row r="1212" spans="1:7" ht="12.75">
      <c r="A1212" s="98" t="s">
        <v>1907</v>
      </c>
      <c r="B1212" s="98"/>
      <c r="C1212" s="98" t="s">
        <v>428</v>
      </c>
      <c r="D1212" s="4" t="s">
        <v>428</v>
      </c>
      <c r="E1212" s="7">
        <v>38</v>
      </c>
      <c r="F1212" s="7">
        <v>96</v>
      </c>
      <c r="G1212" s="4" t="s">
        <v>74</v>
      </c>
    </row>
    <row r="1213" spans="1:7" ht="12.75">
      <c r="A1213" s="98" t="s">
        <v>1908</v>
      </c>
      <c r="B1213" s="98"/>
      <c r="C1213" s="98" t="s">
        <v>428</v>
      </c>
      <c r="D1213" s="4" t="s">
        <v>428</v>
      </c>
      <c r="E1213" s="7">
        <v>38</v>
      </c>
      <c r="F1213" s="7">
        <v>96</v>
      </c>
      <c r="G1213" s="4" t="s">
        <v>74</v>
      </c>
    </row>
    <row r="1214" spans="1:7" ht="12.75">
      <c r="A1214" s="98" t="s">
        <v>1909</v>
      </c>
      <c r="B1214" s="98"/>
      <c r="C1214" s="98" t="s">
        <v>428</v>
      </c>
      <c r="D1214" s="4" t="s">
        <v>428</v>
      </c>
      <c r="E1214" s="7">
        <v>38</v>
      </c>
      <c r="F1214" s="7">
        <v>96</v>
      </c>
      <c r="G1214" s="4" t="s">
        <v>74</v>
      </c>
    </row>
    <row r="1215" spans="1:7" ht="12.75">
      <c r="A1215" s="98" t="s">
        <v>1910</v>
      </c>
      <c r="B1215" s="98"/>
      <c r="C1215" s="98" t="s">
        <v>428</v>
      </c>
      <c r="D1215" s="4" t="s">
        <v>428</v>
      </c>
      <c r="E1215" s="7">
        <v>38</v>
      </c>
      <c r="F1215" s="7">
        <v>96</v>
      </c>
      <c r="G1215" s="4" t="s">
        <v>74</v>
      </c>
    </row>
    <row r="1216" spans="1:7" ht="12.75">
      <c r="A1216" s="98" t="s">
        <v>1911</v>
      </c>
      <c r="B1216" s="98"/>
      <c r="C1216" s="98" t="s">
        <v>428</v>
      </c>
      <c r="D1216" s="4" t="s">
        <v>428</v>
      </c>
      <c r="E1216" s="7">
        <v>38</v>
      </c>
      <c r="F1216" s="7">
        <v>96</v>
      </c>
      <c r="G1216" s="4" t="s">
        <v>74</v>
      </c>
    </row>
    <row r="1217" spans="1:7" ht="12.75">
      <c r="A1217" s="98" t="s">
        <v>1912</v>
      </c>
      <c r="B1217" s="98"/>
      <c r="C1217" s="98" t="s">
        <v>428</v>
      </c>
      <c r="D1217" s="4" t="s">
        <v>428</v>
      </c>
      <c r="E1217" s="7">
        <v>38</v>
      </c>
      <c r="F1217" s="7">
        <v>96</v>
      </c>
      <c r="G1217" s="4" t="s">
        <v>74</v>
      </c>
    </row>
    <row r="1218" spans="1:7" ht="12.75">
      <c r="A1218" s="98" t="s">
        <v>1913</v>
      </c>
      <c r="B1218" s="98"/>
      <c r="C1218" s="98" t="s">
        <v>428</v>
      </c>
      <c r="D1218" s="4" t="s">
        <v>428</v>
      </c>
      <c r="E1218" s="7">
        <v>38</v>
      </c>
      <c r="F1218" s="7">
        <v>96</v>
      </c>
      <c r="G1218" s="4" t="s">
        <v>74</v>
      </c>
    </row>
    <row r="1219" spans="1:7" ht="12.75">
      <c r="A1219" s="98" t="s">
        <v>1914</v>
      </c>
      <c r="B1219" s="98"/>
      <c r="C1219" s="98" t="s">
        <v>428</v>
      </c>
      <c r="D1219" s="4" t="s">
        <v>428</v>
      </c>
      <c r="E1219" s="7">
        <v>38</v>
      </c>
      <c r="F1219" s="7">
        <v>96</v>
      </c>
      <c r="G1219" s="4" t="s">
        <v>74</v>
      </c>
    </row>
    <row r="1220" spans="1:7" ht="12.75">
      <c r="A1220" s="98" t="s">
        <v>1915</v>
      </c>
      <c r="B1220" s="98"/>
      <c r="C1220" s="98" t="s">
        <v>428</v>
      </c>
      <c r="D1220" s="4" t="s">
        <v>428</v>
      </c>
      <c r="E1220" s="7">
        <v>38</v>
      </c>
      <c r="F1220" s="7">
        <v>96</v>
      </c>
      <c r="G1220" s="4" t="s">
        <v>74</v>
      </c>
    </row>
    <row r="1221" spans="1:7" ht="12.75">
      <c r="A1221" s="98" t="s">
        <v>1916</v>
      </c>
      <c r="B1221" s="98"/>
      <c r="C1221" s="98" t="s">
        <v>428</v>
      </c>
      <c r="D1221" s="4" t="s">
        <v>428</v>
      </c>
      <c r="E1221" s="7">
        <v>38</v>
      </c>
      <c r="F1221" s="7">
        <v>96</v>
      </c>
      <c r="G1221" s="4" t="s">
        <v>74</v>
      </c>
    </row>
    <row r="1222" spans="1:7" ht="12.75">
      <c r="A1222" s="98" t="s">
        <v>1917</v>
      </c>
      <c r="B1222" s="98"/>
      <c r="C1222" s="98" t="s">
        <v>428</v>
      </c>
      <c r="D1222" s="4" t="s">
        <v>428</v>
      </c>
      <c r="E1222" s="7">
        <v>38</v>
      </c>
      <c r="F1222" s="7">
        <v>96</v>
      </c>
      <c r="G1222" s="4" t="s">
        <v>74</v>
      </c>
    </row>
    <row r="1223" spans="1:7" ht="12.75">
      <c r="A1223" s="98" t="s">
        <v>1918</v>
      </c>
      <c r="B1223" s="98"/>
      <c r="C1223" s="98" t="s">
        <v>512</v>
      </c>
      <c r="D1223" s="4" t="s">
        <v>512</v>
      </c>
      <c r="E1223" s="7">
        <v>5950</v>
      </c>
      <c r="F1223" s="7">
        <v>10539</v>
      </c>
      <c r="G1223" s="4" t="s">
        <v>74</v>
      </c>
    </row>
    <row r="1224" spans="1:7" ht="12.75">
      <c r="A1224" s="98" t="s">
        <v>1919</v>
      </c>
      <c r="B1224" s="98"/>
      <c r="C1224" s="98" t="s">
        <v>512</v>
      </c>
      <c r="D1224" s="4" t="s">
        <v>512</v>
      </c>
      <c r="E1224" s="7">
        <v>5950</v>
      </c>
      <c r="F1224" s="7">
        <v>10539</v>
      </c>
      <c r="G1224" s="4" t="s">
        <v>74</v>
      </c>
    </row>
    <row r="1225" spans="1:7" ht="12.75">
      <c r="A1225" s="98" t="s">
        <v>1920</v>
      </c>
      <c r="B1225" s="98"/>
      <c r="C1225" s="98" t="s">
        <v>428</v>
      </c>
      <c r="D1225" s="4" t="s">
        <v>428</v>
      </c>
      <c r="E1225" s="7">
        <v>38</v>
      </c>
      <c r="F1225" s="7">
        <v>96</v>
      </c>
      <c r="G1225" s="4" t="s">
        <v>74</v>
      </c>
    </row>
    <row r="1226" spans="1:7" ht="12.75">
      <c r="A1226" s="98" t="s">
        <v>1921</v>
      </c>
      <c r="B1226" s="98"/>
      <c r="C1226" s="98" t="s">
        <v>428</v>
      </c>
      <c r="D1226" s="4" t="s">
        <v>428</v>
      </c>
      <c r="E1226" s="7">
        <v>38</v>
      </c>
      <c r="F1226" s="7">
        <v>96</v>
      </c>
      <c r="G1226" s="4" t="s">
        <v>74</v>
      </c>
    </row>
    <row r="1227" spans="1:7" ht="12.75">
      <c r="A1227" s="98" t="s">
        <v>1922</v>
      </c>
      <c r="B1227" s="98"/>
      <c r="C1227" s="98" t="s">
        <v>428</v>
      </c>
      <c r="D1227" s="4" t="s">
        <v>428</v>
      </c>
      <c r="E1227" s="7">
        <v>38</v>
      </c>
      <c r="F1227" s="7">
        <v>96</v>
      </c>
      <c r="G1227" s="4" t="s">
        <v>74</v>
      </c>
    </row>
    <row r="1228" spans="1:7" ht="12.75">
      <c r="A1228" s="98" t="s">
        <v>1923</v>
      </c>
      <c r="B1228" s="98"/>
      <c r="C1228" s="98" t="s">
        <v>428</v>
      </c>
      <c r="D1228" s="4" t="s">
        <v>428</v>
      </c>
      <c r="E1228" s="7">
        <v>38</v>
      </c>
      <c r="F1228" s="7">
        <v>96</v>
      </c>
      <c r="G1228" s="4" t="s">
        <v>74</v>
      </c>
    </row>
    <row r="1229" spans="1:7" ht="12.75">
      <c r="A1229" s="98" t="s">
        <v>1924</v>
      </c>
      <c r="B1229" s="98"/>
      <c r="C1229" s="98" t="s">
        <v>428</v>
      </c>
      <c r="D1229" s="4" t="s">
        <v>428</v>
      </c>
      <c r="E1229" s="7">
        <v>38</v>
      </c>
      <c r="F1229" s="7">
        <v>96</v>
      </c>
      <c r="G1229" s="4" t="s">
        <v>74</v>
      </c>
    </row>
    <row r="1230" spans="1:7" ht="12.75">
      <c r="A1230" s="98" t="s">
        <v>1925</v>
      </c>
      <c r="B1230" s="98"/>
      <c r="C1230" s="98" t="s">
        <v>428</v>
      </c>
      <c r="D1230" s="4" t="s">
        <v>428</v>
      </c>
      <c r="E1230" s="7">
        <v>38</v>
      </c>
      <c r="F1230" s="7">
        <v>96</v>
      </c>
      <c r="G1230" s="4" t="s">
        <v>74</v>
      </c>
    </row>
    <row r="1231" spans="1:7" ht="12.75">
      <c r="A1231" s="98" t="s">
        <v>1926</v>
      </c>
      <c r="B1231" s="98"/>
      <c r="C1231" s="98" t="s">
        <v>512</v>
      </c>
      <c r="D1231" s="4" t="s">
        <v>512</v>
      </c>
      <c r="E1231" s="7">
        <v>5950</v>
      </c>
      <c r="F1231" s="7">
        <v>10539</v>
      </c>
      <c r="G1231" s="4" t="s">
        <v>74</v>
      </c>
    </row>
    <row r="1232" spans="1:7" ht="12.75">
      <c r="A1232" s="98" t="s">
        <v>1927</v>
      </c>
      <c r="B1232" s="98"/>
      <c r="C1232" s="98" t="s">
        <v>428</v>
      </c>
      <c r="D1232" s="4" t="s">
        <v>428</v>
      </c>
      <c r="E1232" s="7">
        <v>38</v>
      </c>
      <c r="F1232" s="7">
        <v>96</v>
      </c>
      <c r="G1232" s="4" t="s">
        <v>74</v>
      </c>
    </row>
    <row r="1233" spans="1:7" ht="12.75">
      <c r="A1233" s="98" t="s">
        <v>1928</v>
      </c>
      <c r="B1233" s="98"/>
      <c r="C1233" s="98" t="s">
        <v>428</v>
      </c>
      <c r="D1233" s="4" t="s">
        <v>428</v>
      </c>
      <c r="E1233" s="7">
        <v>38</v>
      </c>
      <c r="F1233" s="7">
        <v>96</v>
      </c>
      <c r="G1233" s="4" t="s">
        <v>74</v>
      </c>
    </row>
    <row r="1234" spans="1:7" ht="12.75">
      <c r="A1234" s="98" t="s">
        <v>1929</v>
      </c>
      <c r="B1234" s="98"/>
      <c r="C1234" s="98" t="s">
        <v>428</v>
      </c>
      <c r="D1234" s="4" t="s">
        <v>428</v>
      </c>
      <c r="E1234" s="7">
        <v>38</v>
      </c>
      <c r="F1234" s="7">
        <v>96</v>
      </c>
      <c r="G1234" s="4" t="s">
        <v>74</v>
      </c>
    </row>
    <row r="1235" spans="1:7" ht="12.75">
      <c r="A1235" s="98" t="s">
        <v>1930</v>
      </c>
      <c r="B1235" s="98"/>
      <c r="C1235" s="98" t="s">
        <v>428</v>
      </c>
      <c r="D1235" s="4" t="s">
        <v>428</v>
      </c>
      <c r="E1235" s="7">
        <v>38</v>
      </c>
      <c r="F1235" s="7">
        <v>96</v>
      </c>
      <c r="G1235" s="4" t="s">
        <v>74</v>
      </c>
    </row>
    <row r="1236" spans="1:7" ht="12.75">
      <c r="A1236" s="98" t="s">
        <v>1931</v>
      </c>
      <c r="B1236" s="98" t="s">
        <v>1932</v>
      </c>
      <c r="C1236" s="98"/>
      <c r="D1236" s="4" t="s">
        <v>1932</v>
      </c>
      <c r="E1236" s="7">
        <v>35</v>
      </c>
      <c r="F1236" s="7">
        <v>168</v>
      </c>
      <c r="G1236" s="4" t="s">
        <v>74</v>
      </c>
    </row>
    <row r="1237" spans="1:7" ht="12.75">
      <c r="A1237" s="98" t="s">
        <v>1933</v>
      </c>
      <c r="B1237" s="98"/>
      <c r="C1237" s="98" t="s">
        <v>428</v>
      </c>
      <c r="D1237" s="4" t="s">
        <v>428</v>
      </c>
      <c r="E1237" s="7">
        <v>38</v>
      </c>
      <c r="F1237" s="7">
        <v>96</v>
      </c>
      <c r="G1237" s="4" t="s">
        <v>74</v>
      </c>
    </row>
    <row r="1238" spans="1:7" ht="12.75">
      <c r="A1238" s="98" t="s">
        <v>1934</v>
      </c>
      <c r="B1238" s="98" t="s">
        <v>1935</v>
      </c>
      <c r="C1238" s="98"/>
      <c r="D1238" s="4" t="s">
        <v>1935</v>
      </c>
      <c r="E1238" s="7">
        <v>13636</v>
      </c>
      <c r="F1238" s="7">
        <v>36364</v>
      </c>
      <c r="G1238" s="4" t="s">
        <v>74</v>
      </c>
    </row>
    <row r="1239" spans="1:7" ht="12.75">
      <c r="A1239" s="98" t="s">
        <v>1936</v>
      </c>
      <c r="B1239" s="98"/>
      <c r="C1239" s="98" t="s">
        <v>428</v>
      </c>
      <c r="D1239" s="4" t="s">
        <v>428</v>
      </c>
      <c r="E1239" s="7">
        <v>38</v>
      </c>
      <c r="F1239" s="7">
        <v>96</v>
      </c>
      <c r="G1239" s="4" t="s">
        <v>74</v>
      </c>
    </row>
    <row r="1240" spans="1:7" ht="12.75">
      <c r="A1240" s="98" t="s">
        <v>1937</v>
      </c>
      <c r="B1240" s="98"/>
      <c r="C1240" s="98" t="s">
        <v>428</v>
      </c>
      <c r="D1240" s="4" t="s">
        <v>428</v>
      </c>
      <c r="E1240" s="7">
        <v>38</v>
      </c>
      <c r="F1240" s="7">
        <v>96</v>
      </c>
      <c r="G1240" s="4" t="s">
        <v>74</v>
      </c>
    </row>
    <row r="1241" spans="1:7" ht="12.75">
      <c r="A1241" s="98" t="s">
        <v>1938</v>
      </c>
      <c r="B1241" s="98"/>
      <c r="C1241" s="98" t="s">
        <v>428</v>
      </c>
      <c r="D1241" s="4" t="s">
        <v>428</v>
      </c>
      <c r="E1241" s="7">
        <v>38</v>
      </c>
      <c r="F1241" s="7">
        <v>96</v>
      </c>
      <c r="G1241" s="4" t="s">
        <v>74</v>
      </c>
    </row>
    <row r="1242" spans="1:7" ht="12.75">
      <c r="A1242" s="98" t="s">
        <v>1939</v>
      </c>
      <c r="B1242" s="98"/>
      <c r="C1242" s="98" t="s">
        <v>428</v>
      </c>
      <c r="D1242" s="4" t="s">
        <v>428</v>
      </c>
      <c r="E1242" s="7">
        <v>38</v>
      </c>
      <c r="F1242" s="7">
        <v>96</v>
      </c>
      <c r="G1242" s="4" t="s">
        <v>74</v>
      </c>
    </row>
    <row r="1243" spans="1:7" ht="12.75">
      <c r="A1243" s="98" t="s">
        <v>1940</v>
      </c>
      <c r="B1243" s="98" t="s">
        <v>1941</v>
      </c>
      <c r="C1243" s="98"/>
      <c r="D1243" s="4" t="s">
        <v>1941</v>
      </c>
      <c r="E1243" s="7">
        <v>4545</v>
      </c>
      <c r="F1243" s="7">
        <v>9090</v>
      </c>
      <c r="G1243" s="4" t="s">
        <v>74</v>
      </c>
    </row>
    <row r="1244" spans="1:7" ht="12.75">
      <c r="A1244" s="98" t="s">
        <v>1942</v>
      </c>
      <c r="B1244" s="98" t="s">
        <v>1943</v>
      </c>
      <c r="C1244" s="98"/>
      <c r="D1244" s="4" t="s">
        <v>1943</v>
      </c>
      <c r="E1244" s="7">
        <v>20020</v>
      </c>
      <c r="F1244" s="7">
        <v>27300</v>
      </c>
      <c r="G1244" s="4" t="s">
        <v>74</v>
      </c>
    </row>
    <row r="1245" spans="1:7" ht="12.75">
      <c r="A1245" s="98" t="s">
        <v>1944</v>
      </c>
      <c r="B1245" s="98" t="s">
        <v>1945</v>
      </c>
      <c r="C1245" s="98"/>
      <c r="D1245" s="4" t="s">
        <v>1945</v>
      </c>
      <c r="E1245" s="7">
        <v>3520</v>
      </c>
      <c r="F1245" s="7">
        <v>4800</v>
      </c>
      <c r="G1245" s="4" t="s">
        <v>74</v>
      </c>
    </row>
    <row r="1246" spans="1:7" ht="12.75">
      <c r="A1246" s="98" t="s">
        <v>1946</v>
      </c>
      <c r="B1246" s="98" t="s">
        <v>1947</v>
      </c>
      <c r="C1246" s="98"/>
      <c r="D1246" s="4" t="s">
        <v>1947</v>
      </c>
      <c r="E1246" s="7">
        <v>500000</v>
      </c>
      <c r="F1246" s="7">
        <v>500000</v>
      </c>
      <c r="G1246" s="4" t="s">
        <v>74</v>
      </c>
    </row>
    <row r="1247" spans="1:7" ht="12.75">
      <c r="A1247" s="98" t="s">
        <v>1948</v>
      </c>
      <c r="B1247" s="98"/>
      <c r="C1247" s="98" t="s">
        <v>428</v>
      </c>
      <c r="D1247" s="4" t="s">
        <v>428</v>
      </c>
      <c r="E1247" s="7">
        <v>38</v>
      </c>
      <c r="F1247" s="7">
        <v>96</v>
      </c>
      <c r="G1247" s="4" t="s">
        <v>74</v>
      </c>
    </row>
    <row r="1248" spans="1:7" ht="12.75">
      <c r="A1248" s="98" t="s">
        <v>1949</v>
      </c>
      <c r="B1248" s="98"/>
      <c r="C1248" s="98" t="s">
        <v>512</v>
      </c>
      <c r="D1248" s="4" t="s">
        <v>512</v>
      </c>
      <c r="E1248" s="7">
        <v>5950</v>
      </c>
      <c r="F1248" s="7">
        <v>10539</v>
      </c>
      <c r="G1248" s="4" t="s">
        <v>74</v>
      </c>
    </row>
    <row r="1249" spans="1:7" ht="12.75">
      <c r="A1249" s="98" t="s">
        <v>1950</v>
      </c>
      <c r="B1249" s="98"/>
      <c r="C1249" s="98" t="s">
        <v>428</v>
      </c>
      <c r="D1249" s="4" t="s">
        <v>428</v>
      </c>
      <c r="E1249" s="7">
        <v>38</v>
      </c>
      <c r="F1249" s="7">
        <v>96</v>
      </c>
      <c r="G1249" s="4" t="s">
        <v>74</v>
      </c>
    </row>
    <row r="1250" spans="1:7" ht="12.75">
      <c r="A1250" s="98" t="s">
        <v>1951</v>
      </c>
      <c r="B1250" s="98"/>
      <c r="C1250" s="98" t="s">
        <v>428</v>
      </c>
      <c r="D1250" s="4" t="s">
        <v>428</v>
      </c>
      <c r="E1250" s="7">
        <v>38</v>
      </c>
      <c r="F1250" s="7">
        <v>96</v>
      </c>
      <c r="G1250" s="4" t="s">
        <v>74</v>
      </c>
    </row>
    <row r="1251" spans="1:7" ht="12.75">
      <c r="A1251" s="98" t="s">
        <v>1952</v>
      </c>
      <c r="B1251" s="98"/>
      <c r="C1251" s="98" t="s">
        <v>428</v>
      </c>
      <c r="D1251" s="4" t="s">
        <v>428</v>
      </c>
      <c r="E1251" s="7">
        <v>38</v>
      </c>
      <c r="F1251" s="7">
        <v>96</v>
      </c>
      <c r="G1251" s="4" t="s">
        <v>74</v>
      </c>
    </row>
    <row r="1252" spans="1:7" ht="12.75">
      <c r="A1252" s="98" t="s">
        <v>1953</v>
      </c>
      <c r="B1252" s="98"/>
      <c r="C1252" s="98" t="s">
        <v>512</v>
      </c>
      <c r="D1252" s="4" t="s">
        <v>512</v>
      </c>
      <c r="E1252" s="7">
        <v>5950</v>
      </c>
      <c r="F1252" s="7">
        <v>10539</v>
      </c>
      <c r="G1252" s="4" t="s">
        <v>74</v>
      </c>
    </row>
    <row r="1253" spans="1:7" ht="12.75">
      <c r="A1253" s="98" t="s">
        <v>1954</v>
      </c>
      <c r="B1253" s="98"/>
      <c r="C1253" s="98" t="s">
        <v>428</v>
      </c>
      <c r="D1253" s="4" t="s">
        <v>428</v>
      </c>
      <c r="E1253" s="7">
        <v>38</v>
      </c>
      <c r="F1253" s="7">
        <v>96</v>
      </c>
      <c r="G1253" s="4" t="s">
        <v>74</v>
      </c>
    </row>
    <row r="1254" spans="1:7" ht="12.75">
      <c r="A1254" s="98" t="s">
        <v>1955</v>
      </c>
      <c r="B1254" s="98"/>
      <c r="C1254" s="98" t="s">
        <v>428</v>
      </c>
      <c r="D1254" s="4" t="s">
        <v>428</v>
      </c>
      <c r="E1254" s="7">
        <v>38</v>
      </c>
      <c r="F1254" s="7">
        <v>96</v>
      </c>
      <c r="G1254" s="4" t="s">
        <v>74</v>
      </c>
    </row>
    <row r="1255" spans="1:7" ht="12.75">
      <c r="A1255" s="98" t="s">
        <v>1956</v>
      </c>
      <c r="B1255" s="98"/>
      <c r="C1255" s="98" t="s">
        <v>428</v>
      </c>
      <c r="D1255" s="4" t="s">
        <v>428</v>
      </c>
      <c r="E1255" s="7">
        <v>38</v>
      </c>
      <c r="F1255" s="7">
        <v>96</v>
      </c>
      <c r="G1255" s="4" t="s">
        <v>74</v>
      </c>
    </row>
    <row r="1256" spans="1:7" ht="12.75">
      <c r="A1256" s="98" t="s">
        <v>1957</v>
      </c>
      <c r="B1256" s="98"/>
      <c r="C1256" s="98" t="s">
        <v>428</v>
      </c>
      <c r="D1256" s="4" t="s">
        <v>428</v>
      </c>
      <c r="E1256" s="7">
        <v>38</v>
      </c>
      <c r="F1256" s="7">
        <v>96</v>
      </c>
      <c r="G1256" s="4" t="s">
        <v>74</v>
      </c>
    </row>
    <row r="1257" spans="1:7" ht="12.75">
      <c r="A1257" s="98" t="s">
        <v>1958</v>
      </c>
      <c r="B1257" s="98"/>
      <c r="C1257" s="98" t="s">
        <v>512</v>
      </c>
      <c r="D1257" s="4" t="s">
        <v>512</v>
      </c>
      <c r="E1257" s="7">
        <v>5950</v>
      </c>
      <c r="F1257" s="7">
        <v>10539</v>
      </c>
      <c r="G1257" s="4" t="s">
        <v>74</v>
      </c>
    </row>
    <row r="1258" spans="1:7" ht="12.75">
      <c r="A1258" s="98" t="s">
        <v>1959</v>
      </c>
      <c r="B1258" s="98" t="s">
        <v>1960</v>
      </c>
      <c r="C1258" s="98"/>
      <c r="D1258" s="4" t="s">
        <v>1960</v>
      </c>
      <c r="E1258" s="7">
        <v>27</v>
      </c>
      <c r="F1258" s="7">
        <v>419</v>
      </c>
      <c r="G1258" s="4" t="s">
        <v>74</v>
      </c>
    </row>
    <row r="1259" spans="1:7" ht="12.75">
      <c r="A1259" s="98" t="s">
        <v>1961</v>
      </c>
      <c r="B1259" s="98"/>
      <c r="C1259" s="98" t="s">
        <v>428</v>
      </c>
      <c r="D1259" s="4" t="s">
        <v>428</v>
      </c>
      <c r="E1259" s="7">
        <v>38</v>
      </c>
      <c r="F1259" s="7">
        <v>96</v>
      </c>
      <c r="G1259" s="4" t="s">
        <v>74</v>
      </c>
    </row>
    <row r="1260" spans="1:7" ht="12.75">
      <c r="A1260" s="98" t="s">
        <v>1962</v>
      </c>
      <c r="B1260" s="98"/>
      <c r="C1260" s="98" t="s">
        <v>512</v>
      </c>
      <c r="D1260" s="4" t="s">
        <v>512</v>
      </c>
      <c r="E1260" s="7">
        <v>5950</v>
      </c>
      <c r="F1260" s="7">
        <v>10539</v>
      </c>
      <c r="G1260" s="4" t="s">
        <v>74</v>
      </c>
    </row>
    <row r="1261" spans="1:7" ht="12.75">
      <c r="A1261" s="98" t="s">
        <v>1963</v>
      </c>
      <c r="B1261" s="98"/>
      <c r="C1261" s="98" t="s">
        <v>428</v>
      </c>
      <c r="D1261" s="4" t="s">
        <v>428</v>
      </c>
      <c r="E1261" s="7">
        <v>38</v>
      </c>
      <c r="F1261" s="7">
        <v>96</v>
      </c>
      <c r="G1261" s="4" t="s">
        <v>74</v>
      </c>
    </row>
    <row r="1262" spans="1:7" ht="12.75">
      <c r="A1262" s="98" t="s">
        <v>1964</v>
      </c>
      <c r="B1262" s="98"/>
      <c r="C1262" s="98" t="s">
        <v>428</v>
      </c>
      <c r="D1262" s="4" t="s">
        <v>428</v>
      </c>
      <c r="E1262" s="7">
        <v>38</v>
      </c>
      <c r="F1262" s="7">
        <v>96</v>
      </c>
      <c r="G1262" s="4" t="s">
        <v>74</v>
      </c>
    </row>
    <row r="1263" spans="1:7" ht="12.75">
      <c r="A1263" s="98" t="s">
        <v>1965</v>
      </c>
      <c r="B1263" s="98"/>
      <c r="C1263" s="98" t="s">
        <v>512</v>
      </c>
      <c r="D1263" s="4" t="s">
        <v>512</v>
      </c>
      <c r="E1263" s="7">
        <v>5950</v>
      </c>
      <c r="F1263" s="7">
        <v>10539</v>
      </c>
      <c r="G1263" s="4" t="s">
        <v>74</v>
      </c>
    </row>
    <row r="1264" spans="1:7" ht="12.75">
      <c r="A1264" s="98" t="s">
        <v>1966</v>
      </c>
      <c r="B1264" s="98"/>
      <c r="C1264" s="98" t="s">
        <v>428</v>
      </c>
      <c r="D1264" s="4" t="s">
        <v>428</v>
      </c>
      <c r="E1264" s="7">
        <v>38</v>
      </c>
      <c r="F1264" s="7">
        <v>96</v>
      </c>
      <c r="G1264" s="4" t="s">
        <v>74</v>
      </c>
    </row>
    <row r="1265" spans="1:7" ht="12.75">
      <c r="A1265" s="98" t="s">
        <v>1967</v>
      </c>
      <c r="B1265" s="98"/>
      <c r="C1265" s="98" t="s">
        <v>428</v>
      </c>
      <c r="D1265" s="4" t="s">
        <v>428</v>
      </c>
      <c r="E1265" s="7">
        <v>38</v>
      </c>
      <c r="F1265" s="7">
        <v>96</v>
      </c>
      <c r="G1265" s="4" t="s">
        <v>74</v>
      </c>
    </row>
    <row r="1266" spans="1:7" ht="12.75">
      <c r="A1266" s="98" t="s">
        <v>1968</v>
      </c>
      <c r="B1266" s="98"/>
      <c r="C1266" s="98" t="s">
        <v>512</v>
      </c>
      <c r="D1266" s="4" t="s">
        <v>512</v>
      </c>
      <c r="E1266" s="7">
        <v>5950</v>
      </c>
      <c r="F1266" s="7">
        <v>10539</v>
      </c>
      <c r="G1266" s="4" t="s">
        <v>74</v>
      </c>
    </row>
    <row r="1267" spans="1:7" ht="12.75">
      <c r="A1267" s="98" t="s">
        <v>1969</v>
      </c>
      <c r="B1267" s="98" t="s">
        <v>1970</v>
      </c>
      <c r="C1267" s="98"/>
      <c r="D1267" s="4" t="s">
        <v>1970</v>
      </c>
      <c r="E1267" s="7">
        <v>128</v>
      </c>
      <c r="F1267" s="7">
        <v>128</v>
      </c>
      <c r="G1267" s="4" t="s">
        <v>74</v>
      </c>
    </row>
    <row r="1268" spans="1:7" ht="12.75">
      <c r="A1268" s="98" t="s">
        <v>1971</v>
      </c>
      <c r="B1268" s="98"/>
      <c r="C1268" s="98" t="s">
        <v>428</v>
      </c>
      <c r="D1268" s="4" t="s">
        <v>428</v>
      </c>
      <c r="E1268" s="7">
        <v>38</v>
      </c>
      <c r="F1268" s="7">
        <v>96</v>
      </c>
      <c r="G1268" s="4" t="s">
        <v>74</v>
      </c>
    </row>
    <row r="1269" spans="1:7" ht="12.75">
      <c r="A1269" s="98" t="s">
        <v>1972</v>
      </c>
      <c r="B1269" s="98"/>
      <c r="C1269" s="98" t="s">
        <v>512</v>
      </c>
      <c r="D1269" s="4" t="s">
        <v>512</v>
      </c>
      <c r="E1269" s="7">
        <v>5950</v>
      </c>
      <c r="F1269" s="7">
        <v>10539</v>
      </c>
      <c r="G1269" s="4" t="s">
        <v>74</v>
      </c>
    </row>
    <row r="1270" spans="1:7" ht="12.75">
      <c r="A1270" s="98" t="s">
        <v>1973</v>
      </c>
      <c r="B1270" s="98"/>
      <c r="C1270" s="98" t="s">
        <v>428</v>
      </c>
      <c r="D1270" s="4" t="s">
        <v>428</v>
      </c>
      <c r="E1270" s="7">
        <v>38</v>
      </c>
      <c r="F1270" s="7">
        <v>96</v>
      </c>
      <c r="G1270" s="4" t="s">
        <v>74</v>
      </c>
    </row>
    <row r="1271" spans="1:7" ht="12.75">
      <c r="A1271" s="98" t="s">
        <v>1974</v>
      </c>
      <c r="B1271" s="98" t="s">
        <v>1975</v>
      </c>
      <c r="C1271" s="98"/>
      <c r="D1271" s="4" t="s">
        <v>1975</v>
      </c>
      <c r="E1271" s="7">
        <v>7128</v>
      </c>
      <c r="F1271" s="7">
        <v>8036</v>
      </c>
      <c r="G1271" s="4" t="s">
        <v>74</v>
      </c>
    </row>
    <row r="1272" spans="1:7" ht="12.75">
      <c r="A1272" s="98" t="s">
        <v>1976</v>
      </c>
      <c r="B1272" s="98"/>
      <c r="C1272" s="98" t="s">
        <v>428</v>
      </c>
      <c r="D1272" s="4" t="s">
        <v>428</v>
      </c>
      <c r="E1272" s="7">
        <v>38</v>
      </c>
      <c r="F1272" s="7">
        <v>96</v>
      </c>
      <c r="G1272" s="4" t="s">
        <v>74</v>
      </c>
    </row>
    <row r="1273" spans="1:7" ht="12.75">
      <c r="A1273" s="98" t="s">
        <v>1977</v>
      </c>
      <c r="B1273" s="98"/>
      <c r="C1273" s="98" t="s">
        <v>512</v>
      </c>
      <c r="D1273" s="4" t="s">
        <v>512</v>
      </c>
      <c r="E1273" s="7">
        <v>5950</v>
      </c>
      <c r="F1273" s="7">
        <v>10539</v>
      </c>
      <c r="G1273" s="4" t="s">
        <v>74</v>
      </c>
    </row>
    <row r="1274" spans="1:7" ht="12.75">
      <c r="A1274" s="98" t="s">
        <v>1978</v>
      </c>
      <c r="B1274" s="98" t="s">
        <v>1979</v>
      </c>
      <c r="C1274" s="98"/>
      <c r="D1274" s="4" t="s">
        <v>1979</v>
      </c>
      <c r="E1274" s="7">
        <v>1085</v>
      </c>
      <c r="F1274" s="7">
        <v>2328</v>
      </c>
      <c r="G1274" s="4" t="s">
        <v>74</v>
      </c>
    </row>
    <row r="1275" spans="1:7" ht="12.75">
      <c r="A1275" s="98" t="s">
        <v>1980</v>
      </c>
      <c r="B1275" s="98"/>
      <c r="C1275" s="98" t="s">
        <v>428</v>
      </c>
      <c r="D1275" s="4" t="s">
        <v>428</v>
      </c>
      <c r="E1275" s="7">
        <v>38</v>
      </c>
      <c r="F1275" s="7">
        <v>96</v>
      </c>
      <c r="G1275" s="4" t="s">
        <v>74</v>
      </c>
    </row>
    <row r="1276" spans="1:7" ht="12.75">
      <c r="A1276" s="98" t="s">
        <v>1981</v>
      </c>
      <c r="B1276" s="98"/>
      <c r="C1276" s="98" t="s">
        <v>428</v>
      </c>
      <c r="D1276" s="4" t="s">
        <v>428</v>
      </c>
      <c r="E1276" s="7">
        <v>38</v>
      </c>
      <c r="F1276" s="7">
        <v>96</v>
      </c>
      <c r="G1276" s="4" t="s">
        <v>74</v>
      </c>
    </row>
    <row r="1277" spans="1:7" ht="12.75">
      <c r="A1277" s="98" t="s">
        <v>1982</v>
      </c>
      <c r="B1277" s="98"/>
      <c r="C1277" s="98" t="s">
        <v>428</v>
      </c>
      <c r="D1277" s="4" t="s">
        <v>428</v>
      </c>
      <c r="E1277" s="7">
        <v>38</v>
      </c>
      <c r="F1277" s="7">
        <v>96</v>
      </c>
      <c r="G1277" s="4" t="s">
        <v>74</v>
      </c>
    </row>
    <row r="1278" spans="1:7" ht="12.75">
      <c r="A1278" s="98" t="s">
        <v>1983</v>
      </c>
      <c r="B1278" s="98"/>
      <c r="C1278" s="98" t="s">
        <v>428</v>
      </c>
      <c r="D1278" s="4" t="s">
        <v>428</v>
      </c>
      <c r="E1278" s="7">
        <v>38</v>
      </c>
      <c r="F1278" s="7">
        <v>96</v>
      </c>
      <c r="G1278" s="4" t="s">
        <v>74</v>
      </c>
    </row>
    <row r="1279" spans="1:7" ht="12.75">
      <c r="A1279" s="98" t="s">
        <v>1984</v>
      </c>
      <c r="B1279" s="98"/>
      <c r="C1279" s="98" t="s">
        <v>428</v>
      </c>
      <c r="D1279" s="4" t="s">
        <v>428</v>
      </c>
      <c r="E1279" s="7">
        <v>38</v>
      </c>
      <c r="F1279" s="7">
        <v>96</v>
      </c>
      <c r="G1279" s="4" t="s">
        <v>74</v>
      </c>
    </row>
    <row r="1280" spans="1:7" ht="12.75">
      <c r="A1280" s="98" t="s">
        <v>1985</v>
      </c>
      <c r="B1280" s="98"/>
      <c r="C1280" s="98" t="s">
        <v>428</v>
      </c>
      <c r="D1280" s="4" t="s">
        <v>428</v>
      </c>
      <c r="E1280" s="7">
        <v>38</v>
      </c>
      <c r="F1280" s="7">
        <v>96</v>
      </c>
      <c r="G1280" s="4" t="s">
        <v>74</v>
      </c>
    </row>
    <row r="1281" spans="1:7" ht="12.75">
      <c r="A1281" s="98" t="s">
        <v>1986</v>
      </c>
      <c r="B1281" s="98"/>
      <c r="C1281" s="98" t="s">
        <v>512</v>
      </c>
      <c r="D1281" s="4" t="s">
        <v>512</v>
      </c>
      <c r="E1281" s="7">
        <v>5950</v>
      </c>
      <c r="F1281" s="7">
        <v>10539</v>
      </c>
      <c r="G1281" s="4" t="s">
        <v>74</v>
      </c>
    </row>
    <row r="1282" spans="1:7" ht="12.75">
      <c r="A1282" s="98" t="s">
        <v>1987</v>
      </c>
      <c r="B1282" s="98"/>
      <c r="C1282" s="98" t="s">
        <v>428</v>
      </c>
      <c r="D1282" s="4" t="s">
        <v>428</v>
      </c>
      <c r="E1282" s="7">
        <v>38</v>
      </c>
      <c r="F1282" s="7">
        <v>96</v>
      </c>
      <c r="G1282" s="4" t="s">
        <v>74</v>
      </c>
    </row>
    <row r="1283" spans="1:7" ht="12.75">
      <c r="A1283" s="98" t="s">
        <v>1988</v>
      </c>
      <c r="B1283" s="98"/>
      <c r="C1283" s="98" t="s">
        <v>428</v>
      </c>
      <c r="D1283" s="4" t="s">
        <v>428</v>
      </c>
      <c r="E1283" s="7">
        <v>38</v>
      </c>
      <c r="F1283" s="7">
        <v>96</v>
      </c>
      <c r="G1283" s="4" t="s">
        <v>74</v>
      </c>
    </row>
    <row r="1284" spans="1:7" ht="12.75">
      <c r="A1284" s="98" t="s">
        <v>1989</v>
      </c>
      <c r="B1284" s="98" t="s">
        <v>1990</v>
      </c>
      <c r="C1284" s="98"/>
      <c r="D1284" s="4" t="s">
        <v>1990</v>
      </c>
      <c r="E1284" s="7">
        <v>13</v>
      </c>
      <c r="F1284" s="7">
        <v>25</v>
      </c>
      <c r="G1284" s="4" t="s">
        <v>74</v>
      </c>
    </row>
    <row r="1285" spans="1:7" ht="12.75">
      <c r="A1285" s="98" t="s">
        <v>1991</v>
      </c>
      <c r="B1285" s="98"/>
      <c r="C1285" s="98" t="s">
        <v>428</v>
      </c>
      <c r="D1285" s="4" t="s">
        <v>428</v>
      </c>
      <c r="E1285" s="7">
        <v>38</v>
      </c>
      <c r="F1285" s="7">
        <v>96</v>
      </c>
      <c r="G1285" s="4" t="s">
        <v>74</v>
      </c>
    </row>
    <row r="1286" spans="1:7" ht="12.75">
      <c r="A1286" s="98" t="s">
        <v>1992</v>
      </c>
      <c r="B1286" s="98"/>
      <c r="C1286" s="98" t="s">
        <v>512</v>
      </c>
      <c r="D1286" s="4" t="s">
        <v>512</v>
      </c>
      <c r="E1286" s="7">
        <v>5950</v>
      </c>
      <c r="F1286" s="7">
        <v>10539</v>
      </c>
      <c r="G1286" s="4" t="s">
        <v>74</v>
      </c>
    </row>
    <row r="1287" spans="1:7" ht="12.75">
      <c r="A1287" s="98" t="s">
        <v>1993</v>
      </c>
      <c r="B1287" s="98"/>
      <c r="C1287" s="98" t="s">
        <v>428</v>
      </c>
      <c r="D1287" s="4" t="s">
        <v>428</v>
      </c>
      <c r="E1287" s="7">
        <v>38</v>
      </c>
      <c r="F1287" s="7">
        <v>96</v>
      </c>
      <c r="G1287" s="4" t="s">
        <v>74</v>
      </c>
    </row>
    <row r="1288" spans="1:7" ht="12.75">
      <c r="A1288" s="98" t="s">
        <v>1994</v>
      </c>
      <c r="B1288" s="98"/>
      <c r="C1288" s="98" t="s">
        <v>428</v>
      </c>
      <c r="D1288" s="4" t="s">
        <v>428</v>
      </c>
      <c r="E1288" s="7">
        <v>38</v>
      </c>
      <c r="F1288" s="7">
        <v>96</v>
      </c>
      <c r="G1288" s="4" t="s">
        <v>74</v>
      </c>
    </row>
    <row r="1289" spans="1:7" ht="12.75">
      <c r="A1289" s="98" t="s">
        <v>1995</v>
      </c>
      <c r="B1289" s="98"/>
      <c r="C1289" s="98" t="s">
        <v>428</v>
      </c>
      <c r="D1289" s="4" t="s">
        <v>428</v>
      </c>
      <c r="E1289" s="7">
        <v>38</v>
      </c>
      <c r="F1289" s="7">
        <v>96</v>
      </c>
      <c r="G1289" s="4" t="s">
        <v>74</v>
      </c>
    </row>
    <row r="1290" spans="1:7" ht="12.75">
      <c r="A1290" s="98" t="s">
        <v>1996</v>
      </c>
      <c r="B1290" s="98" t="s">
        <v>517</v>
      </c>
      <c r="C1290" s="98"/>
      <c r="D1290" s="4" t="s">
        <v>517</v>
      </c>
      <c r="E1290" s="7">
        <v>2000</v>
      </c>
      <c r="F1290" s="7">
        <v>2000</v>
      </c>
      <c r="G1290" s="4" t="s">
        <v>74</v>
      </c>
    </row>
    <row r="1291" spans="1:7" ht="12.75">
      <c r="A1291" s="98" t="s">
        <v>1997</v>
      </c>
      <c r="B1291" s="98"/>
      <c r="C1291" s="98" t="s">
        <v>512</v>
      </c>
      <c r="D1291" s="4" t="s">
        <v>512</v>
      </c>
      <c r="E1291" s="7">
        <v>5950</v>
      </c>
      <c r="F1291" s="7">
        <v>10539</v>
      </c>
      <c r="G1291" s="4" t="s">
        <v>74</v>
      </c>
    </row>
    <row r="1292" spans="1:7" ht="12.75">
      <c r="A1292" s="98" t="s">
        <v>1998</v>
      </c>
      <c r="B1292" s="98"/>
      <c r="C1292" s="98" t="s">
        <v>512</v>
      </c>
      <c r="D1292" s="4" t="s">
        <v>512</v>
      </c>
      <c r="E1292" s="7">
        <v>5950</v>
      </c>
      <c r="F1292" s="7">
        <v>10539</v>
      </c>
      <c r="G1292" s="4" t="s">
        <v>74</v>
      </c>
    </row>
    <row r="1293" spans="1:7" ht="12.75">
      <c r="A1293" s="98" t="s">
        <v>1999</v>
      </c>
      <c r="B1293" s="98"/>
      <c r="C1293" s="98" t="s">
        <v>428</v>
      </c>
      <c r="D1293" s="4" t="s">
        <v>428</v>
      </c>
      <c r="E1293" s="7">
        <v>38</v>
      </c>
      <c r="F1293" s="7">
        <v>96</v>
      </c>
      <c r="G1293" s="4" t="s">
        <v>74</v>
      </c>
    </row>
    <row r="1294" spans="1:7" ht="12.75">
      <c r="A1294" s="98" t="s">
        <v>2000</v>
      </c>
      <c r="B1294" s="98"/>
      <c r="C1294" s="98" t="s">
        <v>428</v>
      </c>
      <c r="D1294" s="4" t="s">
        <v>428</v>
      </c>
      <c r="E1294" s="7">
        <v>38</v>
      </c>
      <c r="F1294" s="7">
        <v>96</v>
      </c>
      <c r="G1294" s="4" t="s">
        <v>74</v>
      </c>
    </row>
    <row r="1295" spans="1:7" ht="12.75">
      <c r="A1295" s="98" t="s">
        <v>2001</v>
      </c>
      <c r="B1295" s="98" t="s">
        <v>2002</v>
      </c>
      <c r="C1295" s="98"/>
      <c r="D1295" s="4" t="s">
        <v>2002</v>
      </c>
      <c r="E1295" s="7">
        <v>2119</v>
      </c>
      <c r="F1295" s="7">
        <v>2889</v>
      </c>
      <c r="G1295" s="4" t="s">
        <v>74</v>
      </c>
    </row>
    <row r="1296" spans="1:7" ht="12.75">
      <c r="A1296" s="98" t="s">
        <v>2003</v>
      </c>
      <c r="B1296" s="98"/>
      <c r="C1296" s="98" t="s">
        <v>428</v>
      </c>
      <c r="D1296" s="4" t="s">
        <v>428</v>
      </c>
      <c r="E1296" s="7">
        <v>38</v>
      </c>
      <c r="F1296" s="7">
        <v>96</v>
      </c>
      <c r="G1296" s="4" t="s">
        <v>74</v>
      </c>
    </row>
    <row r="1297" spans="1:7" ht="12.75">
      <c r="A1297" s="98" t="s">
        <v>2004</v>
      </c>
      <c r="B1297" s="98"/>
      <c r="C1297" s="98" t="s">
        <v>428</v>
      </c>
      <c r="D1297" s="4" t="s">
        <v>428</v>
      </c>
      <c r="E1297" s="7">
        <v>38</v>
      </c>
      <c r="F1297" s="7">
        <v>96</v>
      </c>
      <c r="G1297" s="4" t="s">
        <v>74</v>
      </c>
    </row>
    <row r="1298" spans="1:7" ht="12.75">
      <c r="A1298" s="98" t="s">
        <v>2005</v>
      </c>
      <c r="B1298" s="98" t="s">
        <v>2006</v>
      </c>
      <c r="C1298" s="98"/>
      <c r="D1298" s="4" t="s">
        <v>2006</v>
      </c>
      <c r="E1298" s="7">
        <v>22613</v>
      </c>
      <c r="F1298" s="7">
        <v>22613</v>
      </c>
      <c r="G1298" s="4" t="s">
        <v>74</v>
      </c>
    </row>
    <row r="1299" spans="1:7" ht="12.75">
      <c r="A1299" s="98" t="s">
        <v>2007</v>
      </c>
      <c r="B1299" s="98"/>
      <c r="C1299" s="98" t="s">
        <v>428</v>
      </c>
      <c r="D1299" s="4" t="s">
        <v>428</v>
      </c>
      <c r="E1299" s="7">
        <v>38</v>
      </c>
      <c r="F1299" s="7">
        <v>96</v>
      </c>
      <c r="G1299" s="4" t="s">
        <v>74</v>
      </c>
    </row>
    <row r="1300" spans="1:7" ht="12.75">
      <c r="A1300" s="98" t="s">
        <v>2008</v>
      </c>
      <c r="B1300" s="98" t="s">
        <v>2009</v>
      </c>
      <c r="C1300" s="98"/>
      <c r="D1300" s="4" t="s">
        <v>2009</v>
      </c>
      <c r="E1300" s="7">
        <v>8953</v>
      </c>
      <c r="F1300" s="7">
        <v>8953</v>
      </c>
      <c r="G1300" s="4" t="s">
        <v>74</v>
      </c>
    </row>
    <row r="1301" spans="1:7" ht="12.75">
      <c r="A1301" s="98" t="s">
        <v>2010</v>
      </c>
      <c r="B1301" s="98"/>
      <c r="C1301" s="98" t="s">
        <v>428</v>
      </c>
      <c r="D1301" s="4" t="s">
        <v>428</v>
      </c>
      <c r="E1301" s="7">
        <v>38</v>
      </c>
      <c r="F1301" s="7">
        <v>96</v>
      </c>
      <c r="G1301" s="4" t="s">
        <v>74</v>
      </c>
    </row>
    <row r="1302" spans="1:7" ht="12.75">
      <c r="A1302" s="98" t="s">
        <v>2011</v>
      </c>
      <c r="B1302" s="98"/>
      <c r="C1302" s="98" t="s">
        <v>512</v>
      </c>
      <c r="D1302" s="4" t="s">
        <v>512</v>
      </c>
      <c r="E1302" s="7">
        <v>5950</v>
      </c>
      <c r="F1302" s="7">
        <v>10539</v>
      </c>
      <c r="G1302" s="4" t="s">
        <v>74</v>
      </c>
    </row>
    <row r="1303" spans="1:7" ht="12.75">
      <c r="A1303" s="98" t="s">
        <v>2012</v>
      </c>
      <c r="B1303" s="98"/>
      <c r="C1303" s="98" t="s">
        <v>428</v>
      </c>
      <c r="D1303" s="4" t="s">
        <v>428</v>
      </c>
      <c r="E1303" s="7">
        <v>38</v>
      </c>
      <c r="F1303" s="7">
        <v>96</v>
      </c>
      <c r="G1303" s="4" t="s">
        <v>74</v>
      </c>
    </row>
    <row r="1304" spans="1:7" ht="12.75">
      <c r="A1304" s="98" t="s">
        <v>2013</v>
      </c>
      <c r="B1304" s="98"/>
      <c r="C1304" s="98" t="s">
        <v>428</v>
      </c>
      <c r="D1304" s="4" t="s">
        <v>428</v>
      </c>
      <c r="E1304" s="7">
        <v>38</v>
      </c>
      <c r="F1304" s="7">
        <v>96</v>
      </c>
      <c r="G1304" s="4" t="s">
        <v>74</v>
      </c>
    </row>
    <row r="1305" spans="1:7" ht="12.75">
      <c r="A1305" s="98" t="s">
        <v>2014</v>
      </c>
      <c r="B1305" s="98"/>
      <c r="C1305" s="98" t="s">
        <v>428</v>
      </c>
      <c r="D1305" s="4" t="s">
        <v>428</v>
      </c>
      <c r="E1305" s="7">
        <v>38</v>
      </c>
      <c r="F1305" s="7">
        <v>96</v>
      </c>
      <c r="G1305" s="4" t="s">
        <v>74</v>
      </c>
    </row>
    <row r="1306" spans="1:7" ht="12.75">
      <c r="A1306" s="98" t="s">
        <v>2015</v>
      </c>
      <c r="B1306" s="98"/>
      <c r="C1306" s="98" t="s">
        <v>428</v>
      </c>
      <c r="D1306" s="4" t="s">
        <v>428</v>
      </c>
      <c r="E1306" s="7">
        <v>38</v>
      </c>
      <c r="F1306" s="7">
        <v>96</v>
      </c>
      <c r="G1306" s="4" t="s">
        <v>74</v>
      </c>
    </row>
    <row r="1307" spans="1:7" ht="12.75">
      <c r="A1307" s="98" t="s">
        <v>2016</v>
      </c>
      <c r="B1307" s="98" t="s">
        <v>2017</v>
      </c>
      <c r="C1307" s="98"/>
      <c r="D1307" s="4" t="s">
        <v>2017</v>
      </c>
      <c r="E1307" s="7">
        <v>680000</v>
      </c>
      <c r="F1307" s="7">
        <v>680000</v>
      </c>
      <c r="G1307" s="4" t="s">
        <v>74</v>
      </c>
    </row>
    <row r="1308" spans="1:7" ht="12.75">
      <c r="A1308" s="98" t="s">
        <v>2018</v>
      </c>
      <c r="B1308" s="98"/>
      <c r="C1308" s="98" t="s">
        <v>512</v>
      </c>
      <c r="D1308" s="4" t="s">
        <v>512</v>
      </c>
      <c r="E1308" s="7">
        <v>5950</v>
      </c>
      <c r="F1308" s="7">
        <v>10539</v>
      </c>
      <c r="G1308" s="4" t="s">
        <v>74</v>
      </c>
    </row>
    <row r="1309" spans="1:7" ht="12.75">
      <c r="A1309" s="98" t="s">
        <v>2019</v>
      </c>
      <c r="B1309" s="98"/>
      <c r="C1309" s="98" t="s">
        <v>428</v>
      </c>
      <c r="D1309" s="4" t="s">
        <v>428</v>
      </c>
      <c r="E1309" s="7">
        <v>38</v>
      </c>
      <c r="F1309" s="7">
        <v>96</v>
      </c>
      <c r="G1309" s="4" t="s">
        <v>74</v>
      </c>
    </row>
    <row r="1310" spans="1:7" ht="12.75">
      <c r="A1310" s="98" t="s">
        <v>2020</v>
      </c>
      <c r="B1310" s="98"/>
      <c r="C1310" s="98" t="s">
        <v>428</v>
      </c>
      <c r="D1310" s="4" t="s">
        <v>428</v>
      </c>
      <c r="E1310" s="7">
        <v>38</v>
      </c>
      <c r="F1310" s="7">
        <v>96</v>
      </c>
      <c r="G1310" s="4" t="s">
        <v>74</v>
      </c>
    </row>
    <row r="1311" spans="1:7" ht="12.75">
      <c r="A1311" s="98" t="s">
        <v>2021</v>
      </c>
      <c r="B1311" s="98"/>
      <c r="C1311" s="98" t="s">
        <v>428</v>
      </c>
      <c r="D1311" s="4" t="s">
        <v>428</v>
      </c>
      <c r="E1311" s="7">
        <v>38</v>
      </c>
      <c r="F1311" s="7">
        <v>96</v>
      </c>
      <c r="G1311" s="4" t="s">
        <v>74</v>
      </c>
    </row>
    <row r="1312" spans="1:7" ht="12.75">
      <c r="A1312" s="98" t="s">
        <v>2022</v>
      </c>
      <c r="B1312" s="98" t="s">
        <v>2023</v>
      </c>
      <c r="C1312" s="98"/>
      <c r="D1312" s="4" t="s">
        <v>2023</v>
      </c>
      <c r="E1312" s="7">
        <v>5</v>
      </c>
      <c r="F1312" s="7">
        <v>62</v>
      </c>
      <c r="G1312" s="4" t="s">
        <v>74</v>
      </c>
    </row>
    <row r="1313" spans="1:7" ht="12.75">
      <c r="A1313" s="98" t="s">
        <v>2024</v>
      </c>
      <c r="B1313" s="98" t="s">
        <v>2025</v>
      </c>
      <c r="C1313" s="98"/>
      <c r="D1313" s="4" t="s">
        <v>2025</v>
      </c>
      <c r="E1313" s="7">
        <v>108</v>
      </c>
      <c r="F1313" s="7">
        <v>258</v>
      </c>
      <c r="G1313" s="4" t="s">
        <v>74</v>
      </c>
    </row>
    <row r="1314" spans="1:7" ht="12.75">
      <c r="A1314" s="98" t="s">
        <v>2026</v>
      </c>
      <c r="B1314" s="98"/>
      <c r="C1314" s="98" t="s">
        <v>428</v>
      </c>
      <c r="D1314" s="4" t="s">
        <v>428</v>
      </c>
      <c r="E1314" s="7">
        <v>38</v>
      </c>
      <c r="F1314" s="7">
        <v>96</v>
      </c>
      <c r="G1314" s="4" t="s">
        <v>74</v>
      </c>
    </row>
    <row r="1315" spans="1:7" ht="12.75">
      <c r="A1315" s="98" t="s">
        <v>2027</v>
      </c>
      <c r="B1315" s="98"/>
      <c r="C1315" s="98" t="s">
        <v>428</v>
      </c>
      <c r="D1315" s="4" t="s">
        <v>428</v>
      </c>
      <c r="E1315" s="7">
        <v>38</v>
      </c>
      <c r="F1315" s="7">
        <v>96</v>
      </c>
      <c r="G1315" s="4" t="s">
        <v>74</v>
      </c>
    </row>
    <row r="1316" spans="1:7" ht="12.75">
      <c r="A1316" s="98" t="s">
        <v>2028</v>
      </c>
      <c r="B1316" s="98"/>
      <c r="C1316" s="98" t="s">
        <v>428</v>
      </c>
      <c r="D1316" s="4" t="s">
        <v>428</v>
      </c>
      <c r="E1316" s="7">
        <v>38</v>
      </c>
      <c r="F1316" s="7">
        <v>96</v>
      </c>
      <c r="G1316" s="4" t="s">
        <v>74</v>
      </c>
    </row>
    <row r="1317" spans="1:7" ht="12.75">
      <c r="A1317" s="98" t="s">
        <v>2029</v>
      </c>
      <c r="B1317" s="98"/>
      <c r="C1317" s="98" t="s">
        <v>512</v>
      </c>
      <c r="D1317" s="4" t="s">
        <v>512</v>
      </c>
      <c r="E1317" s="7">
        <v>5950</v>
      </c>
      <c r="F1317" s="7">
        <v>10539</v>
      </c>
      <c r="G1317" s="4" t="s">
        <v>74</v>
      </c>
    </row>
    <row r="1318" spans="1:7" ht="12.75">
      <c r="A1318" s="98" t="s">
        <v>2030</v>
      </c>
      <c r="B1318" s="98"/>
      <c r="C1318" s="98" t="s">
        <v>428</v>
      </c>
      <c r="D1318" s="4" t="s">
        <v>428</v>
      </c>
      <c r="E1318" s="7">
        <v>38</v>
      </c>
      <c r="F1318" s="7">
        <v>96</v>
      </c>
      <c r="G1318" s="4" t="s">
        <v>74</v>
      </c>
    </row>
    <row r="1319" spans="1:7" ht="12.75">
      <c r="A1319" s="98" t="s">
        <v>2031</v>
      </c>
      <c r="B1319" s="98" t="s">
        <v>2032</v>
      </c>
      <c r="C1319" s="98"/>
      <c r="D1319" s="4" t="s">
        <v>2032</v>
      </c>
      <c r="E1319" s="7">
        <v>35000</v>
      </c>
      <c r="F1319" s="7">
        <v>100000</v>
      </c>
      <c r="G1319" s="4" t="s">
        <v>74</v>
      </c>
    </row>
    <row r="1320" spans="1:7" ht="12.75">
      <c r="A1320" s="98" t="s">
        <v>2033</v>
      </c>
      <c r="B1320" s="98"/>
      <c r="C1320" s="98" t="s">
        <v>428</v>
      </c>
      <c r="D1320" s="4" t="s">
        <v>428</v>
      </c>
      <c r="E1320" s="7">
        <v>38</v>
      </c>
      <c r="F1320" s="7">
        <v>96</v>
      </c>
      <c r="G1320" s="4" t="s">
        <v>74</v>
      </c>
    </row>
    <row r="1321" spans="1:7" ht="12.75">
      <c r="A1321" s="98" t="s">
        <v>2034</v>
      </c>
      <c r="B1321" s="98"/>
      <c r="C1321" s="98" t="s">
        <v>428</v>
      </c>
      <c r="D1321" s="4" t="s">
        <v>428</v>
      </c>
      <c r="E1321" s="7">
        <v>38</v>
      </c>
      <c r="F1321" s="7">
        <v>96</v>
      </c>
      <c r="G1321" s="4" t="s">
        <v>74</v>
      </c>
    </row>
    <row r="1322" spans="1:7" ht="12.75">
      <c r="A1322" s="98" t="s">
        <v>2035</v>
      </c>
      <c r="B1322" s="98"/>
      <c r="C1322" s="98" t="s">
        <v>512</v>
      </c>
      <c r="D1322" s="4" t="s">
        <v>512</v>
      </c>
      <c r="E1322" s="7">
        <v>5950</v>
      </c>
      <c r="F1322" s="7">
        <v>10539</v>
      </c>
      <c r="G1322" s="4" t="s">
        <v>74</v>
      </c>
    </row>
    <row r="1323" spans="1:7" ht="12.75">
      <c r="A1323" s="98" t="s">
        <v>2036</v>
      </c>
      <c r="B1323" s="98"/>
      <c r="C1323" s="98" t="s">
        <v>512</v>
      </c>
      <c r="D1323" s="4" t="s">
        <v>512</v>
      </c>
      <c r="E1323" s="7">
        <v>5950</v>
      </c>
      <c r="F1323" s="7">
        <v>10539</v>
      </c>
      <c r="G1323" s="4" t="s">
        <v>74</v>
      </c>
    </row>
    <row r="1324" spans="1:7" ht="12.75">
      <c r="A1324" s="98" t="s">
        <v>2037</v>
      </c>
      <c r="B1324" s="98" t="s">
        <v>2038</v>
      </c>
      <c r="C1324" s="98"/>
      <c r="D1324" s="4" t="s">
        <v>2038</v>
      </c>
      <c r="E1324" s="7">
        <v>6810</v>
      </c>
      <c r="F1324" s="7">
        <v>6810</v>
      </c>
      <c r="G1324" s="4" t="s">
        <v>74</v>
      </c>
    </row>
    <row r="1325" spans="1:7" ht="12.75">
      <c r="A1325" s="98" t="s">
        <v>2039</v>
      </c>
      <c r="B1325" s="98"/>
      <c r="C1325" s="98" t="s">
        <v>428</v>
      </c>
      <c r="D1325" s="4" t="s">
        <v>428</v>
      </c>
      <c r="E1325" s="7">
        <v>38</v>
      </c>
      <c r="F1325" s="7">
        <v>96</v>
      </c>
      <c r="G1325" s="4" t="s">
        <v>74</v>
      </c>
    </row>
    <row r="1326" spans="1:7" ht="12.75">
      <c r="A1326" s="98" t="s">
        <v>2040</v>
      </c>
      <c r="B1326" s="98"/>
      <c r="C1326" s="98" t="s">
        <v>428</v>
      </c>
      <c r="D1326" s="4" t="s">
        <v>428</v>
      </c>
      <c r="E1326" s="7">
        <v>38</v>
      </c>
      <c r="F1326" s="7">
        <v>96</v>
      </c>
      <c r="G1326" s="4" t="s">
        <v>74</v>
      </c>
    </row>
    <row r="1327" spans="1:7" ht="12.75">
      <c r="A1327" s="98" t="s">
        <v>2041</v>
      </c>
      <c r="B1327" s="98"/>
      <c r="C1327" s="98" t="s">
        <v>512</v>
      </c>
      <c r="D1327" s="4" t="s">
        <v>512</v>
      </c>
      <c r="E1327" s="7">
        <v>5950</v>
      </c>
      <c r="F1327" s="7">
        <v>10539</v>
      </c>
      <c r="G1327" s="4" t="s">
        <v>74</v>
      </c>
    </row>
    <row r="1328" spans="1:7" ht="12.75">
      <c r="A1328" s="98" t="s">
        <v>2042</v>
      </c>
      <c r="B1328" s="98"/>
      <c r="C1328" s="98" t="s">
        <v>428</v>
      </c>
      <c r="D1328" s="4" t="s">
        <v>428</v>
      </c>
      <c r="E1328" s="7">
        <v>38</v>
      </c>
      <c r="F1328" s="7">
        <v>96</v>
      </c>
      <c r="G1328" s="4" t="s">
        <v>74</v>
      </c>
    </row>
    <row r="1329" spans="1:7" ht="12.75">
      <c r="A1329" s="98" t="s">
        <v>2043</v>
      </c>
      <c r="B1329" s="98"/>
      <c r="C1329" s="98" t="s">
        <v>428</v>
      </c>
      <c r="D1329" s="4" t="s">
        <v>428</v>
      </c>
      <c r="E1329" s="7">
        <v>38</v>
      </c>
      <c r="F1329" s="7">
        <v>96</v>
      </c>
      <c r="G1329" s="4" t="s">
        <v>74</v>
      </c>
    </row>
    <row r="1330" spans="1:7" ht="12.75">
      <c r="A1330" s="98" t="s">
        <v>2044</v>
      </c>
      <c r="B1330" s="98"/>
      <c r="C1330" s="98" t="s">
        <v>512</v>
      </c>
      <c r="D1330" s="4" t="s">
        <v>512</v>
      </c>
      <c r="E1330" s="7">
        <v>5950</v>
      </c>
      <c r="F1330" s="7">
        <v>10539</v>
      </c>
      <c r="G1330" s="4" t="s">
        <v>74</v>
      </c>
    </row>
    <row r="1331" spans="1:7" ht="12.75">
      <c r="A1331" s="98" t="s">
        <v>2045</v>
      </c>
      <c r="B1331" s="98"/>
      <c r="C1331" s="98" t="s">
        <v>428</v>
      </c>
      <c r="D1331" s="4" t="s">
        <v>428</v>
      </c>
      <c r="E1331" s="7">
        <v>38</v>
      </c>
      <c r="F1331" s="7">
        <v>96</v>
      </c>
      <c r="G1331" s="4" t="s">
        <v>74</v>
      </c>
    </row>
    <row r="1332" spans="1:7" ht="12.75">
      <c r="A1332" s="98" t="s">
        <v>2046</v>
      </c>
      <c r="B1332" s="98"/>
      <c r="C1332" s="98" t="s">
        <v>512</v>
      </c>
      <c r="D1332" s="4" t="s">
        <v>512</v>
      </c>
      <c r="E1332" s="7">
        <v>5950</v>
      </c>
      <c r="F1332" s="7">
        <v>10539</v>
      </c>
      <c r="G1332" s="4" t="s">
        <v>74</v>
      </c>
    </row>
    <row r="1333" spans="1:7" ht="12.75">
      <c r="A1333" s="98" t="s">
        <v>2047</v>
      </c>
      <c r="B1333" s="98"/>
      <c r="C1333" s="98" t="s">
        <v>428</v>
      </c>
      <c r="D1333" s="4" t="s">
        <v>428</v>
      </c>
      <c r="E1333" s="7">
        <v>38</v>
      </c>
      <c r="F1333" s="7">
        <v>96</v>
      </c>
      <c r="G1333" s="4" t="s">
        <v>74</v>
      </c>
    </row>
    <row r="1334" spans="1:7" ht="12.75">
      <c r="A1334" s="98" t="s">
        <v>2048</v>
      </c>
      <c r="B1334" s="98"/>
      <c r="C1334" s="98" t="s">
        <v>428</v>
      </c>
      <c r="D1334" s="4" t="s">
        <v>428</v>
      </c>
      <c r="E1334" s="7">
        <v>38</v>
      </c>
      <c r="F1334" s="7">
        <v>96</v>
      </c>
      <c r="G1334" s="4" t="s">
        <v>74</v>
      </c>
    </row>
    <row r="1335" spans="1:7" ht="12.75">
      <c r="A1335" s="98" t="s">
        <v>2049</v>
      </c>
      <c r="B1335" s="98"/>
      <c r="C1335" s="98" t="s">
        <v>428</v>
      </c>
      <c r="D1335" s="4" t="s">
        <v>428</v>
      </c>
      <c r="E1335" s="7">
        <v>38</v>
      </c>
      <c r="F1335" s="7">
        <v>96</v>
      </c>
      <c r="G1335" s="4" t="s">
        <v>74</v>
      </c>
    </row>
    <row r="1336" spans="1:7" ht="12.75">
      <c r="A1336" s="98" t="s">
        <v>2050</v>
      </c>
      <c r="B1336" s="98"/>
      <c r="C1336" s="98" t="s">
        <v>428</v>
      </c>
      <c r="D1336" s="4" t="s">
        <v>428</v>
      </c>
      <c r="E1336" s="7">
        <v>38</v>
      </c>
      <c r="F1336" s="7">
        <v>96</v>
      </c>
      <c r="G1336" s="4" t="s">
        <v>74</v>
      </c>
    </row>
    <row r="1337" spans="1:7" ht="12.75">
      <c r="A1337" s="98" t="s">
        <v>2051</v>
      </c>
      <c r="B1337" s="98"/>
      <c r="C1337" s="98" t="s">
        <v>428</v>
      </c>
      <c r="D1337" s="4" t="s">
        <v>428</v>
      </c>
      <c r="E1337" s="7">
        <v>38</v>
      </c>
      <c r="F1337" s="7">
        <v>96</v>
      </c>
      <c r="G1337" s="4" t="s">
        <v>74</v>
      </c>
    </row>
    <row r="1338" spans="1:7" ht="12.75">
      <c r="A1338" s="98" t="s">
        <v>2052</v>
      </c>
      <c r="B1338" s="98"/>
      <c r="C1338" s="98" t="s">
        <v>428</v>
      </c>
      <c r="D1338" s="4" t="s">
        <v>428</v>
      </c>
      <c r="E1338" s="7">
        <v>38</v>
      </c>
      <c r="F1338" s="7">
        <v>96</v>
      </c>
      <c r="G1338" s="4" t="s">
        <v>74</v>
      </c>
    </row>
    <row r="1339" spans="1:7" ht="12.75">
      <c r="A1339" s="98" t="s">
        <v>2053</v>
      </c>
      <c r="B1339" s="98" t="s">
        <v>1238</v>
      </c>
      <c r="C1339" s="98"/>
      <c r="D1339" s="4" t="s">
        <v>1238</v>
      </c>
      <c r="E1339" s="7">
        <v>500</v>
      </c>
      <c r="F1339" s="7">
        <v>5000</v>
      </c>
      <c r="G1339" s="4" t="s">
        <v>74</v>
      </c>
    </row>
    <row r="1340" spans="1:7" ht="12.75">
      <c r="A1340" s="98" t="s">
        <v>2054</v>
      </c>
      <c r="B1340" s="98"/>
      <c r="C1340" s="98" t="s">
        <v>512</v>
      </c>
      <c r="D1340" s="4" t="s">
        <v>512</v>
      </c>
      <c r="E1340" s="7">
        <v>5950</v>
      </c>
      <c r="F1340" s="7">
        <v>10539</v>
      </c>
      <c r="G1340" s="4" t="s">
        <v>74</v>
      </c>
    </row>
    <row r="1341" spans="1:7" ht="12.75">
      <c r="A1341" s="98" t="s">
        <v>2055</v>
      </c>
      <c r="B1341" s="98"/>
      <c r="C1341" s="98" t="s">
        <v>428</v>
      </c>
      <c r="D1341" s="4" t="s">
        <v>428</v>
      </c>
      <c r="E1341" s="7">
        <v>38</v>
      </c>
      <c r="F1341" s="7">
        <v>96</v>
      </c>
      <c r="G1341" s="4" t="s">
        <v>74</v>
      </c>
    </row>
    <row r="1342" spans="1:7" ht="12.75">
      <c r="A1342" s="98" t="s">
        <v>2056</v>
      </c>
      <c r="B1342" s="98"/>
      <c r="C1342" s="98" t="s">
        <v>428</v>
      </c>
      <c r="D1342" s="4" t="s">
        <v>428</v>
      </c>
      <c r="E1342" s="7">
        <v>38</v>
      </c>
      <c r="F1342" s="7">
        <v>96</v>
      </c>
      <c r="G1342" s="4" t="s">
        <v>74</v>
      </c>
    </row>
    <row r="1343" spans="1:7" ht="12.75">
      <c r="A1343" s="98" t="s">
        <v>2057</v>
      </c>
      <c r="B1343" s="98" t="s">
        <v>2058</v>
      </c>
      <c r="C1343" s="98"/>
      <c r="D1343" s="4" t="s">
        <v>2058</v>
      </c>
      <c r="E1343" s="7">
        <v>2250</v>
      </c>
      <c r="F1343" s="7">
        <v>3068</v>
      </c>
      <c r="G1343" s="4" t="s">
        <v>74</v>
      </c>
    </row>
    <row r="1344" spans="1:7" ht="12.75">
      <c r="A1344" s="98" t="s">
        <v>2059</v>
      </c>
      <c r="B1344" s="98"/>
      <c r="C1344" s="98" t="s">
        <v>428</v>
      </c>
      <c r="D1344" s="4" t="s">
        <v>428</v>
      </c>
      <c r="E1344" s="7">
        <v>38</v>
      </c>
      <c r="F1344" s="7">
        <v>96</v>
      </c>
      <c r="G1344" s="4" t="s">
        <v>74</v>
      </c>
    </row>
    <row r="1345" spans="1:7" ht="12.75">
      <c r="A1345" s="98" t="s">
        <v>2060</v>
      </c>
      <c r="B1345" s="98"/>
      <c r="C1345" s="98" t="s">
        <v>428</v>
      </c>
      <c r="D1345" s="4" t="s">
        <v>428</v>
      </c>
      <c r="E1345" s="7">
        <v>38</v>
      </c>
      <c r="F1345" s="7">
        <v>96</v>
      </c>
      <c r="G1345" s="4" t="s">
        <v>74</v>
      </c>
    </row>
    <row r="1346" spans="1:7" ht="12.75">
      <c r="A1346" s="98" t="s">
        <v>2061</v>
      </c>
      <c r="B1346" s="98"/>
      <c r="C1346" s="98" t="s">
        <v>428</v>
      </c>
      <c r="D1346" s="4" t="s">
        <v>428</v>
      </c>
      <c r="E1346" s="7">
        <v>38</v>
      </c>
      <c r="F1346" s="7">
        <v>96</v>
      </c>
      <c r="G1346" s="4" t="s">
        <v>74</v>
      </c>
    </row>
    <row r="1347" spans="1:7" ht="12.75">
      <c r="A1347" s="98" t="s">
        <v>2062</v>
      </c>
      <c r="B1347" s="98"/>
      <c r="C1347" s="98" t="s">
        <v>512</v>
      </c>
      <c r="D1347" s="4" t="s">
        <v>512</v>
      </c>
      <c r="E1347" s="7">
        <v>5950</v>
      </c>
      <c r="F1347" s="7">
        <v>10539</v>
      </c>
      <c r="G1347" s="4" t="s">
        <v>74</v>
      </c>
    </row>
    <row r="1348" spans="1:7" ht="12.75">
      <c r="A1348" s="98" t="s">
        <v>2063</v>
      </c>
      <c r="B1348" s="98"/>
      <c r="C1348" s="98" t="s">
        <v>428</v>
      </c>
      <c r="D1348" s="4" t="s">
        <v>428</v>
      </c>
      <c r="E1348" s="7">
        <v>38</v>
      </c>
      <c r="F1348" s="7">
        <v>96</v>
      </c>
      <c r="G1348" s="4" t="s">
        <v>74</v>
      </c>
    </row>
    <row r="1349" spans="1:7" ht="12.75">
      <c r="A1349" s="98" t="s">
        <v>2064</v>
      </c>
      <c r="B1349" s="98"/>
      <c r="C1349" s="98" t="s">
        <v>428</v>
      </c>
      <c r="D1349" s="4" t="s">
        <v>428</v>
      </c>
      <c r="E1349" s="7">
        <v>38</v>
      </c>
      <c r="F1349" s="7">
        <v>96</v>
      </c>
      <c r="G1349" s="4" t="s">
        <v>74</v>
      </c>
    </row>
    <row r="1350" spans="1:7" ht="12.75">
      <c r="A1350" s="98" t="s">
        <v>2065</v>
      </c>
      <c r="B1350" s="98" t="s">
        <v>2066</v>
      </c>
      <c r="C1350" s="98"/>
      <c r="D1350" s="4" t="s">
        <v>2066</v>
      </c>
      <c r="E1350" s="7">
        <v>618</v>
      </c>
      <c r="F1350" s="7">
        <v>618</v>
      </c>
      <c r="G1350" s="4" t="s">
        <v>74</v>
      </c>
    </row>
    <row r="1351" spans="1:7" ht="12.75">
      <c r="A1351" s="98" t="s">
        <v>2067</v>
      </c>
      <c r="B1351" s="98"/>
      <c r="C1351" s="98" t="s">
        <v>512</v>
      </c>
      <c r="D1351" s="4" t="s">
        <v>512</v>
      </c>
      <c r="E1351" s="7">
        <v>5950</v>
      </c>
      <c r="F1351" s="7">
        <v>10539</v>
      </c>
      <c r="G1351" s="4" t="s">
        <v>74</v>
      </c>
    </row>
    <row r="1352" spans="1:7" ht="12.75">
      <c r="A1352" s="98" t="s">
        <v>2068</v>
      </c>
      <c r="B1352" s="98"/>
      <c r="C1352" s="98" t="s">
        <v>428</v>
      </c>
      <c r="D1352" s="4" t="s">
        <v>428</v>
      </c>
      <c r="E1352" s="7">
        <v>38</v>
      </c>
      <c r="F1352" s="7">
        <v>96</v>
      </c>
      <c r="G1352" s="4" t="s">
        <v>74</v>
      </c>
    </row>
    <row r="1353" spans="1:7" ht="12.75">
      <c r="A1353" s="98" t="s">
        <v>2069</v>
      </c>
      <c r="B1353" s="98" t="s">
        <v>2070</v>
      </c>
      <c r="C1353" s="98"/>
      <c r="D1353" s="4" t="s">
        <v>2070</v>
      </c>
      <c r="E1353" s="7">
        <v>3000000</v>
      </c>
      <c r="F1353" s="7">
        <v>3000000</v>
      </c>
      <c r="G1353" s="4" t="s">
        <v>74</v>
      </c>
    </row>
    <row r="1354" spans="1:7" ht="12.75">
      <c r="A1354" s="98" t="s">
        <v>2071</v>
      </c>
      <c r="B1354" s="98"/>
      <c r="C1354" s="98" t="s">
        <v>428</v>
      </c>
      <c r="D1354" s="4" t="s">
        <v>428</v>
      </c>
      <c r="E1354" s="7">
        <v>38</v>
      </c>
      <c r="F1354" s="7">
        <v>96</v>
      </c>
      <c r="G1354" s="4" t="s">
        <v>74</v>
      </c>
    </row>
    <row r="1355" spans="1:7" ht="12.75">
      <c r="A1355" s="98" t="s">
        <v>2072</v>
      </c>
      <c r="B1355" s="98"/>
      <c r="C1355" s="98" t="s">
        <v>428</v>
      </c>
      <c r="D1355" s="4" t="s">
        <v>428</v>
      </c>
      <c r="E1355" s="7">
        <v>38</v>
      </c>
      <c r="F1355" s="7">
        <v>96</v>
      </c>
      <c r="G1355" s="4" t="s">
        <v>74</v>
      </c>
    </row>
    <row r="1356" spans="1:7" ht="12.75">
      <c r="A1356" s="98" t="s">
        <v>2073</v>
      </c>
      <c r="B1356" s="98"/>
      <c r="C1356" s="98" t="s">
        <v>512</v>
      </c>
      <c r="D1356" s="4" t="s">
        <v>512</v>
      </c>
      <c r="E1356" s="7">
        <v>5950</v>
      </c>
      <c r="F1356" s="7">
        <v>10539</v>
      </c>
      <c r="G1356" s="4" t="s">
        <v>74</v>
      </c>
    </row>
    <row r="1357" spans="1:7" ht="12.75">
      <c r="A1357" s="98" t="s">
        <v>2074</v>
      </c>
      <c r="B1357" s="98"/>
      <c r="C1357" s="98" t="s">
        <v>428</v>
      </c>
      <c r="D1357" s="4" t="s">
        <v>428</v>
      </c>
      <c r="E1357" s="7">
        <v>38</v>
      </c>
      <c r="F1357" s="7">
        <v>96</v>
      </c>
      <c r="G1357" s="4" t="s">
        <v>74</v>
      </c>
    </row>
    <row r="1358" spans="1:7" ht="12.75">
      <c r="A1358" s="98" t="s">
        <v>2075</v>
      </c>
      <c r="B1358" s="98"/>
      <c r="C1358" s="98" t="s">
        <v>428</v>
      </c>
      <c r="D1358" s="4" t="s">
        <v>428</v>
      </c>
      <c r="E1358" s="7">
        <v>38</v>
      </c>
      <c r="F1358" s="7">
        <v>96</v>
      </c>
      <c r="G1358" s="4" t="s">
        <v>74</v>
      </c>
    </row>
    <row r="1359" spans="1:7" ht="12.75">
      <c r="A1359" s="98" t="s">
        <v>2076</v>
      </c>
      <c r="B1359" s="98"/>
      <c r="C1359" s="98" t="s">
        <v>428</v>
      </c>
      <c r="D1359" s="4" t="s">
        <v>428</v>
      </c>
      <c r="E1359" s="7">
        <v>38</v>
      </c>
      <c r="F1359" s="7">
        <v>96</v>
      </c>
      <c r="G1359" s="4" t="s">
        <v>74</v>
      </c>
    </row>
    <row r="1360" spans="1:7" ht="12.75">
      <c r="A1360" s="98" t="s">
        <v>2077</v>
      </c>
      <c r="B1360" s="98"/>
      <c r="C1360" s="98" t="s">
        <v>428</v>
      </c>
      <c r="D1360" s="4" t="s">
        <v>428</v>
      </c>
      <c r="E1360" s="7">
        <v>38</v>
      </c>
      <c r="F1360" s="7">
        <v>96</v>
      </c>
      <c r="G1360" s="4" t="s">
        <v>74</v>
      </c>
    </row>
    <row r="1361" spans="1:7" ht="12.75">
      <c r="A1361" s="98" t="s">
        <v>2078</v>
      </c>
      <c r="B1361" s="98"/>
      <c r="C1361" s="98" t="s">
        <v>428</v>
      </c>
      <c r="D1361" s="4" t="s">
        <v>428</v>
      </c>
      <c r="E1361" s="7">
        <v>38</v>
      </c>
      <c r="F1361" s="7">
        <v>96</v>
      </c>
      <c r="G1361" s="4" t="s">
        <v>74</v>
      </c>
    </row>
    <row r="1362" spans="1:7" ht="12.75">
      <c r="A1362" s="98" t="s">
        <v>2079</v>
      </c>
      <c r="B1362" s="98"/>
      <c r="C1362" s="98" t="s">
        <v>512</v>
      </c>
      <c r="D1362" s="4" t="s">
        <v>512</v>
      </c>
      <c r="E1362" s="7">
        <v>5950</v>
      </c>
      <c r="F1362" s="7">
        <v>10539</v>
      </c>
      <c r="G1362" s="4" t="s">
        <v>74</v>
      </c>
    </row>
    <row r="1363" spans="1:7" ht="12.75">
      <c r="A1363" s="98" t="s">
        <v>2080</v>
      </c>
      <c r="B1363" s="98"/>
      <c r="C1363" s="98" t="s">
        <v>428</v>
      </c>
      <c r="D1363" s="4" t="s">
        <v>428</v>
      </c>
      <c r="E1363" s="7">
        <v>38</v>
      </c>
      <c r="F1363" s="7">
        <v>96</v>
      </c>
      <c r="G1363" s="4" t="s">
        <v>74</v>
      </c>
    </row>
    <row r="1364" spans="1:7" ht="12.75">
      <c r="A1364" s="98" t="s">
        <v>2081</v>
      </c>
      <c r="B1364" s="98"/>
      <c r="C1364" s="98" t="s">
        <v>428</v>
      </c>
      <c r="D1364" s="4" t="s">
        <v>428</v>
      </c>
      <c r="E1364" s="7">
        <v>38</v>
      </c>
      <c r="F1364" s="7">
        <v>96</v>
      </c>
      <c r="G1364" s="4" t="s">
        <v>74</v>
      </c>
    </row>
    <row r="1365" spans="1:7" ht="12.75">
      <c r="A1365" s="98" t="s">
        <v>2082</v>
      </c>
      <c r="B1365" s="98"/>
      <c r="C1365" s="98" t="s">
        <v>428</v>
      </c>
      <c r="D1365" s="4" t="s">
        <v>428</v>
      </c>
      <c r="E1365" s="7">
        <v>38</v>
      </c>
      <c r="F1365" s="7">
        <v>96</v>
      </c>
      <c r="G1365" s="4" t="s">
        <v>74</v>
      </c>
    </row>
    <row r="1366" spans="1:7" ht="12.75">
      <c r="A1366" s="98" t="s">
        <v>2083</v>
      </c>
      <c r="B1366" s="98"/>
      <c r="C1366" s="98" t="s">
        <v>428</v>
      </c>
      <c r="D1366" s="4" t="s">
        <v>428</v>
      </c>
      <c r="E1366" s="7">
        <v>38</v>
      </c>
      <c r="F1366" s="7">
        <v>96</v>
      </c>
      <c r="G1366" s="4" t="s">
        <v>74</v>
      </c>
    </row>
    <row r="1367" spans="1:7" ht="12.75">
      <c r="A1367" s="98" t="s">
        <v>2084</v>
      </c>
      <c r="B1367" s="98" t="s">
        <v>2085</v>
      </c>
      <c r="C1367" s="98"/>
      <c r="D1367" s="4" t="s">
        <v>2085</v>
      </c>
      <c r="E1367" s="7">
        <v>44</v>
      </c>
      <c r="F1367" s="7">
        <v>60</v>
      </c>
      <c r="G1367" s="4" t="s">
        <v>74</v>
      </c>
    </row>
    <row r="1368" spans="1:7" ht="12.75">
      <c r="A1368" s="98" t="s">
        <v>2086</v>
      </c>
      <c r="B1368" s="98"/>
      <c r="C1368" s="98" t="s">
        <v>428</v>
      </c>
      <c r="D1368" s="4" t="s">
        <v>428</v>
      </c>
      <c r="E1368" s="7">
        <v>38</v>
      </c>
      <c r="F1368" s="7">
        <v>96</v>
      </c>
      <c r="G1368" s="4" t="s">
        <v>74</v>
      </c>
    </row>
    <row r="1369" spans="1:7" ht="12.75">
      <c r="A1369" s="98" t="s">
        <v>2087</v>
      </c>
      <c r="B1369" s="98"/>
      <c r="C1369" s="98" t="s">
        <v>428</v>
      </c>
      <c r="D1369" s="4" t="s">
        <v>428</v>
      </c>
      <c r="E1369" s="7">
        <v>38</v>
      </c>
      <c r="F1369" s="7">
        <v>96</v>
      </c>
      <c r="G1369" s="4" t="s">
        <v>74</v>
      </c>
    </row>
    <row r="1370" spans="1:7" ht="12.75">
      <c r="A1370" s="98" t="s">
        <v>2088</v>
      </c>
      <c r="B1370" s="98"/>
      <c r="C1370" s="98" t="s">
        <v>428</v>
      </c>
      <c r="D1370" s="4" t="s">
        <v>428</v>
      </c>
      <c r="E1370" s="7">
        <v>38</v>
      </c>
      <c r="F1370" s="7">
        <v>96</v>
      </c>
      <c r="G1370" s="4" t="s">
        <v>74</v>
      </c>
    </row>
    <row r="1371" spans="1:7" ht="12.75">
      <c r="A1371" s="98" t="s">
        <v>2089</v>
      </c>
      <c r="B1371" s="98"/>
      <c r="C1371" s="98" t="s">
        <v>428</v>
      </c>
      <c r="D1371" s="4" t="s">
        <v>428</v>
      </c>
      <c r="E1371" s="7">
        <v>38</v>
      </c>
      <c r="F1371" s="7">
        <v>96</v>
      </c>
      <c r="G1371" s="4" t="s">
        <v>74</v>
      </c>
    </row>
    <row r="1372" spans="1:7" ht="12.75">
      <c r="A1372" s="98" t="s">
        <v>2090</v>
      </c>
      <c r="B1372" s="98"/>
      <c r="C1372" s="98" t="s">
        <v>428</v>
      </c>
      <c r="D1372" s="4" t="s">
        <v>428</v>
      </c>
      <c r="E1372" s="7">
        <v>38</v>
      </c>
      <c r="F1372" s="7">
        <v>96</v>
      </c>
      <c r="G1372" s="4" t="s">
        <v>74</v>
      </c>
    </row>
    <row r="1373" spans="1:7" ht="12.75">
      <c r="A1373" s="98" t="s">
        <v>2091</v>
      </c>
      <c r="B1373" s="98"/>
      <c r="C1373" s="98" t="s">
        <v>428</v>
      </c>
      <c r="D1373" s="4" t="s">
        <v>428</v>
      </c>
      <c r="E1373" s="7">
        <v>38</v>
      </c>
      <c r="F1373" s="7">
        <v>96</v>
      </c>
      <c r="G1373" s="4" t="s">
        <v>74</v>
      </c>
    </row>
    <row r="1374" spans="1:7" ht="12.75">
      <c r="A1374" s="98" t="s">
        <v>2092</v>
      </c>
      <c r="B1374" s="98"/>
      <c r="C1374" s="98" t="s">
        <v>428</v>
      </c>
      <c r="D1374" s="4" t="s">
        <v>428</v>
      </c>
      <c r="E1374" s="7">
        <v>38</v>
      </c>
      <c r="F1374" s="7">
        <v>96</v>
      </c>
      <c r="G1374" s="4" t="s">
        <v>74</v>
      </c>
    </row>
    <row r="1375" spans="1:7" ht="12.75">
      <c r="A1375" s="98" t="s">
        <v>2093</v>
      </c>
      <c r="B1375" s="98"/>
      <c r="C1375" s="98" t="s">
        <v>428</v>
      </c>
      <c r="D1375" s="4" t="s">
        <v>428</v>
      </c>
      <c r="E1375" s="7">
        <v>38</v>
      </c>
      <c r="F1375" s="7">
        <v>96</v>
      </c>
      <c r="G1375" s="4" t="s">
        <v>74</v>
      </c>
    </row>
    <row r="1376" spans="1:7" ht="12.75">
      <c r="A1376" s="98" t="s">
        <v>2094</v>
      </c>
      <c r="B1376" s="98"/>
      <c r="C1376" s="98" t="s">
        <v>428</v>
      </c>
      <c r="D1376" s="4" t="s">
        <v>428</v>
      </c>
      <c r="E1376" s="7">
        <v>38</v>
      </c>
      <c r="F1376" s="7">
        <v>96</v>
      </c>
      <c r="G1376" s="4" t="s">
        <v>74</v>
      </c>
    </row>
    <row r="1377" spans="1:7" ht="12.75">
      <c r="A1377" s="98" t="s">
        <v>2095</v>
      </c>
      <c r="B1377" s="98" t="s">
        <v>2096</v>
      </c>
      <c r="C1377" s="98"/>
      <c r="D1377" s="4" t="s">
        <v>2096</v>
      </c>
      <c r="E1377" s="7">
        <v>468</v>
      </c>
      <c r="F1377" s="7">
        <v>468</v>
      </c>
      <c r="G1377" s="4" t="s">
        <v>74</v>
      </c>
    </row>
    <row r="1378" spans="1:7" ht="12.75">
      <c r="A1378" s="98" t="s">
        <v>2097</v>
      </c>
      <c r="B1378" s="98"/>
      <c r="C1378" s="98" t="s">
        <v>428</v>
      </c>
      <c r="D1378" s="4" t="s">
        <v>428</v>
      </c>
      <c r="E1378" s="7">
        <v>38</v>
      </c>
      <c r="F1378" s="7">
        <v>96</v>
      </c>
      <c r="G1378" s="4" t="s">
        <v>74</v>
      </c>
    </row>
    <row r="1379" spans="1:7" ht="12.75">
      <c r="A1379" s="98" t="s">
        <v>2098</v>
      </c>
      <c r="B1379" s="98"/>
      <c r="C1379" s="98" t="s">
        <v>428</v>
      </c>
      <c r="D1379" s="4" t="s">
        <v>428</v>
      </c>
      <c r="E1379" s="7">
        <v>38</v>
      </c>
      <c r="F1379" s="7">
        <v>96</v>
      </c>
      <c r="G1379" s="4" t="s">
        <v>74</v>
      </c>
    </row>
    <row r="1380" spans="1:7" ht="12.75">
      <c r="A1380" s="98" t="s">
        <v>337</v>
      </c>
      <c r="B1380" s="98" t="s">
        <v>2099</v>
      </c>
      <c r="C1380" s="98"/>
      <c r="D1380" s="4" t="s">
        <v>2099</v>
      </c>
      <c r="E1380" s="7">
        <v>15000</v>
      </c>
      <c r="F1380" s="7">
        <v>15000</v>
      </c>
      <c r="G1380" s="4" t="s">
        <v>74</v>
      </c>
    </row>
    <row r="1381" spans="1:7" ht="12.75">
      <c r="A1381" s="98" t="s">
        <v>2100</v>
      </c>
      <c r="B1381" s="98"/>
      <c r="C1381" s="98" t="s">
        <v>428</v>
      </c>
      <c r="D1381" s="4" t="s">
        <v>428</v>
      </c>
      <c r="E1381" s="7">
        <v>38</v>
      </c>
      <c r="F1381" s="7">
        <v>96</v>
      </c>
      <c r="G1381" s="4" t="s">
        <v>74</v>
      </c>
    </row>
    <row r="1382" spans="1:7" ht="12.75">
      <c r="A1382" s="98" t="s">
        <v>2101</v>
      </c>
      <c r="B1382" s="98"/>
      <c r="C1382" s="98" t="s">
        <v>512</v>
      </c>
      <c r="D1382" s="4" t="s">
        <v>512</v>
      </c>
      <c r="E1382" s="7">
        <v>5950</v>
      </c>
      <c r="F1382" s="7">
        <v>10539</v>
      </c>
      <c r="G1382" s="4" t="s">
        <v>74</v>
      </c>
    </row>
    <row r="1383" spans="1:7" ht="12.75">
      <c r="A1383" s="98" t="s">
        <v>2102</v>
      </c>
      <c r="B1383" s="98"/>
      <c r="C1383" s="98" t="s">
        <v>428</v>
      </c>
      <c r="D1383" s="4" t="s">
        <v>428</v>
      </c>
      <c r="E1383" s="7">
        <v>38</v>
      </c>
      <c r="F1383" s="7">
        <v>96</v>
      </c>
      <c r="G1383" s="4" t="s">
        <v>74</v>
      </c>
    </row>
    <row r="1384" spans="1:7" ht="12.75">
      <c r="A1384" s="98" t="s">
        <v>2103</v>
      </c>
      <c r="B1384" s="98"/>
      <c r="C1384" s="98" t="s">
        <v>428</v>
      </c>
      <c r="D1384" s="4" t="s">
        <v>428</v>
      </c>
      <c r="E1384" s="7">
        <v>38</v>
      </c>
      <c r="F1384" s="7">
        <v>96</v>
      </c>
      <c r="G1384" s="4" t="s">
        <v>74</v>
      </c>
    </row>
    <row r="1385" spans="1:7" ht="12.75">
      <c r="A1385" s="98" t="s">
        <v>2104</v>
      </c>
      <c r="B1385" s="98"/>
      <c r="C1385" s="98" t="s">
        <v>428</v>
      </c>
      <c r="D1385" s="4" t="s">
        <v>428</v>
      </c>
      <c r="E1385" s="7">
        <v>38</v>
      </c>
      <c r="F1385" s="7">
        <v>96</v>
      </c>
      <c r="G1385" s="4" t="s">
        <v>74</v>
      </c>
    </row>
    <row r="1386" spans="1:7" ht="12.75">
      <c r="A1386" s="98" t="s">
        <v>2105</v>
      </c>
      <c r="B1386" s="98"/>
      <c r="C1386" s="98" t="s">
        <v>428</v>
      </c>
      <c r="D1386" s="4" t="s">
        <v>428</v>
      </c>
      <c r="E1386" s="7">
        <v>38</v>
      </c>
      <c r="F1386" s="7">
        <v>96</v>
      </c>
      <c r="G1386" s="4" t="s">
        <v>74</v>
      </c>
    </row>
    <row r="1387" spans="1:7" ht="12.75">
      <c r="A1387" s="98" t="s">
        <v>2106</v>
      </c>
      <c r="B1387" s="98"/>
      <c r="C1387" s="98" t="s">
        <v>428</v>
      </c>
      <c r="D1387" s="4" t="s">
        <v>428</v>
      </c>
      <c r="E1387" s="7">
        <v>38</v>
      </c>
      <c r="F1387" s="7">
        <v>96</v>
      </c>
      <c r="G1387" s="4" t="s">
        <v>74</v>
      </c>
    </row>
    <row r="1388" spans="1:7" ht="12.75">
      <c r="A1388" s="98" t="s">
        <v>2107</v>
      </c>
      <c r="B1388" s="98"/>
      <c r="C1388" s="98" t="s">
        <v>428</v>
      </c>
      <c r="D1388" s="4" t="s">
        <v>428</v>
      </c>
      <c r="E1388" s="7">
        <v>38</v>
      </c>
      <c r="F1388" s="7">
        <v>96</v>
      </c>
      <c r="G1388" s="4" t="s">
        <v>74</v>
      </c>
    </row>
    <row r="1389" spans="1:7" ht="12.75">
      <c r="A1389" s="98" t="s">
        <v>2108</v>
      </c>
      <c r="B1389" s="98"/>
      <c r="C1389" s="98" t="s">
        <v>396</v>
      </c>
      <c r="D1389" s="4" t="s">
        <v>396</v>
      </c>
      <c r="E1389" s="7">
        <v>38</v>
      </c>
      <c r="F1389" s="7">
        <v>97</v>
      </c>
      <c r="G1389" s="4" t="s">
        <v>74</v>
      </c>
    </row>
    <row r="1390" spans="1:7" ht="12.75">
      <c r="A1390" s="98" t="s">
        <v>2109</v>
      </c>
      <c r="B1390" s="98"/>
      <c r="C1390" s="98" t="s">
        <v>428</v>
      </c>
      <c r="D1390" s="4" t="s">
        <v>428</v>
      </c>
      <c r="E1390" s="7">
        <v>38</v>
      </c>
      <c r="F1390" s="7">
        <v>96</v>
      </c>
      <c r="G1390" s="4" t="s">
        <v>74</v>
      </c>
    </row>
    <row r="1391" spans="1:7" ht="12.75">
      <c r="A1391" s="98" t="s">
        <v>2110</v>
      </c>
      <c r="B1391" s="98"/>
      <c r="C1391" s="98" t="s">
        <v>428</v>
      </c>
      <c r="D1391" s="4" t="s">
        <v>428</v>
      </c>
      <c r="E1391" s="7">
        <v>38</v>
      </c>
      <c r="F1391" s="7">
        <v>96</v>
      </c>
      <c r="G1391" s="4" t="s">
        <v>74</v>
      </c>
    </row>
    <row r="1392" spans="1:7" ht="12.75">
      <c r="A1392" s="98" t="s">
        <v>2111</v>
      </c>
      <c r="B1392" s="98"/>
      <c r="C1392" s="98" t="s">
        <v>428</v>
      </c>
      <c r="D1392" s="4" t="s">
        <v>428</v>
      </c>
      <c r="E1392" s="7">
        <v>38</v>
      </c>
      <c r="F1392" s="7">
        <v>96</v>
      </c>
      <c r="G1392" s="4" t="s">
        <v>74</v>
      </c>
    </row>
    <row r="1393" spans="1:7" ht="12.75">
      <c r="A1393" s="98" t="s">
        <v>2112</v>
      </c>
      <c r="B1393" s="98"/>
      <c r="C1393" s="98" t="s">
        <v>428</v>
      </c>
      <c r="D1393" s="4" t="s">
        <v>428</v>
      </c>
      <c r="E1393" s="7">
        <v>38</v>
      </c>
      <c r="F1393" s="7">
        <v>96</v>
      </c>
      <c r="G1393" s="4" t="s">
        <v>74</v>
      </c>
    </row>
    <row r="1394" spans="1:7" ht="12.75">
      <c r="A1394" s="98" t="s">
        <v>2113</v>
      </c>
      <c r="B1394" s="98"/>
      <c r="C1394" s="98" t="s">
        <v>428</v>
      </c>
      <c r="D1394" s="4" t="s">
        <v>428</v>
      </c>
      <c r="E1394" s="7">
        <v>38</v>
      </c>
      <c r="F1394" s="7">
        <v>96</v>
      </c>
      <c r="G1394" s="4" t="s">
        <v>74</v>
      </c>
    </row>
    <row r="1395" spans="1:7" ht="12.75">
      <c r="A1395" s="98" t="s">
        <v>2114</v>
      </c>
      <c r="B1395" s="98"/>
      <c r="C1395" s="98" t="s">
        <v>512</v>
      </c>
      <c r="D1395" s="4" t="s">
        <v>512</v>
      </c>
      <c r="E1395" s="7">
        <v>5950</v>
      </c>
      <c r="F1395" s="7">
        <v>10539</v>
      </c>
      <c r="G1395" s="4" t="s">
        <v>74</v>
      </c>
    </row>
    <row r="1396" spans="1:7" ht="12.75">
      <c r="A1396" s="98" t="s">
        <v>2115</v>
      </c>
      <c r="B1396" s="98"/>
      <c r="C1396" s="98" t="s">
        <v>428</v>
      </c>
      <c r="D1396" s="4" t="s">
        <v>428</v>
      </c>
      <c r="E1396" s="7">
        <v>38</v>
      </c>
      <c r="F1396" s="7">
        <v>96</v>
      </c>
      <c r="G1396" s="4" t="s">
        <v>74</v>
      </c>
    </row>
    <row r="1397" spans="1:7" ht="12.75">
      <c r="A1397" s="98" t="s">
        <v>2116</v>
      </c>
      <c r="B1397" s="98"/>
      <c r="C1397" s="98" t="s">
        <v>512</v>
      </c>
      <c r="D1397" s="4" t="s">
        <v>512</v>
      </c>
      <c r="E1397" s="7">
        <v>5950</v>
      </c>
      <c r="F1397" s="7">
        <v>10539</v>
      </c>
      <c r="G1397" s="4" t="s">
        <v>74</v>
      </c>
    </row>
    <row r="1398" spans="1:7" ht="12.75">
      <c r="A1398" s="98" t="s">
        <v>2117</v>
      </c>
      <c r="B1398" s="98"/>
      <c r="C1398" s="98" t="s">
        <v>512</v>
      </c>
      <c r="D1398" s="4" t="s">
        <v>512</v>
      </c>
      <c r="E1398" s="7">
        <v>5950</v>
      </c>
      <c r="F1398" s="7">
        <v>10539</v>
      </c>
      <c r="G1398" s="4" t="s">
        <v>74</v>
      </c>
    </row>
    <row r="1399" spans="1:7" ht="12.75">
      <c r="A1399" s="98" t="s">
        <v>2118</v>
      </c>
      <c r="B1399" s="98"/>
      <c r="C1399" s="98" t="s">
        <v>428</v>
      </c>
      <c r="D1399" s="4" t="s">
        <v>428</v>
      </c>
      <c r="E1399" s="7">
        <v>38</v>
      </c>
      <c r="F1399" s="7">
        <v>96</v>
      </c>
      <c r="G1399" s="4" t="s">
        <v>74</v>
      </c>
    </row>
    <row r="1400" spans="1:7" ht="12.75">
      <c r="A1400" s="98" t="s">
        <v>2119</v>
      </c>
      <c r="B1400" s="98"/>
      <c r="C1400" s="98" t="s">
        <v>428</v>
      </c>
      <c r="D1400" s="4" t="s">
        <v>428</v>
      </c>
      <c r="E1400" s="7">
        <v>38</v>
      </c>
      <c r="F1400" s="7">
        <v>96</v>
      </c>
      <c r="G1400" s="4" t="s">
        <v>74</v>
      </c>
    </row>
    <row r="1401" spans="1:7" ht="12.75">
      <c r="A1401" s="98" t="s">
        <v>2120</v>
      </c>
      <c r="B1401" s="98"/>
      <c r="C1401" s="98" t="s">
        <v>428</v>
      </c>
      <c r="D1401" s="4" t="s">
        <v>428</v>
      </c>
      <c r="E1401" s="7">
        <v>38</v>
      </c>
      <c r="F1401" s="7">
        <v>96</v>
      </c>
      <c r="G1401" s="4" t="s">
        <v>74</v>
      </c>
    </row>
    <row r="1402" spans="1:7" ht="12.75">
      <c r="A1402" s="98" t="s">
        <v>2121</v>
      </c>
      <c r="B1402" s="98"/>
      <c r="C1402" s="98" t="s">
        <v>428</v>
      </c>
      <c r="D1402" s="4" t="s">
        <v>428</v>
      </c>
      <c r="E1402" s="7">
        <v>38</v>
      </c>
      <c r="F1402" s="7">
        <v>96</v>
      </c>
      <c r="G1402" s="4" t="s">
        <v>74</v>
      </c>
    </row>
    <row r="1403" spans="1:7" ht="12.75">
      <c r="A1403" s="98" t="s">
        <v>2122</v>
      </c>
      <c r="B1403" s="98" t="s">
        <v>2123</v>
      </c>
      <c r="C1403" s="98"/>
      <c r="D1403" s="4" t="s">
        <v>2123</v>
      </c>
      <c r="E1403" s="7">
        <v>951</v>
      </c>
      <c r="F1403" s="7">
        <v>951</v>
      </c>
      <c r="G1403" s="4" t="s">
        <v>74</v>
      </c>
    </row>
    <row r="1404" spans="1:7" ht="12.75">
      <c r="A1404" s="98" t="s">
        <v>2124</v>
      </c>
      <c r="B1404" s="98"/>
      <c r="C1404" s="98" t="s">
        <v>428</v>
      </c>
      <c r="D1404" s="4" t="s">
        <v>428</v>
      </c>
      <c r="E1404" s="7">
        <v>38</v>
      </c>
      <c r="F1404" s="7">
        <v>96</v>
      </c>
      <c r="G1404" s="4" t="s">
        <v>74</v>
      </c>
    </row>
    <row r="1405" spans="1:7" ht="12.75">
      <c r="A1405" s="98" t="s">
        <v>2125</v>
      </c>
      <c r="B1405" s="98"/>
      <c r="C1405" s="98" t="s">
        <v>428</v>
      </c>
      <c r="D1405" s="4" t="s">
        <v>428</v>
      </c>
      <c r="E1405" s="7">
        <v>38</v>
      </c>
      <c r="F1405" s="7">
        <v>96</v>
      </c>
      <c r="G1405" s="4" t="s">
        <v>74</v>
      </c>
    </row>
    <row r="1406" spans="1:7" ht="12.75">
      <c r="A1406" s="98" t="s">
        <v>2126</v>
      </c>
      <c r="B1406" s="98"/>
      <c r="C1406" s="98" t="s">
        <v>428</v>
      </c>
      <c r="D1406" s="4" t="s">
        <v>428</v>
      </c>
      <c r="E1406" s="7">
        <v>38</v>
      </c>
      <c r="F1406" s="7">
        <v>96</v>
      </c>
      <c r="G1406" s="4" t="s">
        <v>74</v>
      </c>
    </row>
    <row r="1407" spans="1:7" ht="12.75">
      <c r="A1407" s="98" t="s">
        <v>2127</v>
      </c>
      <c r="B1407" s="98"/>
      <c r="C1407" s="98" t="s">
        <v>428</v>
      </c>
      <c r="D1407" s="4" t="s">
        <v>428</v>
      </c>
      <c r="E1407" s="7">
        <v>38</v>
      </c>
      <c r="F1407" s="7">
        <v>96</v>
      </c>
      <c r="G1407" s="4" t="s">
        <v>74</v>
      </c>
    </row>
    <row r="1408" spans="1:7" ht="12.75">
      <c r="A1408" s="98" t="s">
        <v>2128</v>
      </c>
      <c r="B1408" s="98"/>
      <c r="C1408" s="98" t="s">
        <v>428</v>
      </c>
      <c r="D1408" s="4" t="s">
        <v>428</v>
      </c>
      <c r="E1408" s="7">
        <v>38</v>
      </c>
      <c r="F1408" s="7">
        <v>96</v>
      </c>
      <c r="G1408" s="4" t="s">
        <v>74</v>
      </c>
    </row>
    <row r="1409" spans="1:7" ht="12.75">
      <c r="A1409" s="98" t="s">
        <v>2129</v>
      </c>
      <c r="B1409" s="98"/>
      <c r="C1409" s="98" t="s">
        <v>428</v>
      </c>
      <c r="D1409" s="4" t="s">
        <v>428</v>
      </c>
      <c r="E1409" s="7">
        <v>38</v>
      </c>
      <c r="F1409" s="7">
        <v>96</v>
      </c>
      <c r="G1409" s="4" t="s">
        <v>74</v>
      </c>
    </row>
    <row r="1410" spans="1:7" ht="12.75">
      <c r="A1410" s="98" t="s">
        <v>2130</v>
      </c>
      <c r="B1410" s="98"/>
      <c r="C1410" s="98" t="s">
        <v>428</v>
      </c>
      <c r="D1410" s="4" t="s">
        <v>428</v>
      </c>
      <c r="E1410" s="7">
        <v>38</v>
      </c>
      <c r="F1410" s="7">
        <v>96</v>
      </c>
      <c r="G1410" s="4" t="s">
        <v>74</v>
      </c>
    </row>
    <row r="1411" spans="1:7" ht="12.75">
      <c r="A1411" s="98" t="s">
        <v>2131</v>
      </c>
      <c r="B1411" s="98" t="s">
        <v>2132</v>
      </c>
      <c r="C1411" s="98"/>
      <c r="D1411" s="4" t="s">
        <v>2132</v>
      </c>
      <c r="E1411" s="7">
        <v>109</v>
      </c>
      <c r="F1411" s="7">
        <v>149</v>
      </c>
      <c r="G1411" s="4" t="s">
        <v>74</v>
      </c>
    </row>
    <row r="1412" spans="1:7" ht="12.75">
      <c r="A1412" s="98" t="s">
        <v>2133</v>
      </c>
      <c r="B1412" s="98"/>
      <c r="C1412" s="98" t="s">
        <v>428</v>
      </c>
      <c r="D1412" s="4" t="s">
        <v>428</v>
      </c>
      <c r="E1412" s="7">
        <v>38</v>
      </c>
      <c r="F1412" s="7">
        <v>96</v>
      </c>
      <c r="G1412" s="4" t="s">
        <v>74</v>
      </c>
    </row>
    <row r="1413" spans="1:7" ht="12.75">
      <c r="A1413" s="98" t="s">
        <v>2134</v>
      </c>
      <c r="B1413" s="98"/>
      <c r="C1413" s="98" t="s">
        <v>512</v>
      </c>
      <c r="D1413" s="4" t="s">
        <v>512</v>
      </c>
      <c r="E1413" s="7">
        <v>5950</v>
      </c>
      <c r="F1413" s="7">
        <v>10539</v>
      </c>
      <c r="G1413" s="4" t="s">
        <v>74</v>
      </c>
    </row>
    <row r="1414" spans="1:7" ht="12.75">
      <c r="A1414" s="98" t="s">
        <v>2135</v>
      </c>
      <c r="B1414" s="98"/>
      <c r="C1414" s="98" t="s">
        <v>428</v>
      </c>
      <c r="D1414" s="4" t="s">
        <v>428</v>
      </c>
      <c r="E1414" s="7">
        <v>38</v>
      </c>
      <c r="F1414" s="7">
        <v>96</v>
      </c>
      <c r="G1414" s="4" t="s">
        <v>74</v>
      </c>
    </row>
    <row r="1415" spans="1:7" ht="12.75">
      <c r="A1415" s="98" t="s">
        <v>2136</v>
      </c>
      <c r="B1415" s="98"/>
      <c r="C1415" s="98" t="s">
        <v>428</v>
      </c>
      <c r="D1415" s="4" t="s">
        <v>428</v>
      </c>
      <c r="E1415" s="7">
        <v>38</v>
      </c>
      <c r="F1415" s="7">
        <v>96</v>
      </c>
      <c r="G1415" s="4" t="s">
        <v>74</v>
      </c>
    </row>
    <row r="1416" spans="1:7" ht="12.75">
      <c r="A1416" s="98" t="s">
        <v>2137</v>
      </c>
      <c r="B1416" s="98" t="s">
        <v>2138</v>
      </c>
      <c r="C1416" s="98"/>
      <c r="D1416" s="4" t="s">
        <v>2138</v>
      </c>
      <c r="E1416" s="7">
        <v>1201</v>
      </c>
      <c r="F1416" s="7">
        <v>1731</v>
      </c>
      <c r="G1416" s="4" t="s">
        <v>74</v>
      </c>
    </row>
    <row r="1417" spans="1:7" ht="12.75">
      <c r="A1417" s="98" t="s">
        <v>2139</v>
      </c>
      <c r="B1417" s="98"/>
      <c r="C1417" s="98" t="s">
        <v>428</v>
      </c>
      <c r="D1417" s="4" t="s">
        <v>428</v>
      </c>
      <c r="E1417" s="7">
        <v>38</v>
      </c>
      <c r="F1417" s="7">
        <v>96</v>
      </c>
      <c r="G1417" s="4" t="s">
        <v>74</v>
      </c>
    </row>
    <row r="1418" spans="1:7" ht="12.75">
      <c r="A1418" s="98" t="s">
        <v>2140</v>
      </c>
      <c r="B1418" s="98"/>
      <c r="C1418" s="98" t="s">
        <v>428</v>
      </c>
      <c r="D1418" s="4" t="s">
        <v>428</v>
      </c>
      <c r="E1418" s="7">
        <v>38</v>
      </c>
      <c r="F1418" s="7">
        <v>96</v>
      </c>
      <c r="G1418" s="4" t="s">
        <v>74</v>
      </c>
    </row>
    <row r="1419" spans="1:7" ht="12.75">
      <c r="A1419" s="98" t="s">
        <v>2141</v>
      </c>
      <c r="B1419" s="98"/>
      <c r="C1419" s="98" t="s">
        <v>428</v>
      </c>
      <c r="D1419" s="4" t="s">
        <v>428</v>
      </c>
      <c r="E1419" s="7">
        <v>38</v>
      </c>
      <c r="F1419" s="7">
        <v>96</v>
      </c>
      <c r="G1419" s="4" t="s">
        <v>74</v>
      </c>
    </row>
    <row r="1420" spans="1:7" ht="12.75">
      <c r="A1420" s="98" t="s">
        <v>2142</v>
      </c>
      <c r="B1420" s="98"/>
      <c r="C1420" s="98" t="s">
        <v>428</v>
      </c>
      <c r="D1420" s="4" t="s">
        <v>428</v>
      </c>
      <c r="E1420" s="7">
        <v>38</v>
      </c>
      <c r="F1420" s="7">
        <v>96</v>
      </c>
      <c r="G1420" s="4" t="s">
        <v>74</v>
      </c>
    </row>
    <row r="1421" spans="1:7" ht="12.75">
      <c r="A1421" s="98" t="s">
        <v>2143</v>
      </c>
      <c r="B1421" s="98"/>
      <c r="C1421" s="98" t="s">
        <v>428</v>
      </c>
      <c r="D1421" s="4" t="s">
        <v>428</v>
      </c>
      <c r="E1421" s="7">
        <v>38</v>
      </c>
      <c r="F1421" s="7">
        <v>96</v>
      </c>
      <c r="G1421" s="4" t="s">
        <v>74</v>
      </c>
    </row>
    <row r="1422" spans="1:7" ht="12.75">
      <c r="A1422" s="98" t="s">
        <v>2144</v>
      </c>
      <c r="B1422" s="98" t="s">
        <v>2138</v>
      </c>
      <c r="C1422" s="98"/>
      <c r="D1422" s="4" t="s">
        <v>2138</v>
      </c>
      <c r="E1422" s="7">
        <v>1201</v>
      </c>
      <c r="F1422" s="7">
        <v>1731</v>
      </c>
      <c r="G1422" s="4" t="s">
        <v>74</v>
      </c>
    </row>
    <row r="1423" spans="1:7" ht="12.75">
      <c r="A1423" s="98" t="s">
        <v>2145</v>
      </c>
      <c r="B1423" s="98"/>
      <c r="C1423" s="98" t="s">
        <v>428</v>
      </c>
      <c r="D1423" s="4" t="s">
        <v>428</v>
      </c>
      <c r="E1423" s="7">
        <v>38</v>
      </c>
      <c r="F1423" s="7">
        <v>96</v>
      </c>
      <c r="G1423" s="4" t="s">
        <v>74</v>
      </c>
    </row>
    <row r="1424" spans="1:7" ht="12.75">
      <c r="A1424" s="98" t="s">
        <v>2146</v>
      </c>
      <c r="B1424" s="98" t="s">
        <v>2147</v>
      </c>
      <c r="C1424" s="98"/>
      <c r="D1424" s="4" t="s">
        <v>2147</v>
      </c>
      <c r="E1424" s="7">
        <v>1364</v>
      </c>
      <c r="F1424" s="7">
        <v>2727</v>
      </c>
      <c r="G1424" s="4" t="s">
        <v>74</v>
      </c>
    </row>
    <row r="1425" spans="1:7" ht="12.75">
      <c r="A1425" s="98" t="s">
        <v>2148</v>
      </c>
      <c r="B1425" s="98"/>
      <c r="C1425" s="98" t="s">
        <v>428</v>
      </c>
      <c r="D1425" s="4" t="s">
        <v>428</v>
      </c>
      <c r="E1425" s="7">
        <v>38</v>
      </c>
      <c r="F1425" s="7">
        <v>96</v>
      </c>
      <c r="G1425" s="4" t="s">
        <v>74</v>
      </c>
    </row>
    <row r="1426" spans="1:7" ht="12.75">
      <c r="A1426" s="98" t="s">
        <v>2149</v>
      </c>
      <c r="B1426" s="98"/>
      <c r="C1426" s="98" t="s">
        <v>428</v>
      </c>
      <c r="D1426" s="4" t="s">
        <v>428</v>
      </c>
      <c r="E1426" s="7">
        <v>38</v>
      </c>
      <c r="F1426" s="7">
        <v>96</v>
      </c>
      <c r="G1426" s="4" t="s">
        <v>74</v>
      </c>
    </row>
    <row r="1427" spans="1:7" ht="12.75">
      <c r="A1427" s="98" t="s">
        <v>2150</v>
      </c>
      <c r="B1427" s="98"/>
      <c r="C1427" s="98" t="s">
        <v>428</v>
      </c>
      <c r="D1427" s="4" t="s">
        <v>428</v>
      </c>
      <c r="E1427" s="7">
        <v>38</v>
      </c>
      <c r="F1427" s="7">
        <v>96</v>
      </c>
      <c r="G1427" s="4" t="s">
        <v>74</v>
      </c>
    </row>
    <row r="1428" spans="1:7" ht="12.75">
      <c r="A1428" s="98" t="s">
        <v>2151</v>
      </c>
      <c r="B1428" s="98"/>
      <c r="C1428" s="98" t="s">
        <v>428</v>
      </c>
      <c r="D1428" s="4" t="s">
        <v>428</v>
      </c>
      <c r="E1428" s="7">
        <v>38</v>
      </c>
      <c r="F1428" s="7">
        <v>96</v>
      </c>
      <c r="G1428" s="4" t="s">
        <v>74</v>
      </c>
    </row>
    <row r="1429" spans="1:7" ht="12.75">
      <c r="A1429" s="98" t="s">
        <v>2152</v>
      </c>
      <c r="B1429" s="98"/>
      <c r="C1429" s="98" t="s">
        <v>428</v>
      </c>
      <c r="D1429" s="4" t="s">
        <v>428</v>
      </c>
      <c r="E1429" s="7">
        <v>38</v>
      </c>
      <c r="F1429" s="7">
        <v>96</v>
      </c>
      <c r="G1429" s="4" t="s">
        <v>74</v>
      </c>
    </row>
    <row r="1430" spans="1:7" ht="12.75">
      <c r="A1430" s="98" t="s">
        <v>2153</v>
      </c>
      <c r="B1430" s="98"/>
      <c r="C1430" s="98" t="s">
        <v>428</v>
      </c>
      <c r="D1430" s="4" t="s">
        <v>428</v>
      </c>
      <c r="E1430" s="7">
        <v>38</v>
      </c>
      <c r="F1430" s="7">
        <v>96</v>
      </c>
      <c r="G1430" s="4" t="s">
        <v>74</v>
      </c>
    </row>
    <row r="1431" spans="1:7" ht="12.75">
      <c r="A1431" s="98" t="s">
        <v>2154</v>
      </c>
      <c r="B1431" s="98" t="s">
        <v>2155</v>
      </c>
      <c r="C1431" s="98"/>
      <c r="D1431" s="4" t="s">
        <v>2155</v>
      </c>
      <c r="E1431" s="7">
        <v>471</v>
      </c>
      <c r="F1431" s="7">
        <v>2685</v>
      </c>
      <c r="G1431" s="4" t="s">
        <v>74</v>
      </c>
    </row>
    <row r="1432" spans="1:7" ht="12.75">
      <c r="A1432" s="98" t="s">
        <v>2156</v>
      </c>
      <c r="B1432" s="98"/>
      <c r="C1432" s="98" t="s">
        <v>428</v>
      </c>
      <c r="D1432" s="4" t="s">
        <v>428</v>
      </c>
      <c r="E1432" s="7">
        <v>38</v>
      </c>
      <c r="F1432" s="7">
        <v>96</v>
      </c>
      <c r="G1432" s="4" t="s">
        <v>74</v>
      </c>
    </row>
    <row r="1433" spans="1:7" ht="12.75">
      <c r="A1433" s="98" t="s">
        <v>2157</v>
      </c>
      <c r="B1433" s="98"/>
      <c r="C1433" s="98" t="s">
        <v>428</v>
      </c>
      <c r="D1433" s="4" t="s">
        <v>428</v>
      </c>
      <c r="E1433" s="7">
        <v>38</v>
      </c>
      <c r="F1433" s="7">
        <v>96</v>
      </c>
      <c r="G1433" s="4" t="s">
        <v>74</v>
      </c>
    </row>
    <row r="1434" spans="1:7" ht="12.75">
      <c r="A1434" s="98" t="s">
        <v>2158</v>
      </c>
      <c r="B1434" s="98"/>
      <c r="C1434" s="98" t="s">
        <v>428</v>
      </c>
      <c r="D1434" s="4" t="s">
        <v>428</v>
      </c>
      <c r="E1434" s="7">
        <v>38</v>
      </c>
      <c r="F1434" s="7">
        <v>96</v>
      </c>
      <c r="G1434" s="4" t="s">
        <v>74</v>
      </c>
    </row>
    <row r="1435" spans="1:7" ht="12.75">
      <c r="A1435" s="98" t="s">
        <v>2159</v>
      </c>
      <c r="B1435" s="98"/>
      <c r="C1435" s="98" t="s">
        <v>428</v>
      </c>
      <c r="D1435" s="4" t="s">
        <v>428</v>
      </c>
      <c r="E1435" s="7">
        <v>38</v>
      </c>
      <c r="F1435" s="7">
        <v>96</v>
      </c>
      <c r="G1435" s="4" t="s">
        <v>74</v>
      </c>
    </row>
    <row r="1436" spans="1:7" ht="12.75">
      <c r="A1436" s="98" t="s">
        <v>2160</v>
      </c>
      <c r="B1436" s="98"/>
      <c r="C1436" s="98" t="s">
        <v>512</v>
      </c>
      <c r="D1436" s="4" t="s">
        <v>512</v>
      </c>
      <c r="E1436" s="7">
        <v>5950</v>
      </c>
      <c r="F1436" s="7">
        <v>10539</v>
      </c>
      <c r="G1436" s="4" t="s">
        <v>74</v>
      </c>
    </row>
    <row r="1437" spans="1:7" ht="12.75">
      <c r="A1437" s="98" t="s">
        <v>2161</v>
      </c>
      <c r="B1437" s="98"/>
      <c r="C1437" s="98" t="s">
        <v>428</v>
      </c>
      <c r="D1437" s="4" t="s">
        <v>428</v>
      </c>
      <c r="E1437" s="7">
        <v>38</v>
      </c>
      <c r="F1437" s="7">
        <v>96</v>
      </c>
      <c r="G1437" s="4" t="s">
        <v>74</v>
      </c>
    </row>
    <row r="1438" spans="1:7" ht="12.75">
      <c r="A1438" s="98" t="s">
        <v>2162</v>
      </c>
      <c r="B1438" s="98"/>
      <c r="C1438" s="98" t="s">
        <v>428</v>
      </c>
      <c r="D1438" s="4" t="s">
        <v>428</v>
      </c>
      <c r="E1438" s="7">
        <v>38</v>
      </c>
      <c r="F1438" s="7">
        <v>96</v>
      </c>
      <c r="G1438" s="4" t="s">
        <v>74</v>
      </c>
    </row>
    <row r="1439" spans="1:7" ht="12.75">
      <c r="A1439" s="98" t="s">
        <v>2163</v>
      </c>
      <c r="B1439" s="98"/>
      <c r="C1439" s="98" t="s">
        <v>428</v>
      </c>
      <c r="D1439" s="4" t="s">
        <v>428</v>
      </c>
      <c r="E1439" s="7">
        <v>38</v>
      </c>
      <c r="F1439" s="7">
        <v>96</v>
      </c>
      <c r="G1439" s="4" t="s">
        <v>74</v>
      </c>
    </row>
    <row r="1440" spans="1:7" ht="12.75">
      <c r="A1440" s="98" t="s">
        <v>2164</v>
      </c>
      <c r="B1440" s="98"/>
      <c r="C1440" s="98" t="s">
        <v>428</v>
      </c>
      <c r="D1440" s="4" t="s">
        <v>428</v>
      </c>
      <c r="E1440" s="7">
        <v>38</v>
      </c>
      <c r="F1440" s="7">
        <v>96</v>
      </c>
      <c r="G1440" s="4" t="s">
        <v>74</v>
      </c>
    </row>
    <row r="1441" spans="1:7" ht="12.75">
      <c r="A1441" s="98" t="s">
        <v>2165</v>
      </c>
      <c r="B1441" s="98"/>
      <c r="C1441" s="98" t="s">
        <v>428</v>
      </c>
      <c r="D1441" s="4" t="s">
        <v>428</v>
      </c>
      <c r="E1441" s="7">
        <v>38</v>
      </c>
      <c r="F1441" s="7">
        <v>96</v>
      </c>
      <c r="G1441" s="4" t="s">
        <v>74</v>
      </c>
    </row>
    <row r="1442" spans="1:7" ht="12.75">
      <c r="A1442" s="98" t="s">
        <v>2166</v>
      </c>
      <c r="B1442" s="98"/>
      <c r="C1442" s="98" t="s">
        <v>512</v>
      </c>
      <c r="D1442" s="4" t="s">
        <v>512</v>
      </c>
      <c r="E1442" s="7">
        <v>5950</v>
      </c>
      <c r="F1442" s="7">
        <v>10539</v>
      </c>
      <c r="G1442" s="4" t="s">
        <v>74</v>
      </c>
    </row>
    <row r="1443" spans="1:7" ht="12.75">
      <c r="A1443" s="98" t="s">
        <v>2167</v>
      </c>
      <c r="B1443" s="98"/>
      <c r="C1443" s="98" t="s">
        <v>428</v>
      </c>
      <c r="D1443" s="4" t="s">
        <v>428</v>
      </c>
      <c r="E1443" s="7">
        <v>38</v>
      </c>
      <c r="F1443" s="7">
        <v>96</v>
      </c>
      <c r="G1443" s="4" t="s">
        <v>74</v>
      </c>
    </row>
    <row r="1444" spans="1:7" ht="12.75">
      <c r="A1444" s="98" t="s">
        <v>2168</v>
      </c>
      <c r="B1444" s="98"/>
      <c r="C1444" s="98" t="s">
        <v>428</v>
      </c>
      <c r="D1444" s="4" t="s">
        <v>428</v>
      </c>
      <c r="E1444" s="7">
        <v>38</v>
      </c>
      <c r="F1444" s="7">
        <v>96</v>
      </c>
      <c r="G1444" s="4" t="s">
        <v>74</v>
      </c>
    </row>
    <row r="1445" spans="1:7" ht="12.75">
      <c r="A1445" s="98" t="s">
        <v>2169</v>
      </c>
      <c r="B1445" s="98"/>
      <c r="C1445" s="98" t="s">
        <v>512</v>
      </c>
      <c r="D1445" s="4" t="s">
        <v>512</v>
      </c>
      <c r="E1445" s="7">
        <v>5950</v>
      </c>
      <c r="F1445" s="7">
        <v>10539</v>
      </c>
      <c r="G1445" s="4" t="s">
        <v>74</v>
      </c>
    </row>
    <row r="1446" spans="1:7" ht="12.75">
      <c r="A1446" s="98" t="s">
        <v>2170</v>
      </c>
      <c r="B1446" s="98"/>
      <c r="C1446" s="98" t="s">
        <v>428</v>
      </c>
      <c r="D1446" s="4" t="s">
        <v>428</v>
      </c>
      <c r="E1446" s="7">
        <v>38</v>
      </c>
      <c r="F1446" s="7">
        <v>96</v>
      </c>
      <c r="G1446" s="4" t="s">
        <v>74</v>
      </c>
    </row>
    <row r="1447" spans="1:7" ht="12.75">
      <c r="A1447" s="98" t="s">
        <v>2171</v>
      </c>
      <c r="B1447" s="98"/>
      <c r="C1447" s="98" t="s">
        <v>428</v>
      </c>
      <c r="D1447" s="4" t="s">
        <v>428</v>
      </c>
      <c r="E1447" s="7">
        <v>38</v>
      </c>
      <c r="F1447" s="7">
        <v>96</v>
      </c>
      <c r="G1447" s="4" t="s">
        <v>74</v>
      </c>
    </row>
    <row r="1448" spans="1:7" ht="12.75">
      <c r="A1448" s="98" t="s">
        <v>2172</v>
      </c>
      <c r="B1448" s="98"/>
      <c r="C1448" s="98" t="s">
        <v>512</v>
      </c>
      <c r="D1448" s="4" t="s">
        <v>512</v>
      </c>
      <c r="E1448" s="7">
        <v>5950</v>
      </c>
      <c r="F1448" s="7">
        <v>10539</v>
      </c>
      <c r="G1448" s="4" t="s">
        <v>74</v>
      </c>
    </row>
    <row r="1449" spans="1:7" ht="12.75">
      <c r="A1449" s="98" t="s">
        <v>2173</v>
      </c>
      <c r="B1449" s="98"/>
      <c r="C1449" s="98" t="s">
        <v>428</v>
      </c>
      <c r="D1449" s="4" t="s">
        <v>428</v>
      </c>
      <c r="E1449" s="7">
        <v>38</v>
      </c>
      <c r="F1449" s="7">
        <v>96</v>
      </c>
      <c r="G1449" s="4" t="s">
        <v>74</v>
      </c>
    </row>
    <row r="1450" spans="1:7" ht="12.75">
      <c r="A1450" s="98" t="s">
        <v>2174</v>
      </c>
      <c r="B1450" s="98"/>
      <c r="C1450" s="98" t="s">
        <v>428</v>
      </c>
      <c r="D1450" s="4" t="s">
        <v>428</v>
      </c>
      <c r="E1450" s="7">
        <v>38</v>
      </c>
      <c r="F1450" s="7">
        <v>96</v>
      </c>
      <c r="G1450" s="4" t="s">
        <v>74</v>
      </c>
    </row>
    <row r="1451" spans="1:7" ht="12.75">
      <c r="A1451" s="98" t="s">
        <v>2175</v>
      </c>
      <c r="B1451" s="98"/>
      <c r="C1451" s="98" t="s">
        <v>512</v>
      </c>
      <c r="D1451" s="4" t="s">
        <v>512</v>
      </c>
      <c r="E1451" s="7">
        <v>5950</v>
      </c>
      <c r="F1451" s="7">
        <v>10539</v>
      </c>
      <c r="G1451" s="4" t="s">
        <v>74</v>
      </c>
    </row>
    <row r="1452" spans="1:7" ht="12.75">
      <c r="A1452" s="98" t="s">
        <v>2176</v>
      </c>
      <c r="B1452" s="98"/>
      <c r="C1452" s="98" t="s">
        <v>428</v>
      </c>
      <c r="D1452" s="4" t="s">
        <v>428</v>
      </c>
      <c r="E1452" s="7">
        <v>38</v>
      </c>
      <c r="F1452" s="7">
        <v>96</v>
      </c>
      <c r="G1452" s="4" t="s">
        <v>74</v>
      </c>
    </row>
    <row r="1453" spans="1:7" ht="12.75">
      <c r="A1453" s="98" t="s">
        <v>2177</v>
      </c>
      <c r="B1453" s="98"/>
      <c r="C1453" s="98" t="s">
        <v>428</v>
      </c>
      <c r="D1453" s="4" t="s">
        <v>428</v>
      </c>
      <c r="E1453" s="7">
        <v>38</v>
      </c>
      <c r="F1453" s="7">
        <v>96</v>
      </c>
      <c r="G1453" s="4" t="s">
        <v>74</v>
      </c>
    </row>
    <row r="1454" spans="1:7" ht="12.75">
      <c r="A1454" s="98" t="s">
        <v>2178</v>
      </c>
      <c r="B1454" s="98"/>
      <c r="C1454" s="98" t="s">
        <v>428</v>
      </c>
      <c r="D1454" s="4" t="s">
        <v>428</v>
      </c>
      <c r="E1454" s="7">
        <v>38</v>
      </c>
      <c r="F1454" s="7">
        <v>96</v>
      </c>
      <c r="G1454" s="4" t="s">
        <v>74</v>
      </c>
    </row>
    <row r="1455" spans="1:7" ht="12.75">
      <c r="A1455" s="98" t="s">
        <v>2179</v>
      </c>
      <c r="B1455" s="98"/>
      <c r="C1455" s="98" t="s">
        <v>428</v>
      </c>
      <c r="D1455" s="4" t="s">
        <v>428</v>
      </c>
      <c r="E1455" s="7">
        <v>38</v>
      </c>
      <c r="F1455" s="7">
        <v>96</v>
      </c>
      <c r="G1455" s="4" t="s">
        <v>74</v>
      </c>
    </row>
    <row r="1456" spans="1:7" ht="12.75">
      <c r="A1456" s="98" t="s">
        <v>2180</v>
      </c>
      <c r="B1456" s="98"/>
      <c r="C1456" s="98" t="s">
        <v>428</v>
      </c>
      <c r="D1456" s="4" t="s">
        <v>428</v>
      </c>
      <c r="E1456" s="7">
        <v>38</v>
      </c>
      <c r="F1456" s="7">
        <v>96</v>
      </c>
      <c r="G1456" s="4" t="s">
        <v>74</v>
      </c>
    </row>
    <row r="1457" spans="1:7" ht="12.75">
      <c r="A1457" s="98" t="s">
        <v>2181</v>
      </c>
      <c r="B1457" s="98"/>
      <c r="C1457" s="98" t="s">
        <v>428</v>
      </c>
      <c r="D1457" s="4" t="s">
        <v>428</v>
      </c>
      <c r="E1457" s="7">
        <v>38</v>
      </c>
      <c r="F1457" s="7">
        <v>96</v>
      </c>
      <c r="G1457" s="4" t="s">
        <v>74</v>
      </c>
    </row>
    <row r="1458" spans="1:7" ht="12.75">
      <c r="A1458" s="98" t="s">
        <v>2182</v>
      </c>
      <c r="B1458" s="98"/>
      <c r="C1458" s="98" t="s">
        <v>428</v>
      </c>
      <c r="D1458" s="4" t="s">
        <v>428</v>
      </c>
      <c r="E1458" s="7">
        <v>38</v>
      </c>
      <c r="F1458" s="7">
        <v>96</v>
      </c>
      <c r="G1458" s="4" t="s">
        <v>74</v>
      </c>
    </row>
    <row r="1459" spans="1:7" ht="12.75">
      <c r="A1459" s="98" t="s">
        <v>2183</v>
      </c>
      <c r="B1459" s="98"/>
      <c r="C1459" s="98" t="s">
        <v>512</v>
      </c>
      <c r="D1459" s="4" t="s">
        <v>512</v>
      </c>
      <c r="E1459" s="7">
        <v>5950</v>
      </c>
      <c r="F1459" s="7">
        <v>10539</v>
      </c>
      <c r="G1459" s="4" t="s">
        <v>74</v>
      </c>
    </row>
    <row r="1460" spans="1:7" ht="12.75">
      <c r="A1460" s="98" t="s">
        <v>2184</v>
      </c>
      <c r="B1460" s="98"/>
      <c r="C1460" s="98" t="s">
        <v>428</v>
      </c>
      <c r="D1460" s="4" t="s">
        <v>428</v>
      </c>
      <c r="E1460" s="7">
        <v>38</v>
      </c>
      <c r="F1460" s="7">
        <v>96</v>
      </c>
      <c r="G1460" s="4" t="s">
        <v>74</v>
      </c>
    </row>
    <row r="1461" spans="1:7" ht="12.75">
      <c r="A1461" s="98" t="s">
        <v>2185</v>
      </c>
      <c r="B1461" s="98"/>
      <c r="C1461" s="98" t="s">
        <v>428</v>
      </c>
      <c r="D1461" s="4" t="s">
        <v>428</v>
      </c>
      <c r="E1461" s="7">
        <v>38</v>
      </c>
      <c r="F1461" s="7">
        <v>96</v>
      </c>
      <c r="G1461" s="4" t="s">
        <v>74</v>
      </c>
    </row>
    <row r="1462" spans="1:7" ht="12.75">
      <c r="A1462" s="98" t="s">
        <v>2186</v>
      </c>
      <c r="B1462" s="98"/>
      <c r="C1462" s="98" t="s">
        <v>512</v>
      </c>
      <c r="D1462" s="4" t="s">
        <v>512</v>
      </c>
      <c r="E1462" s="7">
        <v>5950</v>
      </c>
      <c r="F1462" s="7">
        <v>10539</v>
      </c>
      <c r="G1462" s="4" t="s">
        <v>74</v>
      </c>
    </row>
    <row r="1463" spans="1:7" ht="12.75">
      <c r="A1463" s="98" t="s">
        <v>2187</v>
      </c>
      <c r="B1463" s="98"/>
      <c r="C1463" s="98" t="s">
        <v>512</v>
      </c>
      <c r="D1463" s="4" t="s">
        <v>512</v>
      </c>
      <c r="E1463" s="7">
        <v>5950</v>
      </c>
      <c r="F1463" s="7">
        <v>10539</v>
      </c>
      <c r="G1463" s="4" t="s">
        <v>74</v>
      </c>
    </row>
    <row r="1464" spans="1:7" ht="12.75">
      <c r="A1464" s="98" t="s">
        <v>2188</v>
      </c>
      <c r="B1464" s="98"/>
      <c r="C1464" s="98" t="s">
        <v>428</v>
      </c>
      <c r="D1464" s="4" t="s">
        <v>428</v>
      </c>
      <c r="E1464" s="7">
        <v>38</v>
      </c>
      <c r="F1464" s="7">
        <v>96</v>
      </c>
      <c r="G1464" s="4" t="s">
        <v>74</v>
      </c>
    </row>
    <row r="1465" spans="1:7" ht="12.75">
      <c r="A1465" s="98" t="s">
        <v>2189</v>
      </c>
      <c r="B1465" s="98"/>
      <c r="C1465" s="98" t="s">
        <v>512</v>
      </c>
      <c r="D1465" s="4" t="s">
        <v>512</v>
      </c>
      <c r="E1465" s="7">
        <v>5950</v>
      </c>
      <c r="F1465" s="7">
        <v>10539</v>
      </c>
      <c r="G1465" s="4" t="s">
        <v>74</v>
      </c>
    </row>
    <row r="1466" spans="1:7" ht="12.75">
      <c r="A1466" s="98" t="s">
        <v>2190</v>
      </c>
      <c r="B1466" s="98"/>
      <c r="C1466" s="98" t="s">
        <v>428</v>
      </c>
      <c r="D1466" s="4" t="s">
        <v>428</v>
      </c>
      <c r="E1466" s="7">
        <v>38</v>
      </c>
      <c r="F1466" s="7">
        <v>96</v>
      </c>
      <c r="G1466" s="4" t="s">
        <v>74</v>
      </c>
    </row>
    <row r="1467" spans="1:7" ht="12.75">
      <c r="A1467" s="98" t="s">
        <v>2191</v>
      </c>
      <c r="B1467" s="98"/>
      <c r="C1467" s="98" t="s">
        <v>428</v>
      </c>
      <c r="D1467" s="4" t="s">
        <v>428</v>
      </c>
      <c r="E1467" s="7">
        <v>38</v>
      </c>
      <c r="F1467" s="7">
        <v>96</v>
      </c>
      <c r="G1467" s="4" t="s">
        <v>74</v>
      </c>
    </row>
    <row r="1468" spans="1:7" ht="12.75">
      <c r="A1468" s="98" t="s">
        <v>2192</v>
      </c>
      <c r="B1468" s="98"/>
      <c r="C1468" s="98" t="s">
        <v>428</v>
      </c>
      <c r="D1468" s="4" t="s">
        <v>428</v>
      </c>
      <c r="E1468" s="7">
        <v>38</v>
      </c>
      <c r="F1468" s="7">
        <v>96</v>
      </c>
      <c r="G1468" s="4" t="s">
        <v>74</v>
      </c>
    </row>
    <row r="1469" spans="1:7" ht="12.75">
      <c r="A1469" s="98" t="s">
        <v>2193</v>
      </c>
      <c r="B1469" s="98"/>
      <c r="C1469" s="98" t="s">
        <v>428</v>
      </c>
      <c r="D1469" s="4" t="s">
        <v>428</v>
      </c>
      <c r="E1469" s="7">
        <v>38</v>
      </c>
      <c r="F1469" s="7">
        <v>96</v>
      </c>
      <c r="G1469" s="4" t="s">
        <v>74</v>
      </c>
    </row>
    <row r="1470" spans="1:7" ht="12.75">
      <c r="A1470" s="98" t="s">
        <v>2194</v>
      </c>
      <c r="B1470" s="98"/>
      <c r="C1470" s="98" t="s">
        <v>428</v>
      </c>
      <c r="D1470" s="4" t="s">
        <v>428</v>
      </c>
      <c r="E1470" s="7">
        <v>38</v>
      </c>
      <c r="F1470" s="7">
        <v>96</v>
      </c>
      <c r="G1470" s="4" t="s">
        <v>74</v>
      </c>
    </row>
    <row r="1471" spans="1:7" ht="12.75">
      <c r="A1471" s="98" t="s">
        <v>2195</v>
      </c>
      <c r="B1471" s="98"/>
      <c r="C1471" s="98" t="s">
        <v>428</v>
      </c>
      <c r="D1471" s="4" t="s">
        <v>428</v>
      </c>
      <c r="E1471" s="7">
        <v>38</v>
      </c>
      <c r="F1471" s="7">
        <v>96</v>
      </c>
      <c r="G1471" s="4" t="s">
        <v>74</v>
      </c>
    </row>
    <row r="1472" spans="1:7" ht="12.75">
      <c r="A1472" s="98" t="s">
        <v>2196</v>
      </c>
      <c r="B1472" s="98" t="s">
        <v>352</v>
      </c>
      <c r="C1472" s="98"/>
      <c r="D1472" s="4" t="s">
        <v>352</v>
      </c>
      <c r="E1472" s="7">
        <v>500</v>
      </c>
      <c r="F1472" s="7">
        <v>1000</v>
      </c>
      <c r="G1472" s="4" t="s">
        <v>74</v>
      </c>
    </row>
    <row r="1473" spans="1:7" ht="12.75">
      <c r="A1473" s="98" t="s">
        <v>2197</v>
      </c>
      <c r="B1473" s="98"/>
      <c r="C1473" s="98" t="s">
        <v>428</v>
      </c>
      <c r="D1473" s="4" t="s">
        <v>428</v>
      </c>
      <c r="E1473" s="7">
        <v>38</v>
      </c>
      <c r="F1473" s="7">
        <v>96</v>
      </c>
      <c r="G1473" s="4" t="s">
        <v>74</v>
      </c>
    </row>
    <row r="1474" spans="1:7" ht="12.75">
      <c r="A1474" s="98" t="s">
        <v>2198</v>
      </c>
      <c r="B1474" s="98"/>
      <c r="C1474" s="98" t="s">
        <v>428</v>
      </c>
      <c r="D1474" s="4" t="s">
        <v>428</v>
      </c>
      <c r="E1474" s="7">
        <v>38</v>
      </c>
      <c r="F1474" s="7">
        <v>96</v>
      </c>
      <c r="G1474" s="4" t="s">
        <v>74</v>
      </c>
    </row>
    <row r="1475" spans="1:7" ht="12.75">
      <c r="A1475" s="98" t="s">
        <v>2199</v>
      </c>
      <c r="B1475" s="98"/>
      <c r="C1475" s="98" t="s">
        <v>512</v>
      </c>
      <c r="D1475" s="4" t="s">
        <v>512</v>
      </c>
      <c r="E1475" s="7">
        <v>5950</v>
      </c>
      <c r="F1475" s="7">
        <v>10539</v>
      </c>
      <c r="G1475" s="4" t="s">
        <v>74</v>
      </c>
    </row>
    <row r="1476" spans="1:7" ht="12.75">
      <c r="A1476" s="98" t="s">
        <v>2200</v>
      </c>
      <c r="B1476" s="98"/>
      <c r="C1476" s="98" t="s">
        <v>428</v>
      </c>
      <c r="D1476" s="4" t="s">
        <v>428</v>
      </c>
      <c r="E1476" s="7">
        <v>38</v>
      </c>
      <c r="F1476" s="7">
        <v>96</v>
      </c>
      <c r="G1476" s="4" t="s">
        <v>74</v>
      </c>
    </row>
    <row r="1477" spans="1:7" ht="12.75">
      <c r="A1477" s="98" t="s">
        <v>2201</v>
      </c>
      <c r="B1477" s="98"/>
      <c r="C1477" s="98" t="s">
        <v>428</v>
      </c>
      <c r="D1477" s="4" t="s">
        <v>428</v>
      </c>
      <c r="E1477" s="7">
        <v>38</v>
      </c>
      <c r="F1477" s="7">
        <v>96</v>
      </c>
      <c r="G1477" s="4" t="s">
        <v>74</v>
      </c>
    </row>
    <row r="1478" spans="1:7" ht="12.75">
      <c r="A1478" s="98" t="s">
        <v>2202</v>
      </c>
      <c r="B1478" s="98" t="s">
        <v>2203</v>
      </c>
      <c r="C1478" s="98"/>
      <c r="D1478" s="4" t="s">
        <v>2203</v>
      </c>
      <c r="E1478" s="7">
        <v>788</v>
      </c>
      <c r="F1478" s="7">
        <v>929</v>
      </c>
      <c r="G1478" s="4" t="s">
        <v>74</v>
      </c>
    </row>
    <row r="1479" spans="1:7" ht="12.75">
      <c r="A1479" s="98" t="s">
        <v>2204</v>
      </c>
      <c r="B1479" s="98"/>
      <c r="C1479" s="98" t="s">
        <v>428</v>
      </c>
      <c r="D1479" s="4" t="s">
        <v>428</v>
      </c>
      <c r="E1479" s="7">
        <v>38</v>
      </c>
      <c r="F1479" s="7">
        <v>96</v>
      </c>
      <c r="G1479" s="4" t="s">
        <v>74</v>
      </c>
    </row>
    <row r="1480" spans="1:7" ht="12.75">
      <c r="A1480" s="98" t="s">
        <v>2205</v>
      </c>
      <c r="B1480" s="98"/>
      <c r="C1480" s="98" t="s">
        <v>512</v>
      </c>
      <c r="D1480" s="4" t="s">
        <v>512</v>
      </c>
      <c r="E1480" s="7">
        <v>5950</v>
      </c>
      <c r="F1480" s="7">
        <v>10539</v>
      </c>
      <c r="G1480" s="4" t="s">
        <v>74</v>
      </c>
    </row>
    <row r="1481" spans="1:7" ht="12.75">
      <c r="A1481" s="98" t="s">
        <v>2206</v>
      </c>
      <c r="B1481" s="98"/>
      <c r="C1481" s="98" t="s">
        <v>428</v>
      </c>
      <c r="D1481" s="4" t="s">
        <v>428</v>
      </c>
      <c r="E1481" s="7">
        <v>38</v>
      </c>
      <c r="F1481" s="7">
        <v>96</v>
      </c>
      <c r="G1481" s="4" t="s">
        <v>74</v>
      </c>
    </row>
    <row r="1482" spans="1:7" ht="12.75">
      <c r="A1482" s="98" t="s">
        <v>2207</v>
      </c>
      <c r="B1482" s="98"/>
      <c r="C1482" s="98" t="s">
        <v>428</v>
      </c>
      <c r="D1482" s="4" t="s">
        <v>428</v>
      </c>
      <c r="E1482" s="7">
        <v>38</v>
      </c>
      <c r="F1482" s="7">
        <v>96</v>
      </c>
      <c r="G1482" s="4" t="s">
        <v>74</v>
      </c>
    </row>
    <row r="1483" spans="1:7" ht="12.75">
      <c r="A1483" s="98" t="s">
        <v>2208</v>
      </c>
      <c r="B1483" s="98"/>
      <c r="C1483" s="98" t="s">
        <v>428</v>
      </c>
      <c r="D1483" s="4" t="s">
        <v>428</v>
      </c>
      <c r="E1483" s="7">
        <v>38</v>
      </c>
      <c r="F1483" s="7">
        <v>96</v>
      </c>
      <c r="G1483" s="4" t="s">
        <v>74</v>
      </c>
    </row>
    <row r="1484" spans="1:7" ht="12.75">
      <c r="A1484" s="98" t="s">
        <v>2209</v>
      </c>
      <c r="B1484" s="98"/>
      <c r="C1484" s="98" t="s">
        <v>428</v>
      </c>
      <c r="D1484" s="4" t="s">
        <v>428</v>
      </c>
      <c r="E1484" s="7">
        <v>38</v>
      </c>
      <c r="F1484" s="7">
        <v>96</v>
      </c>
      <c r="G1484" s="4" t="s">
        <v>74</v>
      </c>
    </row>
    <row r="1485" spans="1:7" ht="12.75">
      <c r="A1485" s="98" t="s">
        <v>2210</v>
      </c>
      <c r="B1485" s="98"/>
      <c r="C1485" s="98" t="s">
        <v>512</v>
      </c>
      <c r="D1485" s="4" t="s">
        <v>512</v>
      </c>
      <c r="E1485" s="7">
        <v>5950</v>
      </c>
      <c r="F1485" s="7">
        <v>10539</v>
      </c>
      <c r="G1485" s="4" t="s">
        <v>74</v>
      </c>
    </row>
    <row r="1486" spans="1:7" ht="12.75">
      <c r="A1486" s="98" t="s">
        <v>2211</v>
      </c>
      <c r="B1486" s="98" t="s">
        <v>600</v>
      </c>
      <c r="C1486" s="98"/>
      <c r="D1486" s="4" t="s">
        <v>600</v>
      </c>
      <c r="E1486" s="7">
        <v>63</v>
      </c>
      <c r="F1486" s="7">
        <v>63</v>
      </c>
      <c r="G1486" s="4" t="s">
        <v>74</v>
      </c>
    </row>
    <row r="1487" spans="1:7" ht="12.75">
      <c r="A1487" s="98" t="s">
        <v>2212</v>
      </c>
      <c r="B1487" s="98"/>
      <c r="C1487" s="98" t="s">
        <v>1218</v>
      </c>
      <c r="D1487" s="4" t="s">
        <v>1218</v>
      </c>
      <c r="E1487" s="7">
        <v>1155</v>
      </c>
      <c r="F1487" s="7">
        <v>1575</v>
      </c>
      <c r="G1487" s="4" t="s">
        <v>74</v>
      </c>
    </row>
    <row r="1488" spans="1:7" ht="12.75">
      <c r="A1488" s="98" t="s">
        <v>2213</v>
      </c>
      <c r="B1488" s="98"/>
      <c r="C1488" s="98" t="s">
        <v>512</v>
      </c>
      <c r="D1488" s="4" t="s">
        <v>512</v>
      </c>
      <c r="E1488" s="7">
        <v>5950</v>
      </c>
      <c r="F1488" s="7">
        <v>10539</v>
      </c>
      <c r="G1488" s="4" t="s">
        <v>74</v>
      </c>
    </row>
    <row r="1489" spans="1:7" ht="12.75">
      <c r="A1489" s="98" t="s">
        <v>2214</v>
      </c>
      <c r="B1489" s="98"/>
      <c r="C1489" s="98" t="s">
        <v>428</v>
      </c>
      <c r="D1489" s="4" t="s">
        <v>428</v>
      </c>
      <c r="E1489" s="7">
        <v>38</v>
      </c>
      <c r="F1489" s="7">
        <v>96</v>
      </c>
      <c r="G1489" s="4" t="s">
        <v>74</v>
      </c>
    </row>
    <row r="1490" spans="1:7" ht="12.75">
      <c r="A1490" s="98" t="s">
        <v>2215</v>
      </c>
      <c r="B1490" s="98"/>
      <c r="C1490" s="98" t="s">
        <v>428</v>
      </c>
      <c r="D1490" s="4" t="s">
        <v>428</v>
      </c>
      <c r="E1490" s="7">
        <v>38</v>
      </c>
      <c r="F1490" s="7">
        <v>96</v>
      </c>
      <c r="G1490" s="4" t="s">
        <v>74</v>
      </c>
    </row>
    <row r="1491" spans="1:7" ht="12.75">
      <c r="A1491" s="98" t="s">
        <v>2216</v>
      </c>
      <c r="B1491" s="98"/>
      <c r="C1491" s="98" t="s">
        <v>512</v>
      </c>
      <c r="D1491" s="4" t="s">
        <v>512</v>
      </c>
      <c r="E1491" s="7">
        <v>5950</v>
      </c>
      <c r="F1491" s="7">
        <v>10539</v>
      </c>
      <c r="G1491" s="4" t="s">
        <v>74</v>
      </c>
    </row>
    <row r="1492" spans="1:7" ht="12.75">
      <c r="A1492" s="98" t="s">
        <v>2217</v>
      </c>
      <c r="B1492" s="98"/>
      <c r="C1492" s="98" t="s">
        <v>428</v>
      </c>
      <c r="D1492" s="4" t="s">
        <v>428</v>
      </c>
      <c r="E1492" s="7">
        <v>38</v>
      </c>
      <c r="F1492" s="7">
        <v>96</v>
      </c>
      <c r="G1492" s="4" t="s">
        <v>74</v>
      </c>
    </row>
    <row r="1493" spans="1:7" ht="12.75">
      <c r="A1493" s="98" t="s">
        <v>2218</v>
      </c>
      <c r="B1493" s="98"/>
      <c r="C1493" s="98" t="s">
        <v>428</v>
      </c>
      <c r="D1493" s="4" t="s">
        <v>428</v>
      </c>
      <c r="E1493" s="7">
        <v>38</v>
      </c>
      <c r="F1493" s="7">
        <v>96</v>
      </c>
      <c r="G1493" s="4" t="s">
        <v>74</v>
      </c>
    </row>
    <row r="1494" spans="1:7" ht="12.75">
      <c r="A1494" s="98" t="s">
        <v>2219</v>
      </c>
      <c r="B1494" s="98" t="s">
        <v>2220</v>
      </c>
      <c r="C1494" s="98"/>
      <c r="D1494" s="4" t="s">
        <v>2220</v>
      </c>
      <c r="E1494" s="7">
        <v>277</v>
      </c>
      <c r="F1494" s="7">
        <v>3180</v>
      </c>
      <c r="G1494" s="4" t="s">
        <v>74</v>
      </c>
    </row>
    <row r="1495" spans="1:7" ht="12.75">
      <c r="A1495" s="98" t="s">
        <v>2221</v>
      </c>
      <c r="B1495" s="98"/>
      <c r="C1495" s="98" t="s">
        <v>428</v>
      </c>
      <c r="D1495" s="4" t="s">
        <v>428</v>
      </c>
      <c r="E1495" s="7">
        <v>38</v>
      </c>
      <c r="F1495" s="7">
        <v>96</v>
      </c>
      <c r="G1495" s="4" t="s">
        <v>74</v>
      </c>
    </row>
    <row r="1496" spans="1:7" ht="12.75">
      <c r="A1496" s="98" t="s">
        <v>2222</v>
      </c>
      <c r="B1496" s="98"/>
      <c r="C1496" s="98" t="s">
        <v>428</v>
      </c>
      <c r="D1496" s="4" t="s">
        <v>428</v>
      </c>
      <c r="E1496" s="7">
        <v>38</v>
      </c>
      <c r="F1496" s="7">
        <v>96</v>
      </c>
      <c r="G1496" s="4" t="s">
        <v>74</v>
      </c>
    </row>
    <row r="1497" spans="1:7" ht="12.75">
      <c r="A1497" s="98" t="s">
        <v>2223</v>
      </c>
      <c r="B1497" s="98"/>
      <c r="C1497" s="98" t="s">
        <v>428</v>
      </c>
      <c r="D1497" s="4" t="s">
        <v>428</v>
      </c>
      <c r="E1497" s="7">
        <v>38</v>
      </c>
      <c r="F1497" s="7">
        <v>96</v>
      </c>
      <c r="G1497" s="4" t="s">
        <v>74</v>
      </c>
    </row>
    <row r="1498" spans="1:7" ht="12.75">
      <c r="A1498" s="98" t="s">
        <v>2224</v>
      </c>
      <c r="B1498" s="98"/>
      <c r="C1498" s="98" t="s">
        <v>428</v>
      </c>
      <c r="D1498" s="4" t="s">
        <v>428</v>
      </c>
      <c r="E1498" s="7">
        <v>38</v>
      </c>
      <c r="F1498" s="7">
        <v>96</v>
      </c>
      <c r="G1498" s="4" t="s">
        <v>74</v>
      </c>
    </row>
    <row r="1499" spans="1:7" ht="12.75">
      <c r="A1499" s="98" t="s">
        <v>2225</v>
      </c>
      <c r="B1499" s="98"/>
      <c r="C1499" s="98" t="s">
        <v>512</v>
      </c>
      <c r="D1499" s="4" t="s">
        <v>512</v>
      </c>
      <c r="E1499" s="7">
        <v>5950</v>
      </c>
      <c r="F1499" s="7">
        <v>10539</v>
      </c>
      <c r="G1499" s="4" t="s">
        <v>74</v>
      </c>
    </row>
    <row r="1500" spans="1:7" ht="12.75">
      <c r="A1500" s="98" t="s">
        <v>2226</v>
      </c>
      <c r="B1500" s="98"/>
      <c r="C1500" s="98" t="s">
        <v>512</v>
      </c>
      <c r="D1500" s="4" t="s">
        <v>512</v>
      </c>
      <c r="E1500" s="7">
        <v>5950</v>
      </c>
      <c r="F1500" s="7">
        <v>10539</v>
      </c>
      <c r="G1500" s="4" t="s">
        <v>74</v>
      </c>
    </row>
    <row r="1501" spans="1:7" ht="12.75">
      <c r="A1501" s="98" t="s">
        <v>2227</v>
      </c>
      <c r="B1501" s="98"/>
      <c r="C1501" s="98" t="s">
        <v>1218</v>
      </c>
      <c r="D1501" s="4" t="s">
        <v>1218</v>
      </c>
      <c r="E1501" s="7">
        <v>1155</v>
      </c>
      <c r="F1501" s="7">
        <v>1575</v>
      </c>
      <c r="G1501" s="4" t="s">
        <v>74</v>
      </c>
    </row>
    <row r="1502" spans="1:7" ht="12.75">
      <c r="A1502" s="98" t="s">
        <v>2228</v>
      </c>
      <c r="B1502" s="98" t="s">
        <v>2229</v>
      </c>
      <c r="C1502" s="98"/>
      <c r="D1502" s="4" t="s">
        <v>2229</v>
      </c>
      <c r="E1502" s="7">
        <v>16</v>
      </c>
      <c r="F1502" s="7">
        <v>16</v>
      </c>
      <c r="G1502" s="4" t="s">
        <v>74</v>
      </c>
    </row>
    <row r="1503" spans="1:7" ht="12.75">
      <c r="A1503" s="98" t="s">
        <v>2230</v>
      </c>
      <c r="B1503" s="98"/>
      <c r="C1503" s="98" t="s">
        <v>428</v>
      </c>
      <c r="D1503" s="4" t="s">
        <v>428</v>
      </c>
      <c r="E1503" s="7">
        <v>38</v>
      </c>
      <c r="F1503" s="7">
        <v>96</v>
      </c>
      <c r="G1503" s="4" t="s">
        <v>74</v>
      </c>
    </row>
    <row r="1504" spans="1:7" ht="12.75">
      <c r="A1504" s="98" t="s">
        <v>2231</v>
      </c>
      <c r="B1504" s="98"/>
      <c r="C1504" s="98" t="s">
        <v>428</v>
      </c>
      <c r="D1504" s="4" t="s">
        <v>428</v>
      </c>
      <c r="E1504" s="7">
        <v>38</v>
      </c>
      <c r="F1504" s="7">
        <v>96</v>
      </c>
      <c r="G1504" s="4" t="s">
        <v>74</v>
      </c>
    </row>
    <row r="1505" spans="1:7" ht="12.75">
      <c r="A1505" s="98" t="s">
        <v>2232</v>
      </c>
      <c r="B1505" s="98"/>
      <c r="C1505" s="98" t="s">
        <v>428</v>
      </c>
      <c r="D1505" s="4" t="s">
        <v>428</v>
      </c>
      <c r="E1505" s="7">
        <v>38</v>
      </c>
      <c r="F1505" s="7">
        <v>96</v>
      </c>
      <c r="G1505" s="4" t="s">
        <v>74</v>
      </c>
    </row>
    <row r="1506" spans="1:7" ht="12.75">
      <c r="A1506" s="98" t="s">
        <v>2233</v>
      </c>
      <c r="B1506" s="98"/>
      <c r="C1506" s="98" t="s">
        <v>428</v>
      </c>
      <c r="D1506" s="4" t="s">
        <v>428</v>
      </c>
      <c r="E1506" s="7">
        <v>38</v>
      </c>
      <c r="F1506" s="7">
        <v>96</v>
      </c>
      <c r="G1506" s="4" t="s">
        <v>74</v>
      </c>
    </row>
    <row r="1507" spans="1:7" ht="12.75">
      <c r="A1507" s="98" t="s">
        <v>2234</v>
      </c>
      <c r="B1507" s="98"/>
      <c r="C1507" s="98" t="s">
        <v>512</v>
      </c>
      <c r="D1507" s="4" t="s">
        <v>512</v>
      </c>
      <c r="E1507" s="7">
        <v>5950</v>
      </c>
      <c r="F1507" s="7">
        <v>10539</v>
      </c>
      <c r="G1507" s="4" t="s">
        <v>74</v>
      </c>
    </row>
    <row r="1508" spans="1:7" ht="12.75">
      <c r="A1508" s="98" t="s">
        <v>2235</v>
      </c>
      <c r="B1508" s="98"/>
      <c r="C1508" s="98" t="s">
        <v>428</v>
      </c>
      <c r="D1508" s="4" t="s">
        <v>428</v>
      </c>
      <c r="E1508" s="7">
        <v>38</v>
      </c>
      <c r="F1508" s="7">
        <v>96</v>
      </c>
      <c r="G1508" s="4" t="s">
        <v>74</v>
      </c>
    </row>
    <row r="1509" spans="1:7" ht="12.75">
      <c r="A1509" s="98" t="s">
        <v>2236</v>
      </c>
      <c r="B1509" s="98"/>
      <c r="C1509" s="98" t="s">
        <v>428</v>
      </c>
      <c r="D1509" s="4" t="s">
        <v>428</v>
      </c>
      <c r="E1509" s="7">
        <v>38</v>
      </c>
      <c r="F1509" s="7">
        <v>96</v>
      </c>
      <c r="G1509" s="4" t="s">
        <v>74</v>
      </c>
    </row>
    <row r="1510" spans="1:7" ht="12.75">
      <c r="A1510" s="98" t="s">
        <v>2237</v>
      </c>
      <c r="B1510" s="98"/>
      <c r="C1510" s="98" t="s">
        <v>428</v>
      </c>
      <c r="D1510" s="4" t="s">
        <v>428</v>
      </c>
      <c r="E1510" s="7">
        <v>38</v>
      </c>
      <c r="F1510" s="7">
        <v>96</v>
      </c>
      <c r="G1510" s="4" t="s">
        <v>74</v>
      </c>
    </row>
    <row r="1511" spans="1:7" ht="12.75">
      <c r="A1511" s="98" t="s">
        <v>2238</v>
      </c>
      <c r="B1511" s="98"/>
      <c r="C1511" s="98" t="s">
        <v>428</v>
      </c>
      <c r="D1511" s="4" t="s">
        <v>428</v>
      </c>
      <c r="E1511" s="7">
        <v>38</v>
      </c>
      <c r="F1511" s="7">
        <v>96</v>
      </c>
      <c r="G1511" s="4" t="s">
        <v>74</v>
      </c>
    </row>
    <row r="1512" spans="1:7" ht="12.75">
      <c r="A1512" s="98" t="s">
        <v>2239</v>
      </c>
      <c r="B1512" s="98"/>
      <c r="C1512" s="98" t="s">
        <v>428</v>
      </c>
      <c r="D1512" s="4" t="s">
        <v>428</v>
      </c>
      <c r="E1512" s="7">
        <v>38</v>
      </c>
      <c r="F1512" s="7">
        <v>96</v>
      </c>
      <c r="G1512" s="4" t="s">
        <v>74</v>
      </c>
    </row>
    <row r="1513" spans="1:7" ht="12.75">
      <c r="A1513" s="98" t="s">
        <v>2240</v>
      </c>
      <c r="B1513" s="98"/>
      <c r="C1513" s="98" t="s">
        <v>428</v>
      </c>
      <c r="D1513" s="4" t="s">
        <v>428</v>
      </c>
      <c r="E1513" s="7">
        <v>38</v>
      </c>
      <c r="F1513" s="7">
        <v>96</v>
      </c>
      <c r="G1513" s="4" t="s">
        <v>74</v>
      </c>
    </row>
    <row r="1514" spans="1:7" ht="12.75">
      <c r="A1514" s="98" t="s">
        <v>2241</v>
      </c>
      <c r="B1514" s="98"/>
      <c r="C1514" s="98" t="s">
        <v>428</v>
      </c>
      <c r="D1514" s="4" t="s">
        <v>428</v>
      </c>
      <c r="E1514" s="7">
        <v>38</v>
      </c>
      <c r="F1514" s="7">
        <v>96</v>
      </c>
      <c r="G1514" s="4" t="s">
        <v>74</v>
      </c>
    </row>
    <row r="1515" spans="1:7" ht="12.75">
      <c r="A1515" s="98" t="s">
        <v>2242</v>
      </c>
      <c r="B1515" s="98"/>
      <c r="C1515" s="98" t="s">
        <v>428</v>
      </c>
      <c r="D1515" s="4" t="s">
        <v>428</v>
      </c>
      <c r="E1515" s="7">
        <v>38</v>
      </c>
      <c r="F1515" s="7">
        <v>96</v>
      </c>
      <c r="G1515" s="4" t="s">
        <v>74</v>
      </c>
    </row>
    <row r="1516" spans="1:7" ht="12.75">
      <c r="A1516" s="98" t="s">
        <v>2243</v>
      </c>
      <c r="B1516" s="98"/>
      <c r="C1516" s="98" t="s">
        <v>428</v>
      </c>
      <c r="D1516" s="4" t="s">
        <v>428</v>
      </c>
      <c r="E1516" s="7">
        <v>38</v>
      </c>
      <c r="F1516" s="7">
        <v>96</v>
      </c>
      <c r="G1516" s="4" t="s">
        <v>74</v>
      </c>
    </row>
    <row r="1517" spans="1:7" ht="12.75">
      <c r="A1517" s="98" t="s">
        <v>2244</v>
      </c>
      <c r="B1517" s="98"/>
      <c r="C1517" s="98" t="s">
        <v>428</v>
      </c>
      <c r="D1517" s="4" t="s">
        <v>428</v>
      </c>
      <c r="E1517" s="7">
        <v>38</v>
      </c>
      <c r="F1517" s="7">
        <v>96</v>
      </c>
      <c r="G1517" s="4" t="s">
        <v>74</v>
      </c>
    </row>
    <row r="1518" spans="1:7" ht="12.75">
      <c r="A1518" s="98" t="s">
        <v>2245</v>
      </c>
      <c r="B1518" s="98"/>
      <c r="C1518" s="98" t="s">
        <v>428</v>
      </c>
      <c r="D1518" s="4" t="s">
        <v>428</v>
      </c>
      <c r="E1518" s="7">
        <v>38</v>
      </c>
      <c r="F1518" s="7">
        <v>96</v>
      </c>
      <c r="G1518" s="4" t="s">
        <v>74</v>
      </c>
    </row>
    <row r="1519" spans="1:7" ht="12.75">
      <c r="A1519" s="98" t="s">
        <v>2246</v>
      </c>
      <c r="B1519" s="98"/>
      <c r="C1519" s="98" t="s">
        <v>512</v>
      </c>
      <c r="D1519" s="4" t="s">
        <v>512</v>
      </c>
      <c r="E1519" s="7">
        <v>5950</v>
      </c>
      <c r="F1519" s="7">
        <v>10539</v>
      </c>
      <c r="G1519" s="4" t="s">
        <v>74</v>
      </c>
    </row>
    <row r="1520" spans="1:7" ht="12.75">
      <c r="A1520" s="98" t="s">
        <v>2247</v>
      </c>
      <c r="B1520" s="98"/>
      <c r="C1520" s="98" t="s">
        <v>428</v>
      </c>
      <c r="D1520" s="4" t="s">
        <v>428</v>
      </c>
      <c r="E1520" s="7">
        <v>38</v>
      </c>
      <c r="F1520" s="7">
        <v>96</v>
      </c>
      <c r="G1520" s="4" t="s">
        <v>74</v>
      </c>
    </row>
    <row r="1521" spans="1:7" ht="12.75">
      <c r="A1521" s="98" t="s">
        <v>2248</v>
      </c>
      <c r="B1521" s="98" t="s">
        <v>2249</v>
      </c>
      <c r="C1521" s="98"/>
      <c r="D1521" s="4" t="s">
        <v>2249</v>
      </c>
      <c r="E1521" s="7">
        <v>21</v>
      </c>
      <c r="F1521" s="7">
        <v>21</v>
      </c>
      <c r="G1521" s="4" t="s">
        <v>74</v>
      </c>
    </row>
    <row r="1522" spans="1:7" ht="12.75">
      <c r="A1522" s="98" t="s">
        <v>2250</v>
      </c>
      <c r="B1522" s="98"/>
      <c r="C1522" s="98" t="s">
        <v>428</v>
      </c>
      <c r="D1522" s="4" t="s">
        <v>428</v>
      </c>
      <c r="E1522" s="7">
        <v>38</v>
      </c>
      <c r="F1522" s="7">
        <v>96</v>
      </c>
      <c r="G1522" s="4" t="s">
        <v>74</v>
      </c>
    </row>
    <row r="1523" spans="1:7" ht="12.75">
      <c r="A1523" s="98" t="s">
        <v>2251</v>
      </c>
      <c r="B1523" s="98"/>
      <c r="C1523" s="98" t="s">
        <v>428</v>
      </c>
      <c r="D1523" s="4" t="s">
        <v>428</v>
      </c>
      <c r="E1523" s="7">
        <v>38</v>
      </c>
      <c r="F1523" s="7">
        <v>96</v>
      </c>
      <c r="G1523" s="4" t="s">
        <v>74</v>
      </c>
    </row>
    <row r="1524" spans="1:7" ht="12.75">
      <c r="A1524" s="98" t="s">
        <v>2252</v>
      </c>
      <c r="B1524" s="98"/>
      <c r="C1524" s="98" t="s">
        <v>428</v>
      </c>
      <c r="D1524" s="4" t="s">
        <v>428</v>
      </c>
      <c r="E1524" s="7">
        <v>38</v>
      </c>
      <c r="F1524" s="7">
        <v>96</v>
      </c>
      <c r="G1524" s="4" t="s">
        <v>74</v>
      </c>
    </row>
    <row r="1525" spans="1:7" ht="12.75">
      <c r="A1525" s="98" t="s">
        <v>2253</v>
      </c>
      <c r="B1525" s="98"/>
      <c r="C1525" s="98" t="s">
        <v>428</v>
      </c>
      <c r="D1525" s="4" t="s">
        <v>428</v>
      </c>
      <c r="E1525" s="7">
        <v>38</v>
      </c>
      <c r="F1525" s="7">
        <v>96</v>
      </c>
      <c r="G1525" s="4" t="s">
        <v>74</v>
      </c>
    </row>
    <row r="1526" spans="1:7" ht="12.75">
      <c r="A1526" s="98" t="s">
        <v>2254</v>
      </c>
      <c r="B1526" s="98"/>
      <c r="C1526" s="98" t="s">
        <v>512</v>
      </c>
      <c r="D1526" s="4" t="s">
        <v>512</v>
      </c>
      <c r="E1526" s="7">
        <v>5950</v>
      </c>
      <c r="F1526" s="7">
        <v>10539</v>
      </c>
      <c r="G1526" s="4" t="s">
        <v>74</v>
      </c>
    </row>
    <row r="1527" spans="1:7" ht="12.75">
      <c r="A1527" s="98" t="s">
        <v>2255</v>
      </c>
      <c r="B1527" s="98"/>
      <c r="C1527" s="98" t="s">
        <v>428</v>
      </c>
      <c r="D1527" s="4" t="s">
        <v>428</v>
      </c>
      <c r="E1527" s="7">
        <v>38</v>
      </c>
      <c r="F1527" s="7">
        <v>96</v>
      </c>
      <c r="G1527" s="4" t="s">
        <v>74</v>
      </c>
    </row>
    <row r="1528" spans="1:7" ht="12.75">
      <c r="A1528" s="98" t="s">
        <v>2256</v>
      </c>
      <c r="B1528" s="98"/>
      <c r="C1528" s="98" t="s">
        <v>512</v>
      </c>
      <c r="D1528" s="4" t="s">
        <v>512</v>
      </c>
      <c r="E1528" s="7">
        <v>5950</v>
      </c>
      <c r="F1528" s="7">
        <v>10539</v>
      </c>
      <c r="G1528" s="4" t="s">
        <v>74</v>
      </c>
    </row>
    <row r="1529" spans="1:7" ht="12.75">
      <c r="A1529" s="98" t="s">
        <v>2257</v>
      </c>
      <c r="B1529" s="98"/>
      <c r="C1529" s="98" t="s">
        <v>512</v>
      </c>
      <c r="D1529" s="4" t="s">
        <v>512</v>
      </c>
      <c r="E1529" s="7">
        <v>5950</v>
      </c>
      <c r="F1529" s="7">
        <v>10539</v>
      </c>
      <c r="G1529" s="4" t="s">
        <v>74</v>
      </c>
    </row>
    <row r="1530" spans="1:7" ht="12.75">
      <c r="A1530" s="98" t="s">
        <v>2258</v>
      </c>
      <c r="B1530" s="98"/>
      <c r="C1530" s="98" t="s">
        <v>428</v>
      </c>
      <c r="D1530" s="4" t="s">
        <v>428</v>
      </c>
      <c r="E1530" s="7">
        <v>38</v>
      </c>
      <c r="F1530" s="7">
        <v>96</v>
      </c>
      <c r="G1530" s="4" t="s">
        <v>74</v>
      </c>
    </row>
    <row r="1531" spans="1:7" ht="12.75">
      <c r="A1531" s="98" t="s">
        <v>2259</v>
      </c>
      <c r="B1531" s="98"/>
      <c r="C1531" s="98" t="s">
        <v>428</v>
      </c>
      <c r="D1531" s="4" t="s">
        <v>428</v>
      </c>
      <c r="E1531" s="7">
        <v>38</v>
      </c>
      <c r="F1531" s="7">
        <v>96</v>
      </c>
      <c r="G1531" s="4" t="s">
        <v>74</v>
      </c>
    </row>
    <row r="1532" spans="1:7" ht="12.75">
      <c r="A1532" s="98" t="s">
        <v>2260</v>
      </c>
      <c r="B1532" s="98"/>
      <c r="C1532" s="98" t="s">
        <v>428</v>
      </c>
      <c r="D1532" s="4" t="s">
        <v>428</v>
      </c>
      <c r="E1532" s="7">
        <v>38</v>
      </c>
      <c r="F1532" s="7">
        <v>96</v>
      </c>
      <c r="G1532" s="4" t="s">
        <v>74</v>
      </c>
    </row>
    <row r="1533" spans="1:7" ht="12.75">
      <c r="A1533" s="98" t="s">
        <v>2261</v>
      </c>
      <c r="B1533" s="98"/>
      <c r="C1533" s="98" t="s">
        <v>428</v>
      </c>
      <c r="D1533" s="4" t="s">
        <v>428</v>
      </c>
      <c r="E1533" s="7">
        <v>38</v>
      </c>
      <c r="F1533" s="7">
        <v>96</v>
      </c>
      <c r="G1533" s="4" t="s">
        <v>74</v>
      </c>
    </row>
    <row r="1534" spans="1:7" ht="12.75">
      <c r="A1534" s="98" t="s">
        <v>2262</v>
      </c>
      <c r="B1534" s="98"/>
      <c r="C1534" s="98" t="s">
        <v>428</v>
      </c>
      <c r="D1534" s="4" t="s">
        <v>428</v>
      </c>
      <c r="E1534" s="7">
        <v>38</v>
      </c>
      <c r="F1534" s="7">
        <v>96</v>
      </c>
      <c r="G1534" s="4" t="s">
        <v>74</v>
      </c>
    </row>
    <row r="1535" spans="1:7" ht="12.75">
      <c r="A1535" s="98"/>
      <c r="B1535" s="98"/>
      <c r="C1535" s="98"/>
      <c r="E1535" s="7"/>
      <c r="F1535" s="7"/>
      <c r="G1535" s="4"/>
    </row>
    <row r="1536" spans="1:7" ht="12.75">
      <c r="A1536" s="96"/>
      <c r="B1536" s="98"/>
      <c r="C1536" s="100"/>
      <c r="D1536" s="100"/>
      <c r="E1536" s="100"/>
      <c r="F1536" s="100"/>
      <c r="G1536" s="100"/>
    </row>
    <row r="1537" spans="1:7" ht="12.75">
      <c r="A1537" s="98"/>
      <c r="B1537" s="98"/>
      <c r="C1537" s="98"/>
      <c r="E1537" s="7"/>
      <c r="F1537" s="7"/>
      <c r="G1537" s="4"/>
    </row>
    <row r="1538" spans="1:7" ht="12.75">
      <c r="A1538" s="98"/>
      <c r="B1538" s="98"/>
      <c r="C1538" s="98"/>
      <c r="E1538" s="7"/>
      <c r="F1538" s="7"/>
      <c r="G1538" s="4"/>
    </row>
    <row r="1539" spans="1:7" ht="12.75">
      <c r="A1539" s="98"/>
      <c r="B1539" s="98"/>
      <c r="C1539" s="98"/>
      <c r="E1539" s="7"/>
      <c r="F1539" s="7"/>
      <c r="G1539" s="4"/>
    </row>
    <row r="1540" spans="1:7" ht="12.75">
      <c r="A1540" s="98"/>
      <c r="B1540" s="98"/>
      <c r="C1540" s="98"/>
      <c r="E1540" s="7"/>
      <c r="F1540" s="7"/>
      <c r="G1540" s="4"/>
    </row>
    <row r="1541" spans="1:7" ht="12.75">
      <c r="A1541" s="98"/>
      <c r="B1541" s="98"/>
      <c r="C1541" s="98"/>
      <c r="E1541" s="7"/>
      <c r="F1541" s="7"/>
      <c r="G1541" s="4"/>
    </row>
    <row r="1542" spans="1:7" ht="12.75">
      <c r="A1542" s="98"/>
      <c r="B1542" s="98"/>
      <c r="C1542" s="98"/>
      <c r="E1542" s="7"/>
      <c r="F1542" s="7"/>
      <c r="G1542" s="4"/>
    </row>
    <row r="1543" spans="1:7" ht="12.75">
      <c r="A1543" s="98"/>
      <c r="B1543" s="98"/>
      <c r="C1543" s="98"/>
      <c r="E1543" s="7"/>
      <c r="F1543" s="7"/>
      <c r="G1543" s="4"/>
    </row>
    <row r="1544" spans="1:7" ht="12.75">
      <c r="A1544" s="98"/>
      <c r="B1544" s="98"/>
      <c r="C1544" s="98"/>
      <c r="E1544" s="7"/>
      <c r="F1544" s="7"/>
      <c r="G1544" s="4"/>
    </row>
    <row r="1545" spans="1:7" ht="12.75">
      <c r="A1545" s="98"/>
      <c r="B1545" s="98"/>
      <c r="C1545" s="98"/>
      <c r="E1545" s="7"/>
      <c r="F1545" s="7"/>
      <c r="G1545" s="4"/>
    </row>
    <row r="1546" spans="1:7" ht="12.75">
      <c r="A1546" s="98"/>
      <c r="B1546" s="98"/>
      <c r="C1546" s="98"/>
      <c r="E1546" s="7"/>
      <c r="F1546" s="7"/>
      <c r="G1546" s="4"/>
    </row>
    <row r="1547" spans="1:7" ht="12.75">
      <c r="A1547" s="98"/>
      <c r="B1547" s="98"/>
      <c r="C1547" s="98"/>
      <c r="E1547" s="7"/>
      <c r="F1547" s="7"/>
      <c r="G1547" s="4"/>
    </row>
    <row r="1548" spans="1:7" ht="12.75">
      <c r="A1548" s="98"/>
      <c r="B1548" s="98"/>
      <c r="C1548" s="98"/>
      <c r="E1548" s="7"/>
      <c r="F1548" s="7"/>
      <c r="G1548" s="4"/>
    </row>
    <row r="1549" spans="1:7" ht="12.75">
      <c r="A1549" s="98"/>
      <c r="B1549" s="98"/>
      <c r="C1549" s="98"/>
      <c r="E1549" s="7"/>
      <c r="F1549" s="7"/>
      <c r="G1549" s="4"/>
    </row>
    <row r="1550" spans="1:7" ht="12.75">
      <c r="A1550" s="98"/>
      <c r="B1550" s="98"/>
      <c r="C1550" s="98"/>
      <c r="E1550" s="7"/>
      <c r="F1550" s="7"/>
      <c r="G1550" s="4"/>
    </row>
    <row r="1551" spans="1:7" ht="12.75">
      <c r="A1551" s="98"/>
      <c r="B1551" s="98"/>
      <c r="C1551" s="98"/>
      <c r="E1551" s="7"/>
      <c r="F1551" s="7"/>
      <c r="G1551" s="4"/>
    </row>
    <row r="1552" spans="1:7" ht="12.75">
      <c r="A1552" s="98"/>
      <c r="B1552" s="98"/>
      <c r="C1552" s="98"/>
      <c r="E1552" s="7"/>
      <c r="F1552" s="7"/>
      <c r="G1552" s="4"/>
    </row>
    <row r="1553" spans="1:7" ht="12.75">
      <c r="A1553" s="98"/>
      <c r="B1553" s="98"/>
      <c r="C1553" s="98"/>
      <c r="E1553" s="7"/>
      <c r="F1553" s="7"/>
      <c r="G1553" s="4"/>
    </row>
    <row r="1554" spans="1:7" ht="12.75">
      <c r="A1554" s="98"/>
      <c r="B1554" s="98"/>
      <c r="C1554" s="98"/>
      <c r="E1554" s="7"/>
      <c r="F1554" s="7"/>
      <c r="G1554" s="4"/>
    </row>
    <row r="1555" spans="1:7" ht="12.75">
      <c r="A1555" s="98"/>
      <c r="B1555" s="98"/>
      <c r="C1555" s="98"/>
      <c r="E1555" s="7"/>
      <c r="F1555" s="7"/>
      <c r="G1555" s="4"/>
    </row>
    <row r="1556" spans="1:7" ht="12.75">
      <c r="A1556" s="98"/>
      <c r="B1556" s="98"/>
      <c r="C1556" s="98"/>
      <c r="E1556" s="7"/>
      <c r="F1556" s="7"/>
      <c r="G1556" s="4"/>
    </row>
    <row r="1557" spans="1:7" ht="12.75">
      <c r="A1557" s="98"/>
      <c r="B1557" s="98"/>
      <c r="C1557" s="98"/>
      <c r="E1557" s="7"/>
      <c r="F1557" s="7"/>
      <c r="G1557" s="4"/>
    </row>
    <row r="1558" spans="1:7" ht="12.75">
      <c r="A1558" s="98"/>
      <c r="B1558" s="98"/>
      <c r="C1558" s="98"/>
      <c r="E1558" s="7"/>
      <c r="F1558" s="7"/>
      <c r="G1558" s="4"/>
    </row>
    <row r="1559" spans="1:7" ht="12.75">
      <c r="A1559" s="98"/>
      <c r="B1559" s="98"/>
      <c r="C1559" s="98"/>
      <c r="E1559" s="7"/>
      <c r="F1559" s="7"/>
      <c r="G1559" s="4"/>
    </row>
    <row r="1560" spans="1:7" ht="12.75">
      <c r="A1560" s="98"/>
      <c r="B1560" s="98"/>
      <c r="C1560" s="98"/>
      <c r="E1560" s="7"/>
      <c r="F1560" s="7"/>
      <c r="G1560" s="4"/>
    </row>
    <row r="1561" spans="1:7" ht="12.75">
      <c r="A1561" s="98"/>
      <c r="B1561" s="98"/>
      <c r="C1561" s="98"/>
      <c r="E1561" s="7"/>
      <c r="F1561" s="7"/>
      <c r="G1561" s="4"/>
    </row>
    <row r="1562" spans="1:7" ht="12.75">
      <c r="A1562" s="98"/>
      <c r="B1562" s="98"/>
      <c r="C1562" s="98"/>
      <c r="E1562" s="7"/>
      <c r="F1562" s="7"/>
      <c r="G1562" s="4"/>
    </row>
    <row r="1563" spans="1:7" ht="12.75">
      <c r="A1563" s="98"/>
      <c r="B1563" s="98"/>
      <c r="C1563" s="98"/>
      <c r="E1563" s="7"/>
      <c r="F1563" s="7"/>
      <c r="G1563" s="4"/>
    </row>
    <row r="1564" spans="1:7" ht="12.75">
      <c r="A1564" s="98"/>
      <c r="B1564" s="98"/>
      <c r="C1564" s="98"/>
      <c r="E1564" s="7"/>
      <c r="F1564" s="7"/>
      <c r="G1564" s="4"/>
    </row>
    <row r="1565" spans="1:7" ht="12.75">
      <c r="A1565" s="98"/>
      <c r="B1565" s="98"/>
      <c r="C1565" s="98"/>
      <c r="E1565" s="7"/>
      <c r="F1565" s="7"/>
      <c r="G1565" s="4"/>
    </row>
    <row r="1566" spans="1:7" ht="12.75">
      <c r="A1566" s="98"/>
      <c r="B1566" s="98"/>
      <c r="C1566" s="98"/>
      <c r="E1566" s="7"/>
      <c r="F1566" s="7"/>
      <c r="G1566" s="4"/>
    </row>
    <row r="1567" spans="1:7" ht="12.75">
      <c r="A1567" s="98"/>
      <c r="B1567" s="98"/>
      <c r="C1567" s="98"/>
      <c r="E1567" s="7"/>
      <c r="F1567" s="7"/>
      <c r="G1567" s="4"/>
    </row>
    <row r="1568" spans="1:7" ht="12.75">
      <c r="A1568" s="98"/>
      <c r="B1568" s="98"/>
      <c r="C1568" s="98"/>
      <c r="E1568" s="7"/>
      <c r="F1568" s="7"/>
      <c r="G1568" s="4"/>
    </row>
    <row r="1569" spans="1:7" ht="12.75">
      <c r="A1569" s="98"/>
      <c r="B1569" s="98"/>
      <c r="C1569" s="98"/>
      <c r="E1569" s="7"/>
      <c r="F1569" s="7"/>
      <c r="G1569" s="4"/>
    </row>
    <row r="1570" spans="1:7" ht="12.75">
      <c r="A1570" s="98"/>
      <c r="B1570" s="98"/>
      <c r="C1570" s="98"/>
      <c r="E1570" s="7"/>
      <c r="F1570" s="7"/>
      <c r="G1570" s="4"/>
    </row>
    <row r="1571" spans="1:7" ht="12.75">
      <c r="A1571" s="98"/>
      <c r="B1571" s="98"/>
      <c r="C1571" s="98"/>
      <c r="E1571" s="7"/>
      <c r="F1571" s="7"/>
      <c r="G1571" s="4"/>
    </row>
    <row r="1572" spans="1:7" ht="12.75">
      <c r="A1572" s="98"/>
      <c r="B1572" s="98"/>
      <c r="C1572" s="98"/>
      <c r="E1572" s="7"/>
      <c r="F1572" s="7"/>
      <c r="G1572" s="4"/>
    </row>
    <row r="1573" spans="1:7" ht="12.75">
      <c r="A1573" s="98"/>
      <c r="B1573" s="98"/>
      <c r="C1573" s="98"/>
      <c r="E1573" s="7"/>
      <c r="F1573" s="7"/>
      <c r="G1573" s="4"/>
    </row>
    <row r="1574" spans="1:7" ht="12.75">
      <c r="A1574" s="98"/>
      <c r="B1574" s="98"/>
      <c r="C1574" s="98"/>
      <c r="E1574" s="7"/>
      <c r="F1574" s="7"/>
      <c r="G1574" s="4"/>
    </row>
    <row r="1575" spans="1:7" ht="12.75">
      <c r="A1575" s="98"/>
      <c r="B1575" s="98"/>
      <c r="C1575" s="98"/>
      <c r="E1575" s="7"/>
      <c r="F1575" s="7"/>
      <c r="G1575" s="4"/>
    </row>
    <row r="1576" spans="1:7" ht="12.75">
      <c r="A1576" s="98"/>
      <c r="B1576" s="98"/>
      <c r="C1576" s="98"/>
      <c r="E1576" s="7"/>
      <c r="F1576" s="7"/>
      <c r="G1576" s="4"/>
    </row>
    <row r="1577" spans="1:7" ht="12.75">
      <c r="A1577" s="98"/>
      <c r="B1577" s="98"/>
      <c r="C1577" s="98"/>
      <c r="E1577" s="7"/>
      <c r="F1577" s="7"/>
      <c r="G1577" s="4"/>
    </row>
    <row r="1578" spans="1:7" ht="12.75">
      <c r="A1578" s="98"/>
      <c r="B1578" s="98"/>
      <c r="C1578" s="98"/>
      <c r="E1578" s="7"/>
      <c r="F1578" s="7"/>
      <c r="G1578" s="4"/>
    </row>
    <row r="1579" spans="1:7" ht="12.75">
      <c r="A1579" s="98"/>
      <c r="B1579" s="98"/>
      <c r="C1579" s="98"/>
      <c r="E1579" s="7"/>
      <c r="F1579" s="7"/>
      <c r="G1579" s="4"/>
    </row>
    <row r="1580" spans="1:7" ht="12.75">
      <c r="A1580" s="98"/>
      <c r="B1580" s="98"/>
      <c r="C1580" s="98"/>
      <c r="E1580" s="7"/>
      <c r="F1580" s="7"/>
      <c r="G1580" s="4"/>
    </row>
    <row r="1581" spans="1:7" ht="12.75">
      <c r="A1581" s="98"/>
      <c r="B1581" s="98"/>
      <c r="C1581" s="98"/>
      <c r="E1581" s="7"/>
      <c r="F1581" s="7"/>
      <c r="G1581" s="4"/>
    </row>
    <row r="1582" spans="1:7" ht="12.75">
      <c r="A1582" s="98"/>
      <c r="B1582" s="98"/>
      <c r="C1582" s="98"/>
      <c r="E1582" s="7"/>
      <c r="F1582" s="7"/>
      <c r="G1582" s="4"/>
    </row>
    <row r="1583" spans="1:7" ht="12.75">
      <c r="A1583" s="98"/>
      <c r="B1583" s="98"/>
      <c r="C1583" s="98"/>
      <c r="E1583" s="7"/>
      <c r="F1583" s="7"/>
      <c r="G1583" s="4"/>
    </row>
    <row r="1584" spans="1:7" ht="12.75">
      <c r="A1584" s="98"/>
      <c r="B1584" s="98"/>
      <c r="C1584" s="98"/>
      <c r="E1584" s="7"/>
      <c r="F1584" s="7"/>
      <c r="G1584" s="4"/>
    </row>
    <row r="1585" spans="1:7" ht="12.75">
      <c r="A1585" s="98"/>
      <c r="B1585" s="98"/>
      <c r="C1585" s="98"/>
      <c r="E1585" s="7"/>
      <c r="F1585" s="7"/>
      <c r="G1585" s="4"/>
    </row>
    <row r="1586" spans="1:7" ht="12.75">
      <c r="A1586" s="98"/>
      <c r="B1586" s="98"/>
      <c r="C1586" s="98"/>
      <c r="E1586" s="7"/>
      <c r="F1586" s="7"/>
      <c r="G1586" s="4"/>
    </row>
    <row r="1587" spans="1:7" ht="12.75">
      <c r="A1587" s="98"/>
      <c r="B1587" s="98"/>
      <c r="C1587" s="98"/>
      <c r="E1587" s="7"/>
      <c r="F1587" s="7"/>
      <c r="G1587" s="4"/>
    </row>
    <row r="1588" spans="1:7" ht="12.75">
      <c r="A1588" s="98"/>
      <c r="B1588" s="98"/>
      <c r="C1588" s="98"/>
      <c r="E1588" s="7"/>
      <c r="F1588" s="7"/>
      <c r="G1588" s="4"/>
    </row>
    <row r="1589" spans="1:7" ht="12.75">
      <c r="A1589" s="98"/>
      <c r="B1589" s="98"/>
      <c r="C1589" s="98"/>
      <c r="E1589" s="7"/>
      <c r="F1589" s="7"/>
      <c r="G1589" s="4"/>
    </row>
    <row r="1590" spans="1:7" ht="12.75">
      <c r="A1590" s="98"/>
      <c r="B1590" s="98"/>
      <c r="C1590" s="98"/>
      <c r="E1590" s="7"/>
      <c r="F1590" s="7"/>
      <c r="G1590" s="4"/>
    </row>
    <row r="1591" spans="1:7" ht="12.75">
      <c r="A1591" s="98"/>
      <c r="B1591" s="98"/>
      <c r="C1591" s="98"/>
      <c r="E1591" s="7"/>
      <c r="F1591" s="7"/>
      <c r="G1591" s="4"/>
    </row>
    <row r="1592" spans="1:7" ht="12.75">
      <c r="A1592" s="98"/>
      <c r="B1592" s="98"/>
      <c r="C1592" s="98"/>
      <c r="E1592" s="7"/>
      <c r="F1592" s="7"/>
      <c r="G1592" s="4"/>
    </row>
    <row r="1593" spans="1:7" ht="12.75">
      <c r="A1593" s="98"/>
      <c r="B1593" s="98"/>
      <c r="C1593" s="98"/>
      <c r="E1593" s="7"/>
      <c r="F1593" s="7"/>
      <c r="G1593" s="4"/>
    </row>
    <row r="1594" spans="1:7" ht="12.75">
      <c r="A1594" s="98"/>
      <c r="B1594" s="98"/>
      <c r="C1594" s="98"/>
      <c r="E1594" s="7"/>
      <c r="F1594" s="7"/>
      <c r="G1594" s="4"/>
    </row>
    <row r="1595" spans="1:7" ht="12.75">
      <c r="A1595" s="98"/>
      <c r="B1595" s="98"/>
      <c r="C1595" s="98"/>
      <c r="E1595" s="7"/>
      <c r="F1595" s="7"/>
      <c r="G1595" s="4"/>
    </row>
    <row r="1596" spans="1:7" ht="12.75">
      <c r="A1596" s="98"/>
      <c r="B1596" s="98"/>
      <c r="C1596" s="98"/>
      <c r="E1596" s="7"/>
      <c r="F1596" s="7"/>
      <c r="G1596" s="4"/>
    </row>
    <row r="1597" spans="1:7" ht="12.75">
      <c r="A1597" s="98"/>
      <c r="B1597" s="98"/>
      <c r="C1597" s="98"/>
      <c r="E1597" s="7"/>
      <c r="F1597" s="7"/>
      <c r="G1597" s="4"/>
    </row>
    <row r="1598" spans="1:7" ht="12.75">
      <c r="A1598" s="98"/>
      <c r="B1598" s="98"/>
      <c r="C1598" s="98"/>
      <c r="E1598" s="7"/>
      <c r="F1598" s="7"/>
      <c r="G1598" s="4"/>
    </row>
    <row r="1599" spans="1:7" ht="12.75">
      <c r="A1599" s="98"/>
      <c r="B1599" s="98"/>
      <c r="C1599" s="98"/>
      <c r="E1599" s="7"/>
      <c r="F1599" s="7"/>
      <c r="G1599" s="4"/>
    </row>
    <row r="1600" spans="1:7" ht="12.75">
      <c r="A1600" s="98"/>
      <c r="B1600" s="98"/>
      <c r="C1600" s="98"/>
      <c r="E1600" s="7"/>
      <c r="F1600" s="7"/>
      <c r="G1600" s="4"/>
    </row>
    <row r="1601" spans="1:7" ht="12.75">
      <c r="A1601" s="98"/>
      <c r="B1601" s="98"/>
      <c r="C1601" s="98"/>
      <c r="E1601" s="7"/>
      <c r="F1601" s="7"/>
      <c r="G1601" s="4"/>
    </row>
    <row r="1602" spans="1:7" ht="12.75">
      <c r="A1602" s="98"/>
      <c r="B1602" s="98"/>
      <c r="C1602" s="98"/>
      <c r="E1602" s="7"/>
      <c r="F1602" s="7"/>
      <c r="G1602" s="4"/>
    </row>
    <row r="1603" spans="1:7" ht="12.75">
      <c r="A1603" s="98"/>
      <c r="B1603" s="98"/>
      <c r="C1603" s="98"/>
      <c r="E1603" s="7"/>
      <c r="F1603" s="7"/>
      <c r="G1603" s="4"/>
    </row>
    <row r="1604" spans="1:7" ht="12.75">
      <c r="A1604" s="98"/>
      <c r="B1604" s="98"/>
      <c r="C1604" s="98"/>
      <c r="E1604" s="7"/>
      <c r="F1604" s="7"/>
      <c r="G1604" s="4"/>
    </row>
    <row r="1605" spans="1:7" ht="12.75">
      <c r="A1605" s="98"/>
      <c r="B1605" s="98"/>
      <c r="C1605" s="98"/>
      <c r="E1605" s="7"/>
      <c r="F1605" s="7"/>
      <c r="G1605" s="4"/>
    </row>
    <row r="1606" spans="1:7" ht="12.75">
      <c r="A1606" s="98"/>
      <c r="B1606" s="98"/>
      <c r="C1606" s="98"/>
      <c r="E1606" s="7"/>
      <c r="F1606" s="7"/>
      <c r="G1606" s="4"/>
    </row>
    <row r="1607" spans="1:7" ht="12.75">
      <c r="A1607" s="98"/>
      <c r="B1607" s="98"/>
      <c r="C1607" s="98"/>
      <c r="E1607" s="7"/>
      <c r="F1607" s="7"/>
      <c r="G1607" s="4"/>
    </row>
    <row r="1608" spans="1:7" ht="12.75">
      <c r="A1608" s="98"/>
      <c r="B1608" s="98"/>
      <c r="C1608" s="98"/>
      <c r="E1608" s="7"/>
      <c r="F1608" s="7"/>
      <c r="G1608" s="4"/>
    </row>
    <row r="1609" spans="1:7" ht="12.75">
      <c r="A1609" s="98"/>
      <c r="B1609" s="98"/>
      <c r="C1609" s="98"/>
      <c r="E1609" s="7"/>
      <c r="F1609" s="7"/>
      <c r="G1609" s="4"/>
    </row>
    <row r="1610" spans="1:7" ht="12.75">
      <c r="A1610" s="98"/>
      <c r="B1610" s="98"/>
      <c r="C1610" s="98"/>
      <c r="E1610" s="7"/>
      <c r="F1610" s="7"/>
      <c r="G1610" s="4"/>
    </row>
    <row r="1611" spans="1:7" ht="12.75">
      <c r="A1611" s="98"/>
      <c r="B1611" s="98"/>
      <c r="C1611" s="98"/>
      <c r="E1611" s="7"/>
      <c r="F1611" s="7"/>
      <c r="G1611" s="4"/>
    </row>
    <row r="1612" spans="1:7" ht="12.75">
      <c r="A1612" s="98"/>
      <c r="B1612" s="98"/>
      <c r="C1612" s="98"/>
      <c r="E1612" s="7"/>
      <c r="F1612" s="7"/>
      <c r="G1612" s="4"/>
    </row>
    <row r="1613" spans="1:7" ht="12.75">
      <c r="A1613" s="98"/>
      <c r="B1613" s="98"/>
      <c r="C1613" s="98"/>
      <c r="E1613" s="7"/>
      <c r="F1613" s="7"/>
      <c r="G1613" s="4"/>
    </row>
    <row r="1614" spans="1:7" ht="12.75">
      <c r="A1614" s="98"/>
      <c r="B1614" s="98"/>
      <c r="C1614" s="98"/>
      <c r="E1614" s="7"/>
      <c r="F1614" s="7"/>
      <c r="G1614" s="4"/>
    </row>
    <row r="1615" spans="1:7" ht="12.75">
      <c r="A1615" s="98"/>
      <c r="B1615" s="98"/>
      <c r="C1615" s="98"/>
      <c r="E1615" s="7"/>
      <c r="F1615" s="7"/>
      <c r="G1615" s="4"/>
    </row>
    <row r="1616" spans="1:7" ht="12.75">
      <c r="A1616" s="98"/>
      <c r="B1616" s="98"/>
      <c r="C1616" s="98"/>
      <c r="E1616" s="7"/>
      <c r="F1616" s="7"/>
      <c r="G1616" s="4"/>
    </row>
    <row r="1617" spans="1:7" ht="12.75">
      <c r="A1617" s="98"/>
      <c r="B1617" s="98"/>
      <c r="C1617" s="98"/>
      <c r="E1617" s="7"/>
      <c r="F1617" s="7"/>
      <c r="G1617" s="4"/>
    </row>
    <row r="1618" spans="1:7" ht="12.75">
      <c r="A1618" s="98"/>
      <c r="B1618" s="98"/>
      <c r="C1618" s="98"/>
      <c r="E1618" s="7"/>
      <c r="F1618" s="7"/>
      <c r="G1618" s="4"/>
    </row>
    <row r="1619" spans="1:7" ht="12.75">
      <c r="A1619" s="98"/>
      <c r="B1619" s="98"/>
      <c r="C1619" s="98"/>
      <c r="E1619" s="7"/>
      <c r="F1619" s="7"/>
      <c r="G1619" s="4"/>
    </row>
    <row r="1620" spans="1:7" ht="12.75">
      <c r="A1620" s="98"/>
      <c r="B1620" s="98"/>
      <c r="C1620" s="98"/>
      <c r="E1620" s="7"/>
      <c r="F1620" s="7"/>
      <c r="G1620" s="4"/>
    </row>
    <row r="1621" spans="1:7" ht="12.75">
      <c r="A1621" s="98"/>
      <c r="B1621" s="98"/>
      <c r="C1621" s="98"/>
      <c r="E1621" s="7"/>
      <c r="F1621" s="7"/>
      <c r="G1621" s="4"/>
    </row>
    <row r="1622" spans="1:7" ht="12.75">
      <c r="A1622" s="98"/>
      <c r="B1622" s="98"/>
      <c r="C1622" s="98"/>
      <c r="E1622" s="7"/>
      <c r="F1622" s="7"/>
      <c r="G1622" s="4"/>
    </row>
    <row r="1623" spans="1:7" ht="12.75">
      <c r="A1623" s="98"/>
      <c r="B1623" s="98"/>
      <c r="C1623" s="98"/>
      <c r="E1623" s="7"/>
      <c r="F1623" s="7"/>
      <c r="G1623" s="4"/>
    </row>
    <row r="1624" spans="1:7" ht="12.75">
      <c r="A1624" s="98"/>
      <c r="B1624" s="98"/>
      <c r="C1624" s="98"/>
      <c r="E1624" s="7"/>
      <c r="F1624" s="7"/>
      <c r="G1624" s="4"/>
    </row>
    <row r="1625" spans="1:7" ht="12.75">
      <c r="A1625" s="98"/>
      <c r="B1625" s="98"/>
      <c r="C1625" s="98"/>
      <c r="E1625" s="7"/>
      <c r="F1625" s="7"/>
      <c r="G1625" s="4"/>
    </row>
    <row r="1626" spans="1:7" ht="12.75">
      <c r="A1626" s="98"/>
      <c r="B1626" s="98"/>
      <c r="C1626" s="98"/>
      <c r="E1626" s="7"/>
      <c r="F1626" s="7"/>
      <c r="G1626" s="4"/>
    </row>
    <row r="1627" spans="1:7" ht="12.75">
      <c r="A1627" s="98"/>
      <c r="B1627" s="98"/>
      <c r="C1627" s="98"/>
      <c r="E1627" s="7"/>
      <c r="F1627" s="7"/>
      <c r="G1627" s="4"/>
    </row>
    <row r="1628" spans="1:7" ht="12.75">
      <c r="A1628" s="98"/>
      <c r="B1628" s="98"/>
      <c r="C1628" s="98"/>
      <c r="E1628" s="7"/>
      <c r="F1628" s="7"/>
      <c r="G1628" s="4"/>
    </row>
    <row r="1629" spans="1:7" ht="12.75">
      <c r="A1629" s="98"/>
      <c r="B1629" s="98"/>
      <c r="C1629" s="98"/>
      <c r="E1629" s="7"/>
      <c r="F1629" s="7"/>
      <c r="G1629" s="4"/>
    </row>
    <row r="1630" spans="1:7" ht="12.75">
      <c r="A1630" s="98"/>
      <c r="B1630" s="98"/>
      <c r="C1630" s="98"/>
      <c r="E1630" s="7"/>
      <c r="F1630" s="7"/>
      <c r="G1630" s="4"/>
    </row>
    <row r="1631" spans="1:7" ht="12.75">
      <c r="A1631" s="98"/>
      <c r="B1631" s="98"/>
      <c r="C1631" s="98"/>
      <c r="E1631" s="7"/>
      <c r="F1631" s="7"/>
      <c r="G1631" s="4"/>
    </row>
    <row r="1632" spans="1:7" ht="12.75">
      <c r="A1632" s="98"/>
      <c r="B1632" s="98"/>
      <c r="C1632" s="98"/>
      <c r="E1632" s="7"/>
      <c r="F1632" s="7"/>
      <c r="G1632" s="4"/>
    </row>
    <row r="1633" spans="1:7" ht="12.75">
      <c r="A1633" s="98"/>
      <c r="B1633" s="98"/>
      <c r="C1633" s="98"/>
      <c r="E1633" s="7"/>
      <c r="F1633" s="7"/>
      <c r="G1633" s="4"/>
    </row>
    <row r="1634" spans="1:7" ht="12.75">
      <c r="A1634" s="98"/>
      <c r="B1634" s="98"/>
      <c r="C1634" s="98"/>
      <c r="E1634" s="7"/>
      <c r="F1634" s="7"/>
      <c r="G1634" s="4"/>
    </row>
    <row r="1635" spans="1:7" ht="12.75">
      <c r="A1635" s="98"/>
      <c r="B1635" s="98"/>
      <c r="C1635" s="98"/>
      <c r="E1635" s="7"/>
      <c r="F1635" s="7"/>
      <c r="G1635" s="4"/>
    </row>
    <row r="1636" spans="1:7" ht="12.75">
      <c r="A1636" s="98"/>
      <c r="B1636" s="98"/>
      <c r="C1636" s="98"/>
      <c r="E1636" s="7"/>
      <c r="F1636" s="7"/>
      <c r="G1636" s="4"/>
    </row>
    <row r="1637" spans="1:7" ht="12.75">
      <c r="A1637" s="98"/>
      <c r="B1637" s="98"/>
      <c r="C1637" s="98"/>
      <c r="E1637" s="7"/>
      <c r="F1637" s="7"/>
      <c r="G1637" s="4"/>
    </row>
    <row r="1638" spans="1:7" ht="12.75">
      <c r="A1638" s="98"/>
      <c r="B1638" s="98"/>
      <c r="C1638" s="98"/>
      <c r="E1638" s="7"/>
      <c r="F1638" s="7"/>
      <c r="G1638" s="4"/>
    </row>
    <row r="1639" spans="1:7" ht="12.75">
      <c r="A1639" s="98"/>
      <c r="B1639" s="98"/>
      <c r="C1639" s="98"/>
      <c r="E1639" s="7"/>
      <c r="F1639" s="7"/>
      <c r="G1639" s="4"/>
    </row>
    <row r="1640" spans="1:7" ht="12.75">
      <c r="A1640" s="98"/>
      <c r="B1640" s="98"/>
      <c r="C1640" s="98"/>
      <c r="E1640" s="7"/>
      <c r="F1640" s="7"/>
      <c r="G1640" s="4"/>
    </row>
    <row r="1641" spans="1:7" ht="12.75">
      <c r="A1641" s="98"/>
      <c r="B1641" s="98"/>
      <c r="C1641" s="98"/>
      <c r="E1641" s="7"/>
      <c r="F1641" s="7"/>
      <c r="G1641" s="4"/>
    </row>
    <row r="1642" spans="1:7" ht="12.75">
      <c r="A1642" s="98"/>
      <c r="B1642" s="98"/>
      <c r="C1642" s="98"/>
      <c r="E1642" s="7"/>
      <c r="F1642" s="7"/>
      <c r="G1642" s="4"/>
    </row>
    <row r="1643" spans="1:7" ht="12.75">
      <c r="A1643" s="98"/>
      <c r="B1643" s="98"/>
      <c r="C1643" s="98"/>
      <c r="E1643" s="7"/>
      <c r="F1643" s="7"/>
      <c r="G1643" s="4"/>
    </row>
    <row r="1644" spans="1:7" ht="12.75">
      <c r="A1644" s="98"/>
      <c r="B1644" s="98"/>
      <c r="C1644" s="98"/>
      <c r="E1644" s="7"/>
      <c r="F1644" s="7"/>
      <c r="G1644" s="4"/>
    </row>
    <row r="1645" spans="1:7" ht="12.75">
      <c r="A1645" s="98"/>
      <c r="B1645" s="98"/>
      <c r="C1645" s="98"/>
      <c r="E1645" s="7"/>
      <c r="F1645" s="7"/>
      <c r="G1645" s="4"/>
    </row>
    <row r="1646" spans="1:7" ht="12.75">
      <c r="A1646" s="98"/>
      <c r="B1646" s="98"/>
      <c r="C1646" s="98"/>
      <c r="E1646" s="7"/>
      <c r="F1646" s="7"/>
      <c r="G1646" s="4"/>
    </row>
    <row r="1647" spans="1:7" ht="12.75">
      <c r="A1647" s="98"/>
      <c r="B1647" s="98"/>
      <c r="C1647" s="98"/>
      <c r="E1647" s="7"/>
      <c r="F1647" s="7"/>
      <c r="G1647" s="4"/>
    </row>
    <row r="1648" spans="1:7" ht="12.75">
      <c r="A1648" s="98"/>
      <c r="B1648" s="98"/>
      <c r="C1648" s="98"/>
      <c r="E1648" s="7"/>
      <c r="F1648" s="7"/>
      <c r="G1648" s="4"/>
    </row>
    <row r="1649" spans="1:7" ht="12.75">
      <c r="A1649" s="98"/>
      <c r="B1649" s="98"/>
      <c r="C1649" s="98"/>
      <c r="E1649" s="7"/>
      <c r="F1649" s="7"/>
      <c r="G1649" s="4"/>
    </row>
    <row r="1650" spans="1:7" ht="12.75">
      <c r="A1650" s="98"/>
      <c r="B1650" s="98"/>
      <c r="C1650" s="98"/>
      <c r="E1650" s="7"/>
      <c r="F1650" s="7"/>
      <c r="G1650" s="4"/>
    </row>
    <row r="1651" spans="1:7" ht="12.75">
      <c r="A1651" s="98"/>
      <c r="B1651" s="98"/>
      <c r="C1651" s="98"/>
      <c r="E1651" s="7"/>
      <c r="F1651" s="7"/>
      <c r="G1651" s="4"/>
    </row>
    <row r="1652" spans="1:7" ht="12.75">
      <c r="A1652" s="98"/>
      <c r="B1652" s="98"/>
      <c r="C1652" s="98"/>
      <c r="E1652" s="7"/>
      <c r="F1652" s="7"/>
      <c r="G1652" s="4"/>
    </row>
    <row r="1653" spans="1:7" ht="12.75">
      <c r="A1653" s="98"/>
      <c r="B1653" s="98"/>
      <c r="C1653" s="98"/>
      <c r="E1653" s="7"/>
      <c r="F1653" s="7"/>
      <c r="G1653" s="4"/>
    </row>
    <row r="1654" spans="1:7" ht="12.75">
      <c r="A1654" s="98"/>
      <c r="B1654" s="98"/>
      <c r="C1654" s="98"/>
      <c r="E1654" s="7"/>
      <c r="F1654" s="7"/>
      <c r="G1654" s="4"/>
    </row>
    <row r="1655" spans="1:7" ht="12.75">
      <c r="A1655" s="98"/>
      <c r="B1655" s="98"/>
      <c r="C1655" s="98"/>
      <c r="E1655" s="7"/>
      <c r="F1655" s="7"/>
      <c r="G1655" s="4"/>
    </row>
    <row r="1656" spans="1:7" ht="12.75">
      <c r="A1656" s="98"/>
      <c r="B1656" s="98"/>
      <c r="C1656" s="98"/>
      <c r="E1656" s="7"/>
      <c r="F1656" s="7"/>
      <c r="G1656" s="4"/>
    </row>
    <row r="1657" spans="1:7" ht="12.75">
      <c r="A1657" s="98"/>
      <c r="B1657" s="98"/>
      <c r="C1657" s="98"/>
      <c r="E1657" s="7"/>
      <c r="F1657" s="7"/>
      <c r="G1657" s="4"/>
    </row>
    <row r="1658" spans="1:7" ht="12.75">
      <c r="A1658" s="98"/>
      <c r="B1658" s="98"/>
      <c r="C1658" s="98"/>
      <c r="E1658" s="7"/>
      <c r="F1658" s="7"/>
      <c r="G1658" s="4"/>
    </row>
    <row r="1659" spans="1:7" ht="12.75">
      <c r="A1659" s="98"/>
      <c r="B1659" s="98"/>
      <c r="C1659" s="98"/>
      <c r="E1659" s="7"/>
      <c r="F1659" s="7"/>
      <c r="G1659" s="4"/>
    </row>
    <row r="1660" spans="1:7" ht="12.75">
      <c r="A1660" s="98"/>
      <c r="B1660" s="98"/>
      <c r="C1660" s="98"/>
      <c r="E1660" s="7"/>
      <c r="F1660" s="7"/>
      <c r="G1660" s="4"/>
    </row>
    <row r="1661" spans="1:7" ht="12.75">
      <c r="A1661" s="98"/>
      <c r="B1661" s="98"/>
      <c r="C1661" s="98"/>
      <c r="E1661" s="7"/>
      <c r="F1661" s="7"/>
      <c r="G1661" s="4"/>
    </row>
    <row r="1662" spans="1:7" ht="12.75">
      <c r="A1662" s="98"/>
      <c r="B1662" s="98"/>
      <c r="C1662" s="98"/>
      <c r="E1662" s="7"/>
      <c r="F1662" s="7"/>
      <c r="G1662" s="4"/>
    </row>
    <row r="1663" spans="1:7" ht="12.75">
      <c r="A1663" s="98"/>
      <c r="B1663" s="98"/>
      <c r="C1663" s="98"/>
      <c r="E1663" s="7"/>
      <c r="F1663" s="7"/>
      <c r="G1663" s="4"/>
    </row>
    <row r="1664" spans="1:7" ht="12.75">
      <c r="A1664" s="98"/>
      <c r="B1664" s="98"/>
      <c r="C1664" s="98"/>
      <c r="E1664" s="7"/>
      <c r="F1664" s="7"/>
      <c r="G1664" s="4"/>
    </row>
    <row r="1665" spans="1:7" ht="12.75">
      <c r="A1665" s="98"/>
      <c r="B1665" s="98"/>
      <c r="C1665" s="98"/>
      <c r="E1665" s="7"/>
      <c r="F1665" s="7"/>
      <c r="G1665" s="4"/>
    </row>
    <row r="1666" spans="1:7" ht="12.75">
      <c r="A1666" s="98"/>
      <c r="B1666" s="98"/>
      <c r="C1666" s="98"/>
      <c r="E1666" s="7"/>
      <c r="F1666" s="7"/>
      <c r="G1666" s="4"/>
    </row>
    <row r="1667" spans="1:7" ht="12.75">
      <c r="A1667" s="98"/>
      <c r="B1667" s="98"/>
      <c r="C1667" s="98"/>
      <c r="E1667" s="7"/>
      <c r="F1667" s="7"/>
      <c r="G1667" s="4"/>
    </row>
    <row r="1668" spans="1:7" ht="12.75">
      <c r="A1668" s="98"/>
      <c r="B1668" s="98"/>
      <c r="C1668" s="98"/>
      <c r="E1668" s="7"/>
      <c r="F1668" s="7"/>
      <c r="G1668" s="4"/>
    </row>
    <row r="1669" spans="1:7" ht="12.75">
      <c r="A1669" s="98"/>
      <c r="B1669" s="98"/>
      <c r="C1669" s="98"/>
      <c r="E1669" s="7"/>
      <c r="F1669" s="7"/>
      <c r="G1669" s="4"/>
    </row>
    <row r="1670" spans="1:7" ht="12.75">
      <c r="A1670" s="98"/>
      <c r="B1670" s="98"/>
      <c r="C1670" s="98"/>
      <c r="E1670" s="7"/>
      <c r="F1670" s="7"/>
      <c r="G1670" s="4"/>
    </row>
    <row r="1671" spans="1:7" ht="12.75">
      <c r="A1671" s="98"/>
      <c r="B1671" s="98"/>
      <c r="C1671" s="98"/>
      <c r="E1671" s="7"/>
      <c r="F1671" s="7"/>
      <c r="G1671" s="4"/>
    </row>
    <row r="1672" spans="1:7" ht="12.75">
      <c r="A1672" s="98"/>
      <c r="B1672" s="98"/>
      <c r="C1672" s="98"/>
      <c r="E1672" s="7"/>
      <c r="F1672" s="7"/>
      <c r="G1672" s="4"/>
    </row>
    <row r="1673" spans="1:7" ht="12.75">
      <c r="A1673" s="98"/>
      <c r="B1673" s="98"/>
      <c r="C1673" s="98"/>
      <c r="E1673" s="7"/>
      <c r="F1673" s="7"/>
      <c r="G1673" s="4"/>
    </row>
    <row r="1674" spans="1:7" ht="12.75">
      <c r="A1674" s="98"/>
      <c r="B1674" s="98"/>
      <c r="C1674" s="98"/>
      <c r="E1674" s="7"/>
      <c r="F1674" s="7"/>
      <c r="G1674" s="4"/>
    </row>
    <row r="1675" spans="1:7" ht="12.75">
      <c r="A1675" s="98"/>
      <c r="B1675" s="98"/>
      <c r="C1675" s="98"/>
      <c r="E1675" s="7"/>
      <c r="F1675" s="7"/>
      <c r="G1675" s="4"/>
    </row>
    <row r="1676" spans="1:7" ht="12.75">
      <c r="A1676" s="98"/>
      <c r="B1676" s="98"/>
      <c r="C1676" s="98"/>
      <c r="E1676" s="7"/>
      <c r="F1676" s="7"/>
      <c r="G1676" s="4"/>
    </row>
    <row r="1677" spans="1:7" ht="12.75">
      <c r="A1677" s="98"/>
      <c r="B1677" s="98"/>
      <c r="C1677" s="98"/>
      <c r="E1677" s="7"/>
      <c r="F1677" s="7"/>
      <c r="G1677" s="4"/>
    </row>
    <row r="1678" spans="1:7" ht="12.75">
      <c r="A1678" s="98"/>
      <c r="B1678" s="98"/>
      <c r="C1678" s="98"/>
      <c r="E1678" s="7"/>
      <c r="F1678" s="7"/>
      <c r="G1678" s="4"/>
    </row>
    <row r="1679" spans="1:7" ht="12.75">
      <c r="A1679" s="98"/>
      <c r="B1679" s="98"/>
      <c r="C1679" s="98"/>
      <c r="E1679" s="7"/>
      <c r="F1679" s="7"/>
      <c r="G1679" s="4"/>
    </row>
    <row r="1680" spans="1:7" ht="12.75">
      <c r="A1680" s="98"/>
      <c r="B1680" s="98"/>
      <c r="C1680" s="98"/>
      <c r="E1680" s="7"/>
      <c r="F1680" s="7"/>
      <c r="G1680" s="4"/>
    </row>
    <row r="1681" spans="1:7" ht="12.75">
      <c r="A1681" s="98"/>
      <c r="B1681" s="98"/>
      <c r="C1681" s="98"/>
      <c r="E1681" s="7"/>
      <c r="F1681" s="7"/>
      <c r="G1681" s="4"/>
    </row>
    <row r="1682" spans="1:7" ht="12.75">
      <c r="A1682" s="98"/>
      <c r="B1682" s="98"/>
      <c r="C1682" s="98"/>
      <c r="E1682" s="7"/>
      <c r="F1682" s="7"/>
      <c r="G1682" s="4"/>
    </row>
    <row r="1683" spans="1:7" ht="12.75">
      <c r="A1683" s="98"/>
      <c r="B1683" s="98"/>
      <c r="C1683" s="98"/>
      <c r="E1683" s="7"/>
      <c r="F1683" s="7"/>
      <c r="G1683" s="4"/>
    </row>
    <row r="1684" spans="1:7" ht="12.75">
      <c r="A1684" s="98"/>
      <c r="B1684" s="98"/>
      <c r="C1684" s="98"/>
      <c r="E1684" s="7"/>
      <c r="F1684" s="7"/>
      <c r="G1684" s="4"/>
    </row>
    <row r="1685" spans="1:7" ht="12.75">
      <c r="A1685" s="98"/>
      <c r="B1685" s="98"/>
      <c r="C1685" s="98"/>
      <c r="E1685" s="7"/>
      <c r="F1685" s="7"/>
      <c r="G1685" s="4"/>
    </row>
    <row r="1686" spans="1:7" ht="12.75">
      <c r="A1686" s="98"/>
      <c r="B1686" s="98"/>
      <c r="C1686" s="98"/>
      <c r="E1686" s="7"/>
      <c r="F1686" s="7"/>
      <c r="G1686" s="4"/>
    </row>
    <row r="1687" spans="1:7" ht="12.75">
      <c r="A1687" s="98"/>
      <c r="B1687" s="98"/>
      <c r="C1687" s="98"/>
      <c r="E1687" s="7"/>
      <c r="F1687" s="7"/>
      <c r="G1687" s="4"/>
    </row>
    <row r="1688" spans="1:7" ht="12.75">
      <c r="A1688" s="98"/>
      <c r="B1688" s="98"/>
      <c r="C1688" s="98"/>
      <c r="E1688" s="7"/>
      <c r="F1688" s="7"/>
      <c r="G1688" s="4"/>
    </row>
    <row r="1689" spans="1:7" ht="12.75">
      <c r="A1689" s="98"/>
      <c r="B1689" s="98"/>
      <c r="C1689" s="98"/>
      <c r="E1689" s="7"/>
      <c r="F1689" s="7"/>
      <c r="G1689" s="4"/>
    </row>
    <row r="1690" spans="1:7" ht="12.75">
      <c r="A1690" s="98"/>
      <c r="B1690" s="98"/>
      <c r="C1690" s="98"/>
      <c r="E1690" s="7"/>
      <c r="F1690" s="7"/>
      <c r="G1690" s="4"/>
    </row>
    <row r="1691" spans="1:7" ht="12.75">
      <c r="A1691" s="98"/>
      <c r="B1691" s="98"/>
      <c r="C1691" s="98"/>
      <c r="E1691" s="7"/>
      <c r="F1691" s="7"/>
      <c r="G1691" s="4"/>
    </row>
    <row r="1692" spans="1:7" ht="12.75">
      <c r="A1692" s="98"/>
      <c r="B1692" s="98"/>
      <c r="C1692" s="98"/>
      <c r="E1692" s="7"/>
      <c r="F1692" s="7"/>
      <c r="G1692" s="4"/>
    </row>
    <row r="1693" spans="1:7" ht="12.75">
      <c r="A1693" s="98"/>
      <c r="B1693" s="98"/>
      <c r="C1693" s="98"/>
      <c r="E1693" s="7"/>
      <c r="F1693" s="7"/>
      <c r="G1693" s="4"/>
    </row>
    <row r="1694" spans="1:7" ht="12.75">
      <c r="A1694" s="98"/>
      <c r="B1694" s="98"/>
      <c r="C1694" s="98"/>
      <c r="E1694" s="7"/>
      <c r="F1694" s="7"/>
      <c r="G1694" s="4"/>
    </row>
    <row r="1695" spans="1:7" ht="12.75">
      <c r="A1695" s="98"/>
      <c r="B1695" s="98"/>
      <c r="C1695" s="98"/>
      <c r="E1695" s="7"/>
      <c r="F1695" s="7"/>
      <c r="G1695" s="4"/>
    </row>
    <row r="1696" spans="1:7" ht="12.75">
      <c r="A1696" s="98"/>
      <c r="B1696" s="98"/>
      <c r="C1696" s="98"/>
      <c r="E1696" s="7"/>
      <c r="F1696" s="7"/>
      <c r="G1696" s="4"/>
    </row>
    <row r="1697" spans="1:7" ht="12.75">
      <c r="A1697" s="98"/>
      <c r="B1697" s="98"/>
      <c r="C1697" s="98"/>
      <c r="E1697" s="7"/>
      <c r="F1697" s="7"/>
      <c r="G1697" s="4"/>
    </row>
    <row r="1698" spans="1:7" ht="12.75">
      <c r="A1698" s="98"/>
      <c r="B1698" s="98"/>
      <c r="C1698" s="98"/>
      <c r="E1698" s="7"/>
      <c r="F1698" s="7"/>
      <c r="G1698" s="4"/>
    </row>
    <row r="1699" spans="1:7" ht="12.75">
      <c r="A1699" s="98"/>
      <c r="B1699" s="98"/>
      <c r="C1699" s="98"/>
      <c r="E1699" s="7"/>
      <c r="F1699" s="7"/>
      <c r="G1699" s="4"/>
    </row>
    <row r="1700" spans="1:7" ht="12.75">
      <c r="A1700" s="98"/>
      <c r="B1700" s="98"/>
      <c r="C1700" s="98"/>
      <c r="E1700" s="7"/>
      <c r="F1700" s="7"/>
      <c r="G1700" s="4"/>
    </row>
    <row r="1701" spans="1:7" ht="12.75">
      <c r="A1701" s="98"/>
      <c r="B1701" s="98"/>
      <c r="C1701" s="98"/>
      <c r="E1701" s="7"/>
      <c r="F1701" s="7"/>
      <c r="G1701" s="4"/>
    </row>
    <row r="1702" spans="1:7" ht="12.75">
      <c r="A1702" s="98"/>
      <c r="B1702" s="98"/>
      <c r="C1702" s="98"/>
      <c r="E1702" s="7"/>
      <c r="F1702" s="7"/>
      <c r="G1702" s="4"/>
    </row>
    <row r="1703" spans="1:7" ht="12.75">
      <c r="A1703" s="98"/>
      <c r="B1703" s="98"/>
      <c r="C1703" s="98"/>
      <c r="E1703" s="7"/>
      <c r="F1703" s="7"/>
      <c r="G1703" s="4"/>
    </row>
    <row r="1704" spans="1:7" ht="12.75">
      <c r="A1704" s="98"/>
      <c r="B1704" s="98"/>
      <c r="C1704" s="98"/>
      <c r="E1704" s="7"/>
      <c r="F1704" s="7"/>
      <c r="G1704" s="4"/>
    </row>
    <row r="1705" spans="1:7" ht="12.75">
      <c r="A1705" s="98"/>
      <c r="B1705" s="98"/>
      <c r="C1705" s="98"/>
      <c r="E1705" s="7"/>
      <c r="F1705" s="7"/>
      <c r="G1705" s="4"/>
    </row>
    <row r="1706" spans="1:7" ht="12.75">
      <c r="A1706" s="98"/>
      <c r="B1706" s="98"/>
      <c r="C1706" s="98"/>
      <c r="E1706" s="7"/>
      <c r="F1706" s="7"/>
      <c r="G1706" s="4"/>
    </row>
    <row r="1707" spans="1:7" ht="12.75">
      <c r="A1707" s="98"/>
      <c r="B1707" s="98"/>
      <c r="C1707" s="98"/>
      <c r="E1707" s="7"/>
      <c r="F1707" s="7"/>
      <c r="G1707" s="4"/>
    </row>
    <row r="1708" spans="1:7" ht="12.75">
      <c r="A1708" s="98"/>
      <c r="B1708" s="98"/>
      <c r="C1708" s="98"/>
      <c r="E1708" s="7"/>
      <c r="F1708" s="7"/>
      <c r="G1708" s="4"/>
    </row>
    <row r="1709" spans="1:7" ht="12.75">
      <c r="A1709" s="98"/>
      <c r="B1709" s="98"/>
      <c r="C1709" s="98"/>
      <c r="E1709" s="7"/>
      <c r="F1709" s="7"/>
      <c r="G1709" s="4"/>
    </row>
    <row r="1710" spans="1:7" ht="12.75">
      <c r="A1710" s="98"/>
      <c r="B1710" s="98"/>
      <c r="C1710" s="98"/>
      <c r="E1710" s="7"/>
      <c r="F1710" s="7"/>
      <c r="G1710" s="4"/>
    </row>
    <row r="1711" spans="1:7" ht="12.75">
      <c r="A1711" s="98"/>
      <c r="B1711" s="98"/>
      <c r="C1711" s="98"/>
      <c r="E1711" s="7"/>
      <c r="F1711" s="7"/>
      <c r="G1711" s="4"/>
    </row>
    <row r="1712" spans="1:7" ht="12.75">
      <c r="A1712" s="98"/>
      <c r="B1712" s="98"/>
      <c r="C1712" s="98"/>
      <c r="E1712" s="7"/>
      <c r="F1712" s="7"/>
      <c r="G1712" s="4"/>
    </row>
    <row r="1713" spans="1:7" ht="12.75">
      <c r="A1713" s="98"/>
      <c r="B1713" s="98"/>
      <c r="C1713" s="98"/>
      <c r="E1713" s="7"/>
      <c r="F1713" s="7"/>
      <c r="G1713" s="4"/>
    </row>
    <row r="1714" spans="1:7" ht="12.75">
      <c r="A1714" s="98"/>
      <c r="B1714" s="98"/>
      <c r="C1714" s="98"/>
      <c r="E1714" s="7"/>
      <c r="F1714" s="7"/>
      <c r="G1714" s="4"/>
    </row>
    <row r="1715" spans="1:7" ht="12.75">
      <c r="A1715" s="98"/>
      <c r="B1715" s="98"/>
      <c r="C1715" s="98"/>
      <c r="E1715" s="7"/>
      <c r="F1715" s="7"/>
      <c r="G1715" s="4"/>
    </row>
    <row r="1716" spans="1:7" ht="12.75">
      <c r="A1716" s="98"/>
      <c r="B1716" s="98"/>
      <c r="C1716" s="98"/>
      <c r="E1716" s="7"/>
      <c r="F1716" s="7"/>
      <c r="G1716" s="4"/>
    </row>
    <row r="1717" spans="1:7" ht="12.75">
      <c r="A1717" s="98"/>
      <c r="B1717" s="98"/>
      <c r="C1717" s="98"/>
      <c r="E1717" s="7"/>
      <c r="F1717" s="7"/>
      <c r="G1717" s="4"/>
    </row>
    <row r="1718" spans="1:7" ht="12.75">
      <c r="A1718" s="98"/>
      <c r="B1718" s="98"/>
      <c r="C1718" s="98"/>
      <c r="E1718" s="7"/>
      <c r="F1718" s="7"/>
      <c r="G1718" s="4"/>
    </row>
    <row r="1719" spans="1:7" ht="12.75">
      <c r="A1719" s="98"/>
      <c r="B1719" s="98"/>
      <c r="C1719" s="98"/>
      <c r="E1719" s="7"/>
      <c r="F1719" s="7"/>
      <c r="G1719" s="4"/>
    </row>
    <row r="1720" spans="1:7" ht="12.75">
      <c r="A1720" s="98"/>
      <c r="B1720" s="98"/>
      <c r="C1720" s="98"/>
      <c r="E1720" s="7"/>
      <c r="F1720" s="7"/>
      <c r="G1720" s="4"/>
    </row>
    <row r="1721" spans="1:7" ht="12.75">
      <c r="A1721" s="98"/>
      <c r="B1721" s="98"/>
      <c r="C1721" s="98"/>
      <c r="E1721" s="7"/>
      <c r="F1721" s="7"/>
      <c r="G1721" s="4"/>
    </row>
    <row r="1722" spans="1:7" ht="12.75">
      <c r="A1722" s="98"/>
      <c r="B1722" s="98"/>
      <c r="C1722" s="98"/>
      <c r="E1722" s="7"/>
      <c r="F1722" s="7"/>
      <c r="G1722" s="4"/>
    </row>
    <row r="1723" spans="1:7" ht="12.75">
      <c r="A1723" s="98"/>
      <c r="B1723" s="98"/>
      <c r="C1723" s="98"/>
      <c r="E1723" s="7"/>
      <c r="F1723" s="7"/>
      <c r="G1723" s="4"/>
    </row>
    <row r="1724" spans="1:7" ht="12.75">
      <c r="A1724" s="98"/>
      <c r="B1724" s="98"/>
      <c r="C1724" s="98"/>
      <c r="E1724" s="7"/>
      <c r="F1724" s="7"/>
      <c r="G1724" s="4"/>
    </row>
    <row r="1725" spans="1:7" ht="12.75">
      <c r="A1725" s="98"/>
      <c r="B1725" s="98"/>
      <c r="C1725" s="98"/>
      <c r="E1725" s="7"/>
      <c r="F1725" s="7"/>
      <c r="G1725" s="4"/>
    </row>
    <row r="1726" spans="1:7" ht="12.75">
      <c r="A1726" s="98"/>
      <c r="B1726" s="98"/>
      <c r="C1726" s="98"/>
      <c r="E1726" s="7"/>
      <c r="F1726" s="7"/>
      <c r="G1726" s="4"/>
    </row>
    <row r="1727" spans="1:7" ht="12.75">
      <c r="A1727" s="98"/>
      <c r="B1727" s="98"/>
      <c r="C1727" s="98"/>
      <c r="E1727" s="7"/>
      <c r="F1727" s="7"/>
      <c r="G1727" s="4"/>
    </row>
    <row r="1728" spans="1:7" ht="12.75">
      <c r="A1728" s="98"/>
      <c r="B1728" s="98"/>
      <c r="C1728" s="98"/>
      <c r="E1728" s="7"/>
      <c r="F1728" s="7"/>
      <c r="G1728" s="4"/>
    </row>
    <row r="1729" spans="1:7" ht="12.75">
      <c r="A1729" s="98"/>
      <c r="B1729" s="98"/>
      <c r="C1729" s="98"/>
      <c r="E1729" s="7"/>
      <c r="F1729" s="7"/>
      <c r="G1729" s="4"/>
    </row>
    <row r="1730" spans="1:7" ht="12.75">
      <c r="A1730" s="98"/>
      <c r="B1730" s="98"/>
      <c r="C1730" s="98"/>
      <c r="E1730" s="7"/>
      <c r="F1730" s="7"/>
      <c r="G1730" s="4"/>
    </row>
    <row r="1731" spans="1:7" ht="12.75">
      <c r="A1731" s="98"/>
      <c r="B1731" s="98"/>
      <c r="C1731" s="98"/>
      <c r="E1731" s="7"/>
      <c r="F1731" s="7"/>
      <c r="G1731" s="4"/>
    </row>
    <row r="1732" spans="1:7" ht="12.75">
      <c r="A1732" s="98"/>
      <c r="B1732" s="98"/>
      <c r="C1732" s="98"/>
      <c r="E1732" s="7"/>
      <c r="F1732" s="7"/>
      <c r="G1732" s="4"/>
    </row>
    <row r="1733" spans="1:7" ht="12.75">
      <c r="A1733" s="98"/>
      <c r="B1733" s="98"/>
      <c r="C1733" s="98"/>
      <c r="E1733" s="7"/>
      <c r="F1733" s="7"/>
      <c r="G1733" s="4"/>
    </row>
    <row r="1734" spans="1:7" ht="12.75">
      <c r="A1734" s="98"/>
      <c r="B1734" s="98"/>
      <c r="C1734" s="98"/>
      <c r="E1734" s="7"/>
      <c r="F1734" s="7"/>
      <c r="G1734" s="4"/>
    </row>
    <row r="1735" spans="1:7" ht="12.75">
      <c r="A1735" s="98"/>
      <c r="B1735" s="98"/>
      <c r="C1735" s="98"/>
      <c r="E1735" s="7"/>
      <c r="F1735" s="7"/>
      <c r="G1735" s="4"/>
    </row>
    <row r="1736" spans="1:7" ht="12.75">
      <c r="A1736" s="98"/>
      <c r="B1736" s="98"/>
      <c r="C1736" s="98"/>
      <c r="E1736" s="7"/>
      <c r="F1736" s="7"/>
      <c r="G1736" s="4"/>
    </row>
    <row r="1737" spans="1:7" ht="12.75">
      <c r="A1737" s="98"/>
      <c r="B1737" s="98"/>
      <c r="C1737" s="98"/>
      <c r="E1737" s="7"/>
      <c r="F1737" s="7"/>
      <c r="G1737" s="4"/>
    </row>
    <row r="1738" spans="1:7" ht="12.75">
      <c r="A1738" s="98"/>
      <c r="B1738" s="98"/>
      <c r="C1738" s="98"/>
      <c r="E1738" s="7"/>
      <c r="F1738" s="7"/>
      <c r="G1738" s="4"/>
    </row>
    <row r="1739" spans="1:7" ht="12.75">
      <c r="A1739" s="98"/>
      <c r="B1739" s="98"/>
      <c r="C1739" s="98"/>
      <c r="E1739" s="7"/>
      <c r="F1739" s="7"/>
      <c r="G1739" s="4"/>
    </row>
    <row r="1740" spans="1:7" ht="12.75">
      <c r="A1740" s="98"/>
      <c r="B1740" s="98"/>
      <c r="C1740" s="98"/>
      <c r="E1740" s="7"/>
      <c r="F1740" s="7"/>
      <c r="G1740" s="4"/>
    </row>
    <row r="1741" spans="1:7" ht="12.75">
      <c r="A1741" s="98"/>
      <c r="B1741" s="98"/>
      <c r="C1741" s="98"/>
      <c r="E1741" s="7"/>
      <c r="F1741" s="7"/>
      <c r="G1741" s="4"/>
    </row>
    <row r="1742" spans="1:7" ht="12.75">
      <c r="A1742" s="98"/>
      <c r="B1742" s="98"/>
      <c r="C1742" s="98"/>
      <c r="E1742" s="7"/>
      <c r="F1742" s="7"/>
      <c r="G1742" s="4"/>
    </row>
    <row r="1743" spans="1:7" ht="12.75">
      <c r="A1743" s="98"/>
      <c r="B1743" s="98"/>
      <c r="C1743" s="98"/>
      <c r="E1743" s="7"/>
      <c r="F1743" s="7"/>
      <c r="G1743" s="4"/>
    </row>
    <row r="1744" spans="1:7" ht="12.75">
      <c r="A1744" s="98"/>
      <c r="B1744" s="98"/>
      <c r="C1744" s="98"/>
      <c r="E1744" s="7"/>
      <c r="F1744" s="7"/>
      <c r="G1744" s="4"/>
    </row>
    <row r="1745" spans="1:7" ht="12.75">
      <c r="A1745" s="98"/>
      <c r="B1745" s="98"/>
      <c r="C1745" s="98"/>
      <c r="E1745" s="7"/>
      <c r="F1745" s="7"/>
      <c r="G1745" s="4"/>
    </row>
    <row r="1746" spans="1:7" ht="12.75">
      <c r="A1746" s="98"/>
      <c r="B1746" s="98"/>
      <c r="C1746" s="98"/>
      <c r="E1746" s="7"/>
      <c r="F1746" s="7"/>
      <c r="G1746" s="4"/>
    </row>
    <row r="1747" spans="1:7" ht="12.75">
      <c r="A1747" s="98"/>
      <c r="B1747" s="98"/>
      <c r="C1747" s="98"/>
      <c r="E1747" s="7"/>
      <c r="F1747" s="7"/>
      <c r="G1747" s="4"/>
    </row>
    <row r="1748" spans="1:7" ht="12.75">
      <c r="A1748" s="98"/>
      <c r="B1748" s="98"/>
      <c r="C1748" s="98"/>
      <c r="E1748" s="7"/>
      <c r="F1748" s="7"/>
      <c r="G1748" s="4"/>
    </row>
    <row r="1749" spans="1:7" ht="12.75">
      <c r="A1749" s="98"/>
      <c r="B1749" s="98"/>
      <c r="C1749" s="98"/>
      <c r="E1749" s="7"/>
      <c r="F1749" s="7"/>
      <c r="G1749" s="4"/>
    </row>
    <row r="1750" spans="1:7" ht="12.75">
      <c r="A1750" s="98"/>
      <c r="B1750" s="98"/>
      <c r="C1750" s="98"/>
      <c r="E1750" s="7"/>
      <c r="F1750" s="7"/>
      <c r="G1750" s="4"/>
    </row>
    <row r="1751" spans="1:7" ht="12.75">
      <c r="A1751" s="98"/>
      <c r="B1751" s="98"/>
      <c r="C1751" s="98"/>
      <c r="E1751" s="7"/>
      <c r="F1751" s="7"/>
      <c r="G1751" s="4"/>
    </row>
    <row r="1752" spans="1:7" ht="12.75">
      <c r="A1752" s="98"/>
      <c r="B1752" s="98"/>
      <c r="C1752" s="98"/>
      <c r="E1752" s="7"/>
      <c r="F1752" s="7"/>
      <c r="G1752" s="4"/>
    </row>
    <row r="1753" spans="1:7" ht="12.75">
      <c r="A1753" s="98"/>
      <c r="B1753" s="98"/>
      <c r="C1753" s="98"/>
      <c r="E1753" s="7"/>
      <c r="F1753" s="7"/>
      <c r="G1753" s="4"/>
    </row>
    <row r="1754" spans="1:7" ht="12.75">
      <c r="A1754" s="98"/>
      <c r="B1754" s="98"/>
      <c r="C1754" s="98"/>
      <c r="E1754" s="7"/>
      <c r="F1754" s="7"/>
      <c r="G1754" s="4"/>
    </row>
    <row r="1755" spans="1:7" ht="12.75">
      <c r="A1755" s="98"/>
      <c r="B1755" s="98"/>
      <c r="C1755" s="98"/>
      <c r="E1755" s="7"/>
      <c r="F1755" s="7"/>
      <c r="G1755" s="4"/>
    </row>
    <row r="1756" spans="1:7" ht="12.75">
      <c r="A1756" s="98"/>
      <c r="B1756" s="98"/>
      <c r="C1756" s="98"/>
      <c r="E1756" s="7"/>
      <c r="F1756" s="7"/>
      <c r="G1756" s="4"/>
    </row>
    <row r="1757" spans="1:7" ht="12.75">
      <c r="A1757" s="98"/>
      <c r="B1757" s="98"/>
      <c r="C1757" s="98"/>
      <c r="E1757" s="7"/>
      <c r="F1757" s="7"/>
      <c r="G1757" s="4"/>
    </row>
    <row r="1758" spans="1:7" ht="12.75">
      <c r="A1758" s="98"/>
      <c r="B1758" s="98"/>
      <c r="C1758" s="98"/>
      <c r="E1758" s="7"/>
      <c r="F1758" s="7"/>
      <c r="G1758" s="4"/>
    </row>
    <row r="1759" spans="1:7" ht="12.75">
      <c r="A1759" s="98"/>
      <c r="B1759" s="98"/>
      <c r="C1759" s="98"/>
      <c r="E1759" s="7"/>
      <c r="F1759" s="7"/>
      <c r="G1759" s="4"/>
    </row>
    <row r="1760" spans="1:7" ht="12.75">
      <c r="A1760" s="98"/>
      <c r="B1760" s="98"/>
      <c r="C1760" s="98"/>
      <c r="E1760" s="7"/>
      <c r="F1760" s="7"/>
      <c r="G1760" s="4"/>
    </row>
    <row r="1761" spans="1:7" ht="12.75">
      <c r="A1761" s="98"/>
      <c r="B1761" s="98"/>
      <c r="C1761" s="98"/>
      <c r="E1761" s="7"/>
      <c r="F1761" s="7"/>
      <c r="G1761" s="4"/>
    </row>
    <row r="1762" spans="1:7" ht="12.75">
      <c r="A1762" s="98"/>
      <c r="B1762" s="98"/>
      <c r="C1762" s="98"/>
      <c r="E1762" s="7"/>
      <c r="F1762" s="7"/>
      <c r="G1762" s="4"/>
    </row>
    <row r="1763" spans="1:7" ht="12.75">
      <c r="A1763" s="98"/>
      <c r="B1763" s="98"/>
      <c r="C1763" s="98"/>
      <c r="E1763" s="7"/>
      <c r="F1763" s="7"/>
      <c r="G1763" s="4"/>
    </row>
    <row r="1764" spans="1:7" ht="12.75">
      <c r="A1764" s="98"/>
      <c r="B1764" s="98"/>
      <c r="C1764" s="98"/>
      <c r="E1764" s="7"/>
      <c r="F1764" s="7"/>
      <c r="G1764" s="4"/>
    </row>
    <row r="1765" spans="1:7" ht="12.75">
      <c r="A1765" s="98"/>
      <c r="B1765" s="98"/>
      <c r="C1765" s="98"/>
      <c r="E1765" s="7"/>
      <c r="F1765" s="7"/>
      <c r="G1765" s="4"/>
    </row>
    <row r="1766" spans="1:7" ht="12.75">
      <c r="A1766" s="98"/>
      <c r="B1766" s="98"/>
      <c r="C1766" s="98"/>
      <c r="E1766" s="7"/>
      <c r="F1766" s="7"/>
      <c r="G1766" s="4"/>
    </row>
    <row r="1767" spans="1:7" ht="12.75">
      <c r="A1767" s="98"/>
      <c r="B1767" s="98"/>
      <c r="C1767" s="98"/>
      <c r="E1767" s="7"/>
      <c r="F1767" s="7"/>
      <c r="G1767" s="4"/>
    </row>
    <row r="1768" spans="1:7" ht="12.75">
      <c r="A1768" s="98"/>
      <c r="B1768" s="98"/>
      <c r="C1768" s="98"/>
      <c r="E1768" s="7"/>
      <c r="F1768" s="7"/>
      <c r="G1768" s="4"/>
    </row>
    <row r="1769" spans="1:7" ht="12.75">
      <c r="A1769" s="98"/>
      <c r="B1769" s="98"/>
      <c r="C1769" s="98"/>
      <c r="E1769" s="7"/>
      <c r="F1769" s="7"/>
      <c r="G1769" s="4"/>
    </row>
    <row r="1770" spans="1:7" ht="12.75">
      <c r="A1770" s="98"/>
      <c r="B1770" s="98"/>
      <c r="C1770" s="98"/>
      <c r="E1770" s="7"/>
      <c r="F1770" s="7"/>
      <c r="G1770" s="4"/>
    </row>
    <row r="1771" spans="1:7" ht="12.75">
      <c r="A1771" s="98"/>
      <c r="B1771" s="98"/>
      <c r="C1771" s="98"/>
      <c r="E1771" s="7"/>
      <c r="F1771" s="7"/>
      <c r="G1771" s="4"/>
    </row>
    <row r="1772" spans="1:7" ht="12.75">
      <c r="A1772" s="98"/>
      <c r="B1772" s="98"/>
      <c r="C1772" s="98"/>
      <c r="E1772" s="7"/>
      <c r="F1772" s="7"/>
      <c r="G1772" s="4"/>
    </row>
    <row r="1773" spans="1:7" ht="12.75">
      <c r="A1773" s="98"/>
      <c r="B1773" s="98"/>
      <c r="C1773" s="98"/>
      <c r="E1773" s="7"/>
      <c r="F1773" s="7"/>
      <c r="G1773" s="4"/>
    </row>
    <row r="1774" spans="1:7" ht="12.75">
      <c r="A1774" s="98"/>
      <c r="B1774" s="98"/>
      <c r="C1774" s="98"/>
      <c r="E1774" s="7"/>
      <c r="F1774" s="7"/>
      <c r="G1774" s="4"/>
    </row>
    <row r="1775" spans="1:7" ht="12.75">
      <c r="A1775" s="98"/>
      <c r="B1775" s="98"/>
      <c r="C1775" s="98"/>
      <c r="E1775" s="7"/>
      <c r="F1775" s="7"/>
      <c r="G1775" s="4"/>
    </row>
    <row r="1776" spans="1:7" ht="12.75">
      <c r="A1776" s="98"/>
      <c r="B1776" s="98"/>
      <c r="C1776" s="98"/>
      <c r="E1776" s="7"/>
      <c r="F1776" s="7"/>
      <c r="G1776" s="4"/>
    </row>
    <row r="1777" spans="1:7" ht="12.75">
      <c r="A1777" s="98"/>
      <c r="B1777" s="98"/>
      <c r="C1777" s="98"/>
      <c r="E1777" s="7"/>
      <c r="F1777" s="7"/>
      <c r="G1777" s="4"/>
    </row>
    <row r="1778" spans="1:7" ht="12.75">
      <c r="A1778" s="98"/>
      <c r="B1778" s="98"/>
      <c r="C1778" s="98"/>
      <c r="E1778" s="7"/>
      <c r="F1778" s="7"/>
      <c r="G1778" s="4"/>
    </row>
    <row r="1779" spans="1:7" ht="12.75">
      <c r="A1779" s="98"/>
      <c r="B1779" s="98"/>
      <c r="C1779" s="98"/>
      <c r="E1779" s="7"/>
      <c r="F1779" s="7"/>
      <c r="G1779" s="4"/>
    </row>
    <row r="1780" spans="1:7" ht="12.75">
      <c r="A1780" s="98"/>
      <c r="B1780" s="98"/>
      <c r="C1780" s="98"/>
      <c r="E1780" s="7"/>
      <c r="F1780" s="7"/>
      <c r="G1780" s="4"/>
    </row>
    <row r="1781" spans="1:7" ht="12.75">
      <c r="A1781" s="98"/>
      <c r="B1781" s="98"/>
      <c r="C1781" s="98"/>
      <c r="E1781" s="7"/>
      <c r="F1781" s="7"/>
      <c r="G1781" s="4"/>
    </row>
    <row r="1782" spans="1:7" ht="12.75">
      <c r="A1782" s="98"/>
      <c r="B1782" s="98"/>
      <c r="C1782" s="98"/>
      <c r="E1782" s="7"/>
      <c r="F1782" s="7"/>
      <c r="G1782" s="4"/>
    </row>
    <row r="1783" spans="1:7" ht="12.75">
      <c r="A1783" s="98"/>
      <c r="B1783" s="98"/>
      <c r="C1783" s="98"/>
      <c r="E1783" s="7"/>
      <c r="F1783" s="7"/>
      <c r="G1783" s="4"/>
    </row>
    <row r="1784" spans="1:7" ht="12.75">
      <c r="A1784" s="98"/>
      <c r="B1784" s="98"/>
      <c r="C1784" s="98"/>
      <c r="E1784" s="7"/>
      <c r="F1784" s="7"/>
      <c r="G1784" s="4"/>
    </row>
    <row r="1785" spans="1:7" ht="12.75">
      <c r="A1785" s="98"/>
      <c r="B1785" s="98"/>
      <c r="C1785" s="98"/>
      <c r="E1785" s="7"/>
      <c r="F1785" s="7"/>
      <c r="G1785" s="4"/>
    </row>
    <row r="1786" spans="1:7" ht="12.75">
      <c r="A1786" s="98"/>
      <c r="B1786" s="98"/>
      <c r="C1786" s="98"/>
      <c r="E1786" s="7"/>
      <c r="F1786" s="7"/>
      <c r="G1786" s="4"/>
    </row>
    <row r="1787" spans="1:7" ht="12.75">
      <c r="A1787" s="98"/>
      <c r="B1787" s="98"/>
      <c r="C1787" s="98"/>
      <c r="E1787" s="7"/>
      <c r="F1787" s="7"/>
      <c r="G1787" s="4"/>
    </row>
    <row r="1788" spans="1:7" ht="12.75">
      <c r="A1788" s="98"/>
      <c r="B1788" s="98"/>
      <c r="C1788" s="98"/>
      <c r="E1788" s="7"/>
      <c r="F1788" s="7"/>
      <c r="G1788" s="4"/>
    </row>
    <row r="1789" spans="1:7" ht="12.75">
      <c r="A1789" s="98"/>
      <c r="B1789" s="98"/>
      <c r="C1789" s="98"/>
      <c r="E1789" s="7"/>
      <c r="F1789" s="7"/>
      <c r="G1789" s="4"/>
    </row>
    <row r="1790" spans="1:7" ht="12.75">
      <c r="A1790" s="98"/>
      <c r="B1790" s="98"/>
      <c r="C1790" s="98"/>
      <c r="E1790" s="7"/>
      <c r="F1790" s="7"/>
      <c r="G1790" s="4"/>
    </row>
    <row r="1791" spans="1:7" ht="12.75">
      <c r="A1791" s="98"/>
      <c r="B1791" s="98"/>
      <c r="C1791" s="98"/>
      <c r="E1791" s="7"/>
      <c r="F1791" s="7"/>
      <c r="G1791" s="4"/>
    </row>
    <row r="1792" spans="1:7" ht="12.75">
      <c r="A1792" s="98"/>
      <c r="B1792" s="98"/>
      <c r="C1792" s="98"/>
      <c r="E1792" s="7"/>
      <c r="F1792" s="7"/>
      <c r="G1792" s="4"/>
    </row>
    <row r="1793" spans="1:7" ht="12.75">
      <c r="A1793" s="98"/>
      <c r="B1793" s="98"/>
      <c r="C1793" s="98"/>
      <c r="E1793" s="7"/>
      <c r="F1793" s="7"/>
      <c r="G1793" s="4"/>
    </row>
    <row r="1794" spans="1:7" ht="12.75">
      <c r="A1794" s="98"/>
      <c r="B1794" s="98"/>
      <c r="C1794" s="98"/>
      <c r="E1794" s="7"/>
      <c r="F1794" s="7"/>
      <c r="G1794" s="4"/>
    </row>
    <row r="1795" spans="1:7" ht="12.75">
      <c r="A1795" s="98"/>
      <c r="B1795" s="98"/>
      <c r="C1795" s="98"/>
      <c r="E1795" s="7"/>
      <c r="F1795" s="7"/>
      <c r="G1795" s="4"/>
    </row>
    <row r="1796" spans="1:7" ht="12.75">
      <c r="A1796" s="98"/>
      <c r="B1796" s="98"/>
      <c r="C1796" s="98"/>
      <c r="E1796" s="7"/>
      <c r="F1796" s="7"/>
      <c r="G1796" s="4"/>
    </row>
    <row r="1797" spans="1:7" ht="12.75">
      <c r="A1797" s="98"/>
      <c r="B1797" s="98"/>
      <c r="C1797" s="98"/>
      <c r="E1797" s="7"/>
      <c r="F1797" s="7"/>
      <c r="G1797" s="4"/>
    </row>
    <row r="1798" spans="1:7" ht="12.75">
      <c r="A1798" s="98"/>
      <c r="B1798" s="98"/>
      <c r="C1798" s="98"/>
      <c r="E1798" s="7"/>
      <c r="F1798" s="7"/>
      <c r="G1798" s="4"/>
    </row>
    <row r="1799" spans="1:7" ht="12.75">
      <c r="A1799" s="98"/>
      <c r="B1799" s="98"/>
      <c r="C1799" s="98"/>
      <c r="E1799" s="7"/>
      <c r="F1799" s="7"/>
      <c r="G1799" s="4"/>
    </row>
    <row r="1800" spans="1:7" ht="12.75">
      <c r="A1800" s="98"/>
      <c r="B1800" s="98"/>
      <c r="C1800" s="98"/>
      <c r="E1800" s="7"/>
      <c r="F1800" s="7"/>
      <c r="G1800" s="4"/>
    </row>
    <row r="1801" spans="1:7" ht="12.75">
      <c r="A1801" s="98"/>
      <c r="B1801" s="98"/>
      <c r="C1801" s="98"/>
      <c r="E1801" s="7"/>
      <c r="F1801" s="7"/>
      <c r="G1801" s="4"/>
    </row>
    <row r="1802" spans="1:7" ht="12.75">
      <c r="A1802" s="98"/>
      <c r="B1802" s="98"/>
      <c r="C1802" s="98"/>
      <c r="E1802" s="7"/>
      <c r="F1802" s="7"/>
      <c r="G1802" s="4"/>
    </row>
    <row r="1803" spans="1:7" ht="12.75">
      <c r="A1803" s="98"/>
      <c r="B1803" s="98"/>
      <c r="C1803" s="98"/>
      <c r="E1803" s="7"/>
      <c r="F1803" s="7"/>
      <c r="G1803" s="4"/>
    </row>
    <row r="1804" spans="1:7" ht="12.75">
      <c r="A1804" s="98"/>
      <c r="B1804" s="98"/>
      <c r="C1804" s="98"/>
      <c r="E1804" s="7"/>
      <c r="F1804" s="7"/>
      <c r="G1804" s="4"/>
    </row>
    <row r="1805" spans="1:7" ht="12.75">
      <c r="A1805" s="98"/>
      <c r="B1805" s="98"/>
      <c r="C1805" s="98"/>
      <c r="E1805" s="7"/>
      <c r="F1805" s="7"/>
      <c r="G1805" s="4"/>
    </row>
    <row r="1806" spans="1:7" ht="12.75">
      <c r="A1806" s="98"/>
      <c r="B1806" s="98"/>
      <c r="C1806" s="98"/>
      <c r="E1806" s="7"/>
      <c r="F1806" s="7"/>
      <c r="G1806" s="4"/>
    </row>
    <row r="1807" spans="1:7" ht="12.75">
      <c r="A1807" s="98"/>
      <c r="B1807" s="98"/>
      <c r="C1807" s="98"/>
      <c r="E1807" s="7"/>
      <c r="F1807" s="7"/>
      <c r="G1807" s="4"/>
    </row>
    <row r="1808" spans="1:7" ht="12.75">
      <c r="A1808" s="98"/>
      <c r="B1808" s="98"/>
      <c r="C1808" s="98"/>
      <c r="E1808" s="7"/>
      <c r="F1808" s="7"/>
      <c r="G1808" s="4"/>
    </row>
    <row r="1809" spans="1:7" ht="12.75">
      <c r="A1809" s="98"/>
      <c r="B1809" s="98"/>
      <c r="C1809" s="98"/>
      <c r="E1809" s="7"/>
      <c r="F1809" s="7"/>
      <c r="G1809" s="4"/>
    </row>
    <row r="1810" spans="1:7" ht="12.75">
      <c r="A1810" s="98"/>
      <c r="B1810" s="98"/>
      <c r="C1810" s="98"/>
      <c r="E1810" s="7"/>
      <c r="F1810" s="7"/>
      <c r="G1810" s="4"/>
    </row>
    <row r="1811" spans="1:7" ht="12.75">
      <c r="A1811" s="98"/>
      <c r="B1811" s="98"/>
      <c r="C1811" s="98"/>
      <c r="E1811" s="7"/>
      <c r="F1811" s="7"/>
      <c r="G1811" s="4"/>
    </row>
    <row r="1812" spans="1:7" ht="12.75">
      <c r="A1812" s="98"/>
      <c r="B1812" s="98"/>
      <c r="C1812" s="98"/>
      <c r="E1812" s="7"/>
      <c r="F1812" s="7"/>
      <c r="G1812" s="4"/>
    </row>
    <row r="1813" spans="1:7" ht="12.75">
      <c r="A1813" s="98"/>
      <c r="B1813" s="98"/>
      <c r="C1813" s="98"/>
      <c r="E1813" s="7"/>
      <c r="F1813" s="7"/>
      <c r="G1813" s="4"/>
    </row>
    <row r="1814" spans="1:7" ht="12.75">
      <c r="A1814" s="98"/>
      <c r="B1814" s="98"/>
      <c r="C1814" s="98"/>
      <c r="E1814" s="7"/>
      <c r="F1814" s="7"/>
      <c r="G1814" s="4"/>
    </row>
    <row r="1815" spans="1:7" ht="12.75">
      <c r="A1815" s="98"/>
      <c r="B1815" s="98"/>
      <c r="C1815" s="98"/>
      <c r="E1815" s="7"/>
      <c r="F1815" s="7"/>
      <c r="G1815" s="4"/>
    </row>
    <row r="1816" spans="1:7" ht="12.75">
      <c r="A1816" s="98"/>
      <c r="B1816" s="98"/>
      <c r="C1816" s="98"/>
      <c r="E1816" s="7"/>
      <c r="F1816" s="7"/>
      <c r="G1816" s="4"/>
    </row>
    <row r="1817" spans="1:7" ht="12.75">
      <c r="A1817" s="98"/>
      <c r="B1817" s="98"/>
      <c r="C1817" s="98"/>
      <c r="E1817" s="7"/>
      <c r="F1817" s="7"/>
      <c r="G1817" s="4"/>
    </row>
    <row r="1818" spans="1:7" ht="12.75">
      <c r="A1818" s="98"/>
      <c r="B1818" s="98"/>
      <c r="C1818" s="98"/>
      <c r="E1818" s="7"/>
      <c r="F1818" s="7"/>
      <c r="G1818" s="4"/>
    </row>
    <row r="1819" spans="1:7" ht="12.75">
      <c r="A1819" s="98"/>
      <c r="B1819" s="98"/>
      <c r="C1819" s="98"/>
      <c r="E1819" s="7"/>
      <c r="F1819" s="7"/>
      <c r="G1819" s="4"/>
    </row>
    <row r="1820" spans="1:7" ht="12.75">
      <c r="A1820" s="98"/>
      <c r="B1820" s="98"/>
      <c r="C1820" s="98"/>
      <c r="E1820" s="7"/>
      <c r="F1820" s="7"/>
      <c r="G1820" s="4"/>
    </row>
    <row r="1821" spans="1:7" ht="12.75">
      <c r="A1821" s="98"/>
      <c r="B1821" s="98"/>
      <c r="C1821" s="98"/>
      <c r="E1821" s="7"/>
      <c r="F1821" s="7"/>
      <c r="G1821" s="4"/>
    </row>
    <row r="1822" spans="1:7" ht="12.75">
      <c r="A1822" s="98"/>
      <c r="B1822" s="98"/>
      <c r="C1822" s="98"/>
      <c r="E1822" s="7"/>
      <c r="F1822" s="7"/>
      <c r="G1822" s="4"/>
    </row>
    <row r="1823" spans="1:7" ht="12.75">
      <c r="A1823" s="98"/>
      <c r="B1823" s="98"/>
      <c r="C1823" s="98"/>
      <c r="E1823" s="7"/>
      <c r="F1823" s="7"/>
      <c r="G1823" s="4"/>
    </row>
    <row r="1824" spans="1:7" ht="12.75">
      <c r="A1824" s="98"/>
      <c r="B1824" s="98"/>
      <c r="C1824" s="98"/>
      <c r="E1824" s="7"/>
      <c r="F1824" s="7"/>
      <c r="G1824" s="4"/>
    </row>
    <row r="1825" spans="1:7" ht="12.75">
      <c r="A1825" s="98"/>
      <c r="B1825" s="98"/>
      <c r="C1825" s="98"/>
      <c r="E1825" s="7"/>
      <c r="F1825" s="7"/>
      <c r="G1825" s="4"/>
    </row>
    <row r="1826" spans="1:7" ht="12.75">
      <c r="A1826" s="98"/>
      <c r="B1826" s="98"/>
      <c r="C1826" s="98"/>
      <c r="E1826" s="7"/>
      <c r="F1826" s="7"/>
      <c r="G1826" s="4"/>
    </row>
    <row r="1827" spans="1:7" ht="12.75">
      <c r="A1827" s="98"/>
      <c r="B1827" s="98"/>
      <c r="C1827" s="98"/>
      <c r="E1827" s="7"/>
      <c r="F1827" s="7"/>
      <c r="G1827" s="4"/>
    </row>
    <row r="1828" spans="1:7" ht="12.75">
      <c r="A1828" s="98"/>
      <c r="B1828" s="98"/>
      <c r="C1828" s="98"/>
      <c r="E1828" s="7"/>
      <c r="F1828" s="7"/>
      <c r="G1828" s="4"/>
    </row>
    <row r="1829" spans="1:7" ht="12.75">
      <c r="A1829" s="98"/>
      <c r="B1829" s="98"/>
      <c r="C1829" s="98"/>
      <c r="E1829" s="7"/>
      <c r="F1829" s="7"/>
      <c r="G1829" s="4"/>
    </row>
    <row r="1830" spans="1:7" ht="12.75">
      <c r="A1830" s="98"/>
      <c r="B1830" s="98"/>
      <c r="C1830" s="98"/>
      <c r="E1830" s="7"/>
      <c r="F1830" s="7"/>
      <c r="G1830" s="4"/>
    </row>
    <row r="1831" spans="1:7" ht="12.75">
      <c r="A1831" s="98"/>
      <c r="B1831" s="98"/>
      <c r="C1831" s="98"/>
      <c r="E1831" s="7"/>
      <c r="F1831" s="7"/>
      <c r="G1831" s="4"/>
    </row>
    <row r="1832" spans="1:7" ht="12.75">
      <c r="A1832" s="98"/>
      <c r="B1832" s="98"/>
      <c r="C1832" s="98"/>
      <c r="E1832" s="7"/>
      <c r="F1832" s="7"/>
      <c r="G1832" s="4"/>
    </row>
    <row r="1833" spans="1:7" ht="12.75">
      <c r="A1833" s="98"/>
      <c r="B1833" s="98"/>
      <c r="C1833" s="98"/>
      <c r="E1833" s="7"/>
      <c r="F1833" s="7"/>
      <c r="G1833" s="4"/>
    </row>
    <row r="1834" spans="1:7" ht="12.75">
      <c r="A1834" s="98"/>
      <c r="B1834" s="98"/>
      <c r="C1834" s="98"/>
      <c r="E1834" s="7"/>
      <c r="F1834" s="7"/>
      <c r="G1834" s="4"/>
    </row>
    <row r="1835" spans="1:7" ht="12.75">
      <c r="A1835" s="98"/>
      <c r="B1835" s="98"/>
      <c r="C1835" s="98"/>
      <c r="E1835" s="7"/>
      <c r="F1835" s="7"/>
      <c r="G1835" s="4"/>
    </row>
    <row r="1836" spans="1:7" ht="12.75">
      <c r="A1836" s="98"/>
      <c r="B1836" s="98"/>
      <c r="C1836" s="98"/>
      <c r="E1836" s="7"/>
      <c r="F1836" s="7"/>
      <c r="G1836" s="4"/>
    </row>
    <row r="1837" spans="1:7" ht="12.75">
      <c r="A1837" s="98"/>
      <c r="B1837" s="98"/>
      <c r="C1837" s="98"/>
      <c r="E1837" s="7"/>
      <c r="F1837" s="7"/>
      <c r="G1837" s="4"/>
    </row>
    <row r="1838" spans="1:7" ht="12.75">
      <c r="A1838" s="98"/>
      <c r="B1838" s="98"/>
      <c r="C1838" s="98"/>
      <c r="E1838" s="7"/>
      <c r="F1838" s="7"/>
      <c r="G1838" s="4"/>
    </row>
    <row r="1839" spans="1:7" ht="12.75">
      <c r="A1839" s="98"/>
      <c r="B1839" s="98"/>
      <c r="C1839" s="98"/>
      <c r="E1839" s="7"/>
      <c r="F1839" s="7"/>
      <c r="G1839" s="4"/>
    </row>
    <row r="1840" spans="1:7" ht="12.75">
      <c r="A1840" s="98"/>
      <c r="B1840" s="98"/>
      <c r="C1840" s="98"/>
      <c r="E1840" s="7"/>
      <c r="F1840" s="7"/>
      <c r="G1840" s="4"/>
    </row>
    <row r="1841" spans="1:7" ht="12.75">
      <c r="A1841" s="98"/>
      <c r="B1841" s="98"/>
      <c r="C1841" s="98"/>
      <c r="E1841" s="7"/>
      <c r="F1841" s="7"/>
      <c r="G1841" s="4"/>
    </row>
    <row r="1842" spans="1:7" ht="12.75">
      <c r="A1842" s="98"/>
      <c r="B1842" s="98"/>
      <c r="C1842" s="98"/>
      <c r="E1842" s="7"/>
      <c r="F1842" s="7"/>
      <c r="G1842" s="4"/>
    </row>
    <row r="1843" spans="1:7" ht="12.75">
      <c r="A1843" s="98"/>
      <c r="B1843" s="98"/>
      <c r="C1843" s="98"/>
      <c r="E1843" s="7"/>
      <c r="F1843" s="7"/>
      <c r="G1843" s="4"/>
    </row>
    <row r="1844" spans="1:7" ht="12.75">
      <c r="A1844" s="98"/>
      <c r="B1844" s="98"/>
      <c r="C1844" s="98"/>
      <c r="E1844" s="7"/>
      <c r="F1844" s="7"/>
      <c r="G1844" s="4"/>
    </row>
    <row r="1845" spans="1:7" ht="12.75">
      <c r="A1845" s="98"/>
      <c r="B1845" s="98"/>
      <c r="C1845" s="98"/>
      <c r="E1845" s="7"/>
      <c r="F1845" s="7"/>
      <c r="G1845" s="4"/>
    </row>
    <row r="1846" spans="1:7" ht="12.75">
      <c r="A1846" s="98"/>
      <c r="B1846" s="98"/>
      <c r="C1846" s="98"/>
      <c r="E1846" s="7"/>
      <c r="F1846" s="7"/>
      <c r="G1846" s="4"/>
    </row>
    <row r="1847" spans="1:7" ht="12.75">
      <c r="A1847" s="98"/>
      <c r="B1847" s="98"/>
      <c r="C1847" s="98"/>
      <c r="E1847" s="7"/>
      <c r="F1847" s="7"/>
      <c r="G1847" s="4"/>
    </row>
    <row r="1848" spans="1:7" ht="12.75">
      <c r="A1848" s="98"/>
      <c r="B1848" s="98"/>
      <c r="C1848" s="98"/>
      <c r="E1848" s="7"/>
      <c r="F1848" s="7"/>
      <c r="G1848" s="4"/>
    </row>
    <row r="1849" spans="1:7" ht="12.75">
      <c r="A1849" s="98"/>
      <c r="B1849" s="98"/>
      <c r="C1849" s="98"/>
      <c r="E1849" s="7"/>
      <c r="F1849" s="7"/>
      <c r="G1849" s="4"/>
    </row>
    <row r="1850" spans="1:7" ht="12.75">
      <c r="A1850" s="98"/>
      <c r="B1850" s="98"/>
      <c r="C1850" s="98"/>
      <c r="E1850" s="7"/>
      <c r="F1850" s="7"/>
      <c r="G1850" s="4"/>
    </row>
    <row r="1851" spans="1:7" ht="12.75">
      <c r="A1851" s="98"/>
      <c r="B1851" s="98"/>
      <c r="C1851" s="98"/>
      <c r="E1851" s="7"/>
      <c r="F1851" s="7"/>
      <c r="G1851" s="4"/>
    </row>
    <row r="1852" spans="1:7" ht="12.75">
      <c r="A1852" s="98"/>
      <c r="B1852" s="98"/>
      <c r="C1852" s="98"/>
      <c r="E1852" s="7"/>
      <c r="F1852" s="7"/>
      <c r="G1852" s="4"/>
    </row>
    <row r="1853" spans="1:7" ht="12.75">
      <c r="A1853" s="98"/>
      <c r="B1853" s="98"/>
      <c r="C1853" s="98"/>
      <c r="E1853" s="7"/>
      <c r="F1853" s="7"/>
      <c r="G1853" s="4"/>
    </row>
    <row r="1854" spans="1:7" ht="12.75">
      <c r="A1854" s="98"/>
      <c r="B1854" s="98"/>
      <c r="C1854" s="98"/>
      <c r="E1854" s="7"/>
      <c r="F1854" s="7"/>
      <c r="G1854" s="4"/>
    </row>
    <row r="1855" spans="1:7" ht="12.75">
      <c r="A1855" s="98"/>
      <c r="B1855" s="98"/>
      <c r="C1855" s="98"/>
      <c r="E1855" s="7"/>
      <c r="F1855" s="7"/>
      <c r="G1855" s="4"/>
    </row>
    <row r="1856" spans="1:7" ht="12.75">
      <c r="A1856" s="98"/>
      <c r="B1856" s="98"/>
      <c r="C1856" s="98"/>
      <c r="E1856" s="7"/>
      <c r="F1856" s="7"/>
      <c r="G1856" s="4"/>
    </row>
    <row r="1857" spans="1:7" ht="12.75">
      <c r="A1857" s="98"/>
      <c r="B1857" s="98"/>
      <c r="C1857" s="98"/>
      <c r="E1857" s="7"/>
      <c r="F1857" s="7"/>
      <c r="G1857" s="4"/>
    </row>
    <row r="1858" spans="1:7" ht="12.75">
      <c r="A1858" s="98"/>
      <c r="B1858" s="98"/>
      <c r="C1858" s="98"/>
      <c r="E1858" s="7"/>
      <c r="F1858" s="7"/>
      <c r="G1858" s="4"/>
    </row>
    <row r="1859" spans="1:7" ht="12.75">
      <c r="A1859" s="98"/>
      <c r="B1859" s="98"/>
      <c r="C1859" s="98"/>
      <c r="E1859" s="7"/>
      <c r="F1859" s="7"/>
      <c r="G1859" s="4"/>
    </row>
    <row r="1860" spans="1:7" ht="12.75">
      <c r="A1860" s="98"/>
      <c r="B1860" s="98"/>
      <c r="C1860" s="98"/>
      <c r="E1860" s="7"/>
      <c r="F1860" s="7"/>
      <c r="G1860" s="4"/>
    </row>
    <row r="1861" spans="1:7" ht="12.75">
      <c r="A1861" s="98"/>
      <c r="B1861" s="98"/>
      <c r="C1861" s="98"/>
      <c r="E1861" s="7"/>
      <c r="F1861" s="7"/>
      <c r="G1861" s="4"/>
    </row>
    <row r="1862" spans="1:7" ht="12.75">
      <c r="A1862" s="98"/>
      <c r="B1862" s="98"/>
      <c r="C1862" s="98"/>
      <c r="E1862" s="7"/>
      <c r="F1862" s="7"/>
      <c r="G1862" s="4"/>
    </row>
    <row r="1863" spans="1:7" ht="12.75">
      <c r="A1863" s="98"/>
      <c r="B1863" s="98"/>
      <c r="C1863" s="98"/>
      <c r="E1863" s="7"/>
      <c r="F1863" s="7"/>
      <c r="G1863" s="4"/>
    </row>
    <row r="1864" spans="1:7" ht="12.75">
      <c r="A1864" s="98"/>
      <c r="B1864" s="98"/>
      <c r="C1864" s="98"/>
      <c r="E1864" s="7"/>
      <c r="F1864" s="7"/>
      <c r="G1864" s="4"/>
    </row>
    <row r="1865" spans="1:7" ht="12.75">
      <c r="A1865" s="98"/>
      <c r="B1865" s="98"/>
      <c r="C1865" s="98"/>
      <c r="E1865" s="7"/>
      <c r="F1865" s="7"/>
      <c r="G1865" s="4"/>
    </row>
    <row r="1866" spans="1:7" ht="12.75">
      <c r="A1866" s="98"/>
      <c r="B1866" s="98"/>
      <c r="C1866" s="98"/>
      <c r="E1866" s="7"/>
      <c r="F1866" s="7"/>
      <c r="G1866" s="4"/>
    </row>
    <row r="1867" spans="1:7" ht="12.75">
      <c r="A1867" s="98"/>
      <c r="B1867" s="98"/>
      <c r="C1867" s="98"/>
      <c r="E1867" s="7"/>
      <c r="F1867" s="7"/>
      <c r="G1867" s="4"/>
    </row>
    <row r="1868" spans="1:7" ht="12.75">
      <c r="A1868" s="98"/>
      <c r="B1868" s="98"/>
      <c r="C1868" s="98"/>
      <c r="E1868" s="7"/>
      <c r="F1868" s="7"/>
      <c r="G1868" s="4"/>
    </row>
    <row r="1869" spans="1:7" ht="12.75">
      <c r="A1869" s="98"/>
      <c r="B1869" s="98"/>
      <c r="C1869" s="98"/>
      <c r="E1869" s="7"/>
      <c r="F1869" s="7"/>
      <c r="G1869" s="4"/>
    </row>
    <row r="1870" spans="1:7" ht="12.75">
      <c r="A1870" s="98"/>
      <c r="B1870" s="98"/>
      <c r="C1870" s="98"/>
      <c r="E1870" s="7"/>
      <c r="F1870" s="7"/>
      <c r="G1870" s="4"/>
    </row>
    <row r="1871" spans="1:7" ht="12.75">
      <c r="A1871" s="98"/>
      <c r="B1871" s="98"/>
      <c r="C1871" s="98"/>
      <c r="E1871" s="7"/>
      <c r="F1871" s="7"/>
      <c r="G1871" s="4"/>
    </row>
    <row r="1872" spans="1:7" ht="12.75">
      <c r="A1872" s="98"/>
      <c r="B1872" s="98"/>
      <c r="C1872" s="98"/>
      <c r="E1872" s="7"/>
      <c r="F1872" s="7"/>
      <c r="G1872" s="4"/>
    </row>
    <row r="1873" spans="1:7" ht="12.75">
      <c r="A1873" s="98"/>
      <c r="B1873" s="98"/>
      <c r="C1873" s="98"/>
      <c r="E1873" s="7"/>
      <c r="F1873" s="7"/>
      <c r="G1873" s="4"/>
    </row>
    <row r="1874" spans="1:7" ht="12.75">
      <c r="A1874" s="98"/>
      <c r="B1874" s="98"/>
      <c r="C1874" s="98"/>
      <c r="E1874" s="7"/>
      <c r="F1874" s="7"/>
      <c r="G1874" s="4"/>
    </row>
    <row r="1875" spans="1:7" ht="12.75">
      <c r="A1875" s="98"/>
      <c r="B1875" s="98"/>
      <c r="C1875" s="98"/>
      <c r="E1875" s="7"/>
      <c r="F1875" s="7"/>
      <c r="G1875" s="4"/>
    </row>
    <row r="1876" spans="1:7" ht="12.75">
      <c r="A1876" s="98"/>
      <c r="B1876" s="98"/>
      <c r="C1876" s="98"/>
      <c r="E1876" s="7"/>
      <c r="F1876" s="7"/>
      <c r="G1876" s="4"/>
    </row>
    <row r="1877" spans="1:7" ht="12.75">
      <c r="A1877" s="98"/>
      <c r="B1877" s="98"/>
      <c r="C1877" s="98"/>
      <c r="E1877" s="7"/>
      <c r="F1877" s="7"/>
      <c r="G1877" s="4"/>
    </row>
    <row r="1878" spans="1:7" ht="12.75">
      <c r="A1878" s="98"/>
      <c r="B1878" s="98"/>
      <c r="C1878" s="98"/>
      <c r="E1878" s="7"/>
      <c r="F1878" s="7"/>
      <c r="G1878" s="4"/>
    </row>
    <row r="1879" spans="1:7" ht="12.75">
      <c r="A1879" s="98"/>
      <c r="B1879" s="98"/>
      <c r="C1879" s="98"/>
      <c r="E1879" s="7"/>
      <c r="F1879" s="7"/>
      <c r="G1879" s="4"/>
    </row>
    <row r="1880" spans="1:7" ht="12.75">
      <c r="A1880" s="98"/>
      <c r="B1880" s="98"/>
      <c r="C1880" s="98"/>
      <c r="E1880" s="7"/>
      <c r="F1880" s="7"/>
      <c r="G1880" s="4"/>
    </row>
    <row r="1881" spans="1:7" ht="12.75">
      <c r="A1881" s="98"/>
      <c r="B1881" s="98"/>
      <c r="C1881" s="98"/>
      <c r="E1881" s="7"/>
      <c r="F1881" s="7"/>
      <c r="G1881" s="4"/>
    </row>
    <row r="1882" spans="1:7" ht="12.75">
      <c r="A1882" s="98"/>
      <c r="B1882" s="98"/>
      <c r="C1882" s="98"/>
      <c r="E1882" s="7"/>
      <c r="F1882" s="7"/>
      <c r="G1882" s="4"/>
    </row>
    <row r="1883" spans="1:7" ht="12.75">
      <c r="A1883" s="98"/>
      <c r="B1883" s="98"/>
      <c r="C1883" s="98"/>
      <c r="E1883" s="7"/>
      <c r="F1883" s="7"/>
      <c r="G1883" s="4"/>
    </row>
    <row r="1884" spans="1:7" ht="12.75">
      <c r="A1884" s="98"/>
      <c r="B1884" s="98"/>
      <c r="C1884" s="98"/>
      <c r="E1884" s="7"/>
      <c r="F1884" s="7"/>
      <c r="G1884" s="4"/>
    </row>
    <row r="1885" spans="1:7" ht="12.75">
      <c r="A1885" s="98"/>
      <c r="B1885" s="98"/>
      <c r="C1885" s="98"/>
      <c r="E1885" s="7"/>
      <c r="F1885" s="7"/>
      <c r="G1885" s="4"/>
    </row>
    <row r="1886" spans="1:7" ht="12.75">
      <c r="A1886" s="98"/>
      <c r="B1886" s="98"/>
      <c r="C1886" s="98"/>
      <c r="E1886" s="7"/>
      <c r="F1886" s="7"/>
      <c r="G1886" s="4"/>
    </row>
    <row r="1887" spans="1:7" ht="12.75">
      <c r="A1887" s="98"/>
      <c r="B1887" s="98"/>
      <c r="C1887" s="98"/>
      <c r="E1887" s="7"/>
      <c r="F1887" s="7"/>
      <c r="G1887" s="4"/>
    </row>
    <row r="1888" spans="1:7" ht="12.75">
      <c r="A1888" s="98"/>
      <c r="B1888" s="98"/>
      <c r="C1888" s="98"/>
      <c r="E1888" s="7"/>
      <c r="F1888" s="7"/>
      <c r="G1888" s="4"/>
    </row>
    <row r="1889" spans="1:7" ht="12.75">
      <c r="A1889" s="98"/>
      <c r="B1889" s="98"/>
      <c r="C1889" s="98"/>
      <c r="E1889" s="7"/>
      <c r="F1889" s="7"/>
      <c r="G1889" s="4"/>
    </row>
    <row r="1890" spans="1:7" ht="12.75">
      <c r="A1890" s="98"/>
      <c r="B1890" s="98"/>
      <c r="C1890" s="98"/>
      <c r="E1890" s="7"/>
      <c r="F1890" s="7"/>
      <c r="G1890" s="4"/>
    </row>
    <row r="1891" spans="1:7" ht="12.75">
      <c r="A1891" s="98"/>
      <c r="B1891" s="98"/>
      <c r="C1891" s="98"/>
      <c r="E1891" s="7"/>
      <c r="F1891" s="7"/>
      <c r="G1891" s="4"/>
    </row>
    <row r="1892" spans="1:7" ht="12.75">
      <c r="A1892" s="98"/>
      <c r="B1892" s="98"/>
      <c r="C1892" s="98"/>
      <c r="E1892" s="7"/>
      <c r="F1892" s="7"/>
      <c r="G1892" s="4"/>
    </row>
    <row r="1893" spans="1:7" ht="12.75">
      <c r="A1893" s="98"/>
      <c r="B1893" s="98"/>
      <c r="C1893" s="98"/>
      <c r="E1893" s="7"/>
      <c r="F1893" s="7"/>
      <c r="G1893" s="4"/>
    </row>
    <row r="1894" spans="1:7" ht="12.75">
      <c r="A1894" s="98"/>
      <c r="B1894" s="98"/>
      <c r="C1894" s="98"/>
      <c r="E1894" s="7"/>
      <c r="F1894" s="7"/>
      <c r="G1894" s="4"/>
    </row>
    <row r="1895" spans="1:7" ht="12.75">
      <c r="A1895" s="98"/>
      <c r="B1895" s="98"/>
      <c r="C1895" s="98"/>
      <c r="E1895" s="7"/>
      <c r="F1895" s="7"/>
      <c r="G1895" s="4"/>
    </row>
    <row r="1896" spans="1:7" ht="12.75">
      <c r="A1896" s="98"/>
      <c r="B1896" s="98"/>
      <c r="C1896" s="98"/>
      <c r="E1896" s="7"/>
      <c r="F1896" s="7"/>
      <c r="G1896" s="4"/>
    </row>
    <row r="1897" spans="1:7" ht="12.75">
      <c r="A1897" s="98"/>
      <c r="B1897" s="98"/>
      <c r="C1897" s="98"/>
      <c r="E1897" s="7"/>
      <c r="F1897" s="7"/>
      <c r="G1897" s="4"/>
    </row>
    <row r="1898" spans="1:7" ht="12.75">
      <c r="A1898" s="98"/>
      <c r="B1898" s="98"/>
      <c r="C1898" s="98"/>
      <c r="E1898" s="7"/>
      <c r="F1898" s="7"/>
      <c r="G1898" s="4"/>
    </row>
    <row r="1899" spans="1:7" ht="12.75">
      <c r="A1899" s="98"/>
      <c r="B1899" s="98"/>
      <c r="C1899" s="98"/>
      <c r="E1899" s="7"/>
      <c r="F1899" s="7"/>
      <c r="G1899" s="4"/>
    </row>
    <row r="1900" spans="1:7" ht="12.75">
      <c r="A1900" s="98"/>
      <c r="B1900" s="98"/>
      <c r="C1900" s="98"/>
      <c r="E1900" s="7"/>
      <c r="F1900" s="7"/>
      <c r="G1900" s="4"/>
    </row>
    <row r="1901" spans="1:7" ht="12.75">
      <c r="A1901" s="98"/>
      <c r="B1901" s="98"/>
      <c r="C1901" s="98"/>
      <c r="E1901" s="7"/>
      <c r="F1901" s="7"/>
      <c r="G1901" s="4"/>
    </row>
    <row r="1902" spans="1:7" ht="12.75">
      <c r="A1902" s="98"/>
      <c r="B1902" s="98"/>
      <c r="C1902" s="98"/>
      <c r="E1902" s="7"/>
      <c r="F1902" s="7"/>
      <c r="G1902" s="4"/>
    </row>
    <row r="1903" spans="1:7" ht="12.75">
      <c r="A1903" s="98"/>
      <c r="B1903" s="98"/>
      <c r="C1903" s="98"/>
      <c r="E1903" s="7"/>
      <c r="F1903" s="7"/>
      <c r="G1903" s="4"/>
    </row>
    <row r="1904" spans="1:7" ht="12.75">
      <c r="A1904" s="98"/>
      <c r="B1904" s="98"/>
      <c r="C1904" s="98"/>
      <c r="E1904" s="7"/>
      <c r="F1904" s="7"/>
      <c r="G1904" s="4"/>
    </row>
    <row r="1905" spans="1:7" ht="12.75">
      <c r="A1905" s="98"/>
      <c r="B1905" s="98"/>
      <c r="C1905" s="98"/>
      <c r="E1905" s="7"/>
      <c r="F1905" s="7"/>
      <c r="G1905" s="4"/>
    </row>
    <row r="1906" spans="1:7" ht="12.75">
      <c r="A1906" s="98"/>
      <c r="B1906" s="98"/>
      <c r="C1906" s="98"/>
      <c r="E1906" s="7"/>
      <c r="F1906" s="7"/>
      <c r="G1906" s="4"/>
    </row>
    <row r="1907" spans="1:7" ht="12.75">
      <c r="A1907" s="98"/>
      <c r="B1907" s="98"/>
      <c r="C1907" s="98"/>
      <c r="E1907" s="7"/>
      <c r="F1907" s="7"/>
      <c r="G1907" s="4"/>
    </row>
    <row r="1908" spans="1:7" ht="12.75">
      <c r="A1908" s="98"/>
      <c r="B1908" s="98"/>
      <c r="C1908" s="98"/>
      <c r="E1908" s="7"/>
      <c r="F1908" s="7"/>
      <c r="G1908" s="4"/>
    </row>
    <row r="1909" spans="1:7" ht="12.75">
      <c r="A1909" s="98"/>
      <c r="B1909" s="98"/>
      <c r="C1909" s="98"/>
      <c r="E1909" s="7"/>
      <c r="F1909" s="7"/>
      <c r="G1909" s="4"/>
    </row>
    <row r="1910" spans="1:7" ht="12.75">
      <c r="A1910" s="98"/>
      <c r="B1910" s="98"/>
      <c r="C1910" s="98"/>
      <c r="E1910" s="7"/>
      <c r="F1910" s="7"/>
      <c r="G1910" s="4"/>
    </row>
    <row r="1911" spans="1:7" ht="12.75">
      <c r="A1911" s="98"/>
      <c r="B1911" s="98"/>
      <c r="C1911" s="98"/>
      <c r="E1911" s="7"/>
      <c r="F1911" s="7"/>
      <c r="G1911" s="4"/>
    </row>
    <row r="1912" spans="1:7" ht="12.75">
      <c r="A1912" s="98"/>
      <c r="B1912" s="98"/>
      <c r="C1912" s="98"/>
      <c r="E1912" s="7"/>
      <c r="F1912" s="7"/>
      <c r="G1912" s="4"/>
    </row>
    <row r="1913" spans="1:7" ht="12.75">
      <c r="A1913" s="98"/>
      <c r="B1913" s="98"/>
      <c r="C1913" s="98"/>
      <c r="E1913" s="7"/>
      <c r="F1913" s="7"/>
      <c r="G1913" s="4"/>
    </row>
    <row r="1914" spans="1:7" ht="12.75">
      <c r="A1914" s="98"/>
      <c r="B1914" s="98"/>
      <c r="C1914" s="98"/>
      <c r="E1914" s="7"/>
      <c r="F1914" s="7"/>
      <c r="G1914" s="4"/>
    </row>
    <row r="1915" spans="1:7" ht="12.75">
      <c r="A1915" s="98"/>
      <c r="B1915" s="98"/>
      <c r="C1915" s="98"/>
      <c r="E1915" s="7"/>
      <c r="F1915" s="7"/>
      <c r="G1915" s="4"/>
    </row>
    <row r="1916" spans="1:7" ht="12.75">
      <c r="A1916" s="98"/>
      <c r="B1916" s="98"/>
      <c r="C1916" s="98"/>
      <c r="E1916" s="7"/>
      <c r="F1916" s="7"/>
      <c r="G1916" s="4"/>
    </row>
    <row r="1917" spans="1:7" ht="12.75">
      <c r="A1917" s="98"/>
      <c r="B1917" s="98"/>
      <c r="C1917" s="98"/>
      <c r="E1917" s="7"/>
      <c r="F1917" s="7"/>
      <c r="G1917" s="4"/>
    </row>
    <row r="1918" spans="1:7" ht="12.75">
      <c r="A1918" s="98"/>
      <c r="B1918" s="98"/>
      <c r="C1918" s="98"/>
      <c r="E1918" s="7"/>
      <c r="F1918" s="7"/>
      <c r="G1918" s="4"/>
    </row>
    <row r="1919" spans="1:7" ht="12.75">
      <c r="A1919" s="98"/>
      <c r="B1919" s="98"/>
      <c r="C1919" s="98"/>
      <c r="E1919" s="7"/>
      <c r="F1919" s="7"/>
      <c r="G1919" s="4"/>
    </row>
    <row r="1920" spans="1:7" ht="12.75">
      <c r="A1920" s="98"/>
      <c r="B1920" s="98"/>
      <c r="C1920" s="98"/>
      <c r="E1920" s="7"/>
      <c r="F1920" s="7"/>
      <c r="G1920" s="4"/>
    </row>
    <row r="1921" spans="1:7" ht="12.75">
      <c r="A1921" s="98"/>
      <c r="B1921" s="98"/>
      <c r="C1921" s="98"/>
      <c r="E1921" s="7"/>
      <c r="F1921" s="7"/>
      <c r="G1921" s="4"/>
    </row>
    <row r="1922" spans="1:7" ht="12.75">
      <c r="A1922" s="98"/>
      <c r="B1922" s="98"/>
      <c r="C1922" s="98"/>
      <c r="E1922" s="7"/>
      <c r="F1922" s="7"/>
      <c r="G1922" s="4"/>
    </row>
    <row r="1923" spans="1:7" ht="12.75">
      <c r="A1923" s="98"/>
      <c r="B1923" s="98"/>
      <c r="C1923" s="98"/>
      <c r="E1923" s="7"/>
      <c r="F1923" s="7"/>
      <c r="G1923" s="4"/>
    </row>
    <row r="1924" spans="1:7" ht="12.75">
      <c r="A1924" s="98"/>
      <c r="B1924" s="98"/>
      <c r="C1924" s="98"/>
      <c r="E1924" s="7"/>
      <c r="F1924" s="7"/>
      <c r="G1924" s="4"/>
    </row>
    <row r="1925" spans="1:7" ht="12.75">
      <c r="A1925" s="98"/>
      <c r="B1925" s="98"/>
      <c r="C1925" s="98"/>
      <c r="E1925" s="7"/>
      <c r="F1925" s="7"/>
      <c r="G1925" s="4"/>
    </row>
    <row r="1926" spans="1:7" ht="12.75">
      <c r="A1926" s="98"/>
      <c r="B1926" s="98"/>
      <c r="C1926" s="98"/>
      <c r="E1926" s="7"/>
      <c r="F1926" s="7"/>
      <c r="G1926" s="4"/>
    </row>
    <row r="1927" spans="1:7" ht="12.75">
      <c r="A1927" s="98"/>
      <c r="B1927" s="98"/>
      <c r="C1927" s="98"/>
      <c r="E1927" s="7"/>
      <c r="F1927" s="7"/>
      <c r="G1927" s="4"/>
    </row>
    <row r="1928" spans="1:7" ht="12.75">
      <c r="A1928" s="98"/>
      <c r="B1928" s="98"/>
      <c r="C1928" s="98"/>
      <c r="E1928" s="7"/>
      <c r="F1928" s="7"/>
      <c r="G1928" s="4"/>
    </row>
    <row r="1929" spans="1:7" ht="12.75">
      <c r="A1929" s="98"/>
      <c r="B1929" s="98"/>
      <c r="C1929" s="98"/>
      <c r="E1929" s="7"/>
      <c r="F1929" s="7"/>
      <c r="G1929" s="4"/>
    </row>
    <row r="1930" spans="1:7" ht="12.75">
      <c r="A1930" s="98"/>
      <c r="B1930" s="98"/>
      <c r="C1930" s="98"/>
      <c r="E1930" s="7"/>
      <c r="F1930" s="7"/>
      <c r="G1930" s="4"/>
    </row>
    <row r="1931" spans="1:7" ht="12.75">
      <c r="A1931" s="98"/>
      <c r="B1931" s="98"/>
      <c r="C1931" s="98"/>
      <c r="E1931" s="7"/>
      <c r="F1931" s="7"/>
      <c r="G1931" s="4"/>
    </row>
    <row r="1932" spans="1:7" ht="12.75">
      <c r="A1932" s="98"/>
      <c r="B1932" s="98"/>
      <c r="C1932" s="98"/>
      <c r="E1932" s="7"/>
      <c r="F1932" s="7"/>
      <c r="G1932" s="4"/>
    </row>
    <row r="1933" spans="1:7" ht="12.75">
      <c r="A1933" s="98"/>
      <c r="B1933" s="98"/>
      <c r="C1933" s="98"/>
      <c r="E1933" s="7"/>
      <c r="F1933" s="7"/>
      <c r="G1933" s="4"/>
    </row>
    <row r="1934" spans="1:7" ht="12.75">
      <c r="A1934" s="98"/>
      <c r="B1934" s="98"/>
      <c r="C1934" s="98"/>
      <c r="E1934" s="7"/>
      <c r="F1934" s="7"/>
      <c r="G1934" s="4"/>
    </row>
    <row r="1935" spans="1:7" ht="12.75">
      <c r="A1935" s="98"/>
      <c r="B1935" s="98"/>
      <c r="C1935" s="98"/>
      <c r="E1935" s="7"/>
      <c r="F1935" s="7"/>
      <c r="G1935" s="4"/>
    </row>
    <row r="1936" spans="1:7" ht="12.75">
      <c r="A1936" s="98"/>
      <c r="B1936" s="98"/>
      <c r="C1936" s="98"/>
      <c r="E1936" s="7"/>
      <c r="F1936" s="7"/>
      <c r="G1936" s="4"/>
    </row>
    <row r="1937" spans="1:7" ht="12.75">
      <c r="A1937" s="98"/>
      <c r="B1937" s="98"/>
      <c r="C1937" s="98"/>
      <c r="E1937" s="7"/>
      <c r="F1937" s="7"/>
      <c r="G1937" s="4"/>
    </row>
    <row r="1938" spans="1:7" ht="12.75">
      <c r="A1938" s="98"/>
      <c r="B1938" s="98"/>
      <c r="C1938" s="98"/>
      <c r="E1938" s="7"/>
      <c r="F1938" s="7"/>
      <c r="G1938" s="4"/>
    </row>
    <row r="1939" spans="1:7" ht="12.75">
      <c r="A1939" s="98"/>
      <c r="B1939" s="98"/>
      <c r="C1939" s="98"/>
      <c r="E1939" s="7"/>
      <c r="F1939" s="7"/>
      <c r="G1939" s="4"/>
    </row>
    <row r="1940" spans="1:7" ht="12.75">
      <c r="A1940" s="98"/>
      <c r="B1940" s="98"/>
      <c r="C1940" s="98"/>
      <c r="E1940" s="7"/>
      <c r="F1940" s="7"/>
      <c r="G1940" s="4"/>
    </row>
    <row r="1941" spans="1:7" ht="12.75">
      <c r="A1941" s="98"/>
      <c r="B1941" s="98"/>
      <c r="C1941" s="98"/>
      <c r="E1941" s="7"/>
      <c r="F1941" s="7"/>
      <c r="G1941" s="4"/>
    </row>
    <row r="1942" spans="1:7" ht="12.75">
      <c r="A1942" s="98"/>
      <c r="B1942" s="98"/>
      <c r="C1942" s="98"/>
      <c r="E1942" s="7"/>
      <c r="F1942" s="7"/>
      <c r="G1942" s="4"/>
    </row>
    <row r="1943" spans="1:7" ht="12.75">
      <c r="A1943" s="98"/>
      <c r="B1943" s="98"/>
      <c r="C1943" s="98"/>
      <c r="E1943" s="7"/>
      <c r="F1943" s="7"/>
      <c r="G1943" s="4"/>
    </row>
    <row r="1944" spans="1:7" ht="12.75">
      <c r="A1944" s="98"/>
      <c r="B1944" s="98"/>
      <c r="C1944" s="98"/>
      <c r="E1944" s="7"/>
      <c r="F1944" s="7"/>
      <c r="G1944" s="4"/>
    </row>
    <row r="1945" spans="1:7" ht="12.75">
      <c r="A1945" s="98"/>
      <c r="B1945" s="98"/>
      <c r="C1945" s="98"/>
      <c r="E1945" s="7"/>
      <c r="F1945" s="7"/>
      <c r="G1945" s="4"/>
    </row>
    <row r="1946" spans="1:7" ht="12.75">
      <c r="A1946" s="98"/>
      <c r="B1946" s="98"/>
      <c r="C1946" s="98"/>
      <c r="E1946" s="7"/>
      <c r="F1946" s="7"/>
      <c r="G1946" s="4"/>
    </row>
    <row r="1947" spans="1:7" ht="12.75">
      <c r="A1947" s="98"/>
      <c r="B1947" s="98"/>
      <c r="C1947" s="98"/>
      <c r="E1947" s="7"/>
      <c r="F1947" s="7"/>
      <c r="G1947" s="4"/>
    </row>
    <row r="1948" spans="1:7" ht="12.75">
      <c r="A1948" s="98"/>
      <c r="B1948" s="98"/>
      <c r="C1948" s="98"/>
      <c r="E1948" s="7"/>
      <c r="F1948" s="7"/>
      <c r="G1948" s="4"/>
    </row>
    <row r="1949" spans="1:7" ht="12.75">
      <c r="A1949" s="98"/>
      <c r="B1949" s="98"/>
      <c r="C1949" s="98"/>
      <c r="E1949" s="7"/>
      <c r="F1949" s="7"/>
      <c r="G1949" s="4"/>
    </row>
    <row r="1950" spans="1:7" ht="12.75">
      <c r="A1950" s="98"/>
      <c r="B1950" s="98"/>
      <c r="C1950" s="98"/>
      <c r="E1950" s="7"/>
      <c r="F1950" s="7"/>
      <c r="G1950" s="4"/>
    </row>
    <row r="1951" spans="1:7" ht="12.75">
      <c r="A1951" s="98"/>
      <c r="B1951" s="98"/>
      <c r="C1951" s="98"/>
      <c r="E1951" s="7"/>
      <c r="F1951" s="7"/>
      <c r="G1951" s="4"/>
    </row>
    <row r="1952" spans="1:7" ht="12.75">
      <c r="A1952" s="98"/>
      <c r="B1952" s="98"/>
      <c r="C1952" s="98"/>
      <c r="E1952" s="7"/>
      <c r="F1952" s="7"/>
      <c r="G1952" s="4"/>
    </row>
    <row r="1953" spans="1:7" ht="12.75">
      <c r="A1953" s="98"/>
      <c r="B1953" s="98"/>
      <c r="C1953" s="98"/>
      <c r="E1953" s="7"/>
      <c r="F1953" s="7"/>
      <c r="G1953" s="4"/>
    </row>
    <row r="1954" spans="1:7" ht="12.75">
      <c r="A1954" s="98"/>
      <c r="B1954" s="98"/>
      <c r="C1954" s="98"/>
      <c r="E1954" s="7"/>
      <c r="F1954" s="7"/>
      <c r="G1954" s="4"/>
    </row>
    <row r="1955" spans="1:7" ht="12.75">
      <c r="A1955" s="98"/>
      <c r="B1955" s="98"/>
      <c r="C1955" s="98"/>
      <c r="E1955" s="7"/>
      <c r="F1955" s="7"/>
      <c r="G1955" s="4"/>
    </row>
    <row r="1956" spans="1:7" ht="12.75">
      <c r="A1956" s="98"/>
      <c r="B1956" s="98"/>
      <c r="C1956" s="98"/>
      <c r="E1956" s="7"/>
      <c r="F1956" s="7"/>
      <c r="G1956" s="4"/>
    </row>
    <row r="1957" spans="1:7" ht="12.75">
      <c r="A1957" s="98"/>
      <c r="B1957" s="98"/>
      <c r="C1957" s="98"/>
      <c r="E1957" s="7"/>
      <c r="F1957" s="7"/>
      <c r="G1957" s="4"/>
    </row>
    <row r="1958" spans="1:7" ht="12.75">
      <c r="A1958" s="98"/>
      <c r="B1958" s="98"/>
      <c r="C1958" s="98"/>
      <c r="E1958" s="7"/>
      <c r="F1958" s="7"/>
      <c r="G1958" s="4"/>
    </row>
    <row r="1959" spans="1:7" ht="12.75">
      <c r="A1959" s="98"/>
      <c r="B1959" s="98"/>
      <c r="C1959" s="98"/>
      <c r="E1959" s="7"/>
      <c r="F1959" s="7"/>
      <c r="G1959" s="4"/>
    </row>
    <row r="1960" spans="1:7" ht="12.75">
      <c r="A1960" s="98"/>
      <c r="B1960" s="98"/>
      <c r="C1960" s="98"/>
      <c r="E1960" s="7"/>
      <c r="F1960" s="7"/>
      <c r="G1960" s="4"/>
    </row>
    <row r="1961" spans="1:7" ht="12.75">
      <c r="A1961" s="98"/>
      <c r="B1961" s="98"/>
      <c r="C1961" s="98"/>
      <c r="E1961" s="7"/>
      <c r="F1961" s="7"/>
      <c r="G1961" s="4"/>
    </row>
    <row r="1962" spans="1:7" ht="12.75">
      <c r="A1962" s="98"/>
      <c r="B1962" s="98"/>
      <c r="C1962" s="98"/>
      <c r="E1962" s="7"/>
      <c r="F1962" s="7"/>
      <c r="G1962" s="4"/>
    </row>
    <row r="1963" spans="1:7" ht="12.75">
      <c r="A1963" s="98"/>
      <c r="B1963" s="98"/>
      <c r="C1963" s="98"/>
      <c r="E1963" s="7"/>
      <c r="F1963" s="7"/>
      <c r="G1963" s="4"/>
    </row>
    <row r="1964" spans="1:7" ht="12.75">
      <c r="A1964" s="98"/>
      <c r="B1964" s="98"/>
      <c r="C1964" s="98"/>
      <c r="E1964" s="7"/>
      <c r="F1964" s="7"/>
      <c r="G1964" s="4"/>
    </row>
    <row r="1965" spans="1:7" ht="12.75">
      <c r="A1965" s="98"/>
      <c r="B1965" s="98"/>
      <c r="C1965" s="98"/>
      <c r="E1965" s="7"/>
      <c r="F1965" s="7"/>
      <c r="G1965" s="4"/>
    </row>
    <row r="1966" spans="1:7" ht="12.75">
      <c r="A1966" s="98"/>
      <c r="B1966" s="98"/>
      <c r="C1966" s="98"/>
      <c r="E1966" s="7"/>
      <c r="F1966" s="7"/>
      <c r="G1966" s="4"/>
    </row>
    <row r="1967" spans="1:7" ht="12.75">
      <c r="A1967" s="98"/>
      <c r="B1967" s="98"/>
      <c r="C1967" s="98"/>
      <c r="E1967" s="7"/>
      <c r="F1967" s="7"/>
      <c r="G1967" s="4"/>
    </row>
    <row r="1968" spans="1:7" ht="12.75">
      <c r="A1968" s="98"/>
      <c r="B1968" s="98"/>
      <c r="C1968" s="98"/>
      <c r="E1968" s="7"/>
      <c r="F1968" s="7"/>
      <c r="G1968" s="4"/>
    </row>
    <row r="1969" spans="1:7" ht="12.75">
      <c r="A1969" s="98"/>
      <c r="B1969" s="98"/>
      <c r="C1969" s="98"/>
      <c r="E1969" s="7"/>
      <c r="F1969" s="7"/>
      <c r="G1969" s="4"/>
    </row>
    <row r="1970" spans="1:7" ht="12.75">
      <c r="A1970" s="98"/>
      <c r="B1970" s="98"/>
      <c r="C1970" s="98"/>
      <c r="E1970" s="7"/>
      <c r="F1970" s="7"/>
      <c r="G1970" s="4"/>
    </row>
    <row r="1971" spans="1:7" ht="12.75">
      <c r="A1971" s="98"/>
      <c r="B1971" s="98"/>
      <c r="C1971" s="98"/>
      <c r="E1971" s="7"/>
      <c r="F1971" s="7"/>
      <c r="G1971" s="4"/>
    </row>
    <row r="1972" spans="1:7" ht="12.75">
      <c r="A1972" s="98"/>
      <c r="B1972" s="98"/>
      <c r="C1972" s="98"/>
      <c r="E1972" s="7"/>
      <c r="F1972" s="7"/>
      <c r="G1972" s="4"/>
    </row>
    <row r="1973" spans="1:7" ht="12.75">
      <c r="A1973" s="98"/>
      <c r="B1973" s="98"/>
      <c r="C1973" s="98"/>
      <c r="E1973" s="7"/>
      <c r="F1973" s="7"/>
      <c r="G1973" s="4"/>
    </row>
    <row r="1974" spans="1:7" ht="12.75">
      <c r="A1974" s="98"/>
      <c r="B1974" s="98"/>
      <c r="C1974" s="98"/>
      <c r="E1974" s="7"/>
      <c r="F1974" s="7"/>
      <c r="G1974" s="4"/>
    </row>
    <row r="1975" spans="1:7" ht="12.75">
      <c r="A1975" s="98"/>
      <c r="B1975" s="98"/>
      <c r="C1975" s="98"/>
      <c r="E1975" s="7"/>
      <c r="F1975" s="7"/>
      <c r="G1975" s="4"/>
    </row>
    <row r="1976" spans="1:7" ht="12.75">
      <c r="A1976" s="98"/>
      <c r="B1976" s="98"/>
      <c r="C1976" s="98"/>
      <c r="E1976" s="7"/>
      <c r="F1976" s="7"/>
      <c r="G1976" s="4"/>
    </row>
    <row r="1977" spans="1:7" ht="12.75">
      <c r="A1977" s="98"/>
      <c r="B1977" s="98"/>
      <c r="C1977" s="98"/>
      <c r="E1977" s="7"/>
      <c r="F1977" s="7"/>
      <c r="G1977" s="4"/>
    </row>
    <row r="1978" spans="1:7" ht="12.75">
      <c r="A1978" s="98"/>
      <c r="B1978" s="98"/>
      <c r="C1978" s="98"/>
      <c r="E1978" s="7"/>
      <c r="F1978" s="7"/>
      <c r="G1978" s="4"/>
    </row>
    <row r="1979" spans="1:7" ht="12.75">
      <c r="A1979" s="98"/>
      <c r="B1979" s="98"/>
      <c r="C1979" s="98"/>
      <c r="E1979" s="7"/>
      <c r="F1979" s="7"/>
      <c r="G1979" s="4"/>
    </row>
    <row r="1980" spans="1:7" ht="12.75">
      <c r="A1980" s="98"/>
      <c r="B1980" s="98"/>
      <c r="C1980" s="98"/>
      <c r="E1980" s="7"/>
      <c r="F1980" s="7"/>
      <c r="G1980" s="4"/>
    </row>
    <row r="1981" spans="1:7" ht="12.75">
      <c r="A1981" s="98"/>
      <c r="B1981" s="98"/>
      <c r="C1981" s="98"/>
      <c r="E1981" s="7"/>
      <c r="F1981" s="7"/>
      <c r="G1981" s="4"/>
    </row>
    <row r="1982" spans="1:7" ht="12.75">
      <c r="A1982" s="98"/>
      <c r="B1982" s="98"/>
      <c r="C1982" s="98"/>
      <c r="E1982" s="7"/>
      <c r="F1982" s="7"/>
      <c r="G1982" s="4"/>
    </row>
    <row r="1983" spans="1:7" ht="12.75">
      <c r="A1983" s="98"/>
      <c r="B1983" s="98"/>
      <c r="C1983" s="98"/>
      <c r="E1983" s="7"/>
      <c r="F1983" s="7"/>
      <c r="G1983" s="4"/>
    </row>
    <row r="1984" spans="1:7" ht="12.75">
      <c r="A1984" s="98"/>
      <c r="B1984" s="98"/>
      <c r="C1984" s="98"/>
      <c r="E1984" s="7"/>
      <c r="F1984" s="7"/>
      <c r="G1984" s="4"/>
    </row>
    <row r="1985" spans="1:7" ht="12.75">
      <c r="A1985" s="98"/>
      <c r="B1985" s="98"/>
      <c r="C1985" s="98"/>
      <c r="E1985" s="7"/>
      <c r="F1985" s="7"/>
      <c r="G1985" s="4"/>
    </row>
    <row r="1986" spans="1:7" ht="12.75">
      <c r="A1986" s="98"/>
      <c r="B1986" s="98"/>
      <c r="C1986" s="98"/>
      <c r="E1986" s="7"/>
      <c r="F1986" s="7"/>
      <c r="G1986" s="4"/>
    </row>
    <row r="1987" spans="1:7" ht="12.75">
      <c r="A1987" s="98"/>
      <c r="B1987" s="98"/>
      <c r="C1987" s="98"/>
      <c r="E1987" s="7"/>
      <c r="F1987" s="7"/>
      <c r="G1987" s="4"/>
    </row>
    <row r="1988" spans="1:7" ht="12.75">
      <c r="A1988" s="98"/>
      <c r="B1988" s="98"/>
      <c r="C1988" s="98"/>
      <c r="E1988" s="7"/>
      <c r="F1988" s="7"/>
      <c r="G1988" s="4"/>
    </row>
    <row r="1989" spans="1:7" ht="12.75">
      <c r="A1989" s="98"/>
      <c r="B1989" s="98"/>
      <c r="C1989" s="98"/>
      <c r="E1989" s="7"/>
      <c r="F1989" s="7"/>
      <c r="G1989" s="4"/>
    </row>
    <row r="1990" spans="1:7" ht="12.75">
      <c r="A1990" s="98"/>
      <c r="B1990" s="98"/>
      <c r="C1990" s="98"/>
      <c r="E1990" s="7"/>
      <c r="F1990" s="7"/>
      <c r="G1990" s="4"/>
    </row>
    <row r="1991" spans="1:7" ht="12.75">
      <c r="A1991" s="98"/>
      <c r="B1991" s="98"/>
      <c r="C1991" s="98"/>
      <c r="E1991" s="7"/>
      <c r="F1991" s="7"/>
      <c r="G1991" s="4"/>
    </row>
    <row r="1992" spans="1:7" ht="12.75">
      <c r="A1992" s="98"/>
      <c r="B1992" s="98"/>
      <c r="C1992" s="98"/>
      <c r="E1992" s="7"/>
      <c r="F1992" s="7"/>
      <c r="G1992" s="4"/>
    </row>
    <row r="1993" spans="1:7" ht="12.75">
      <c r="A1993" s="98"/>
      <c r="B1993" s="98"/>
      <c r="C1993" s="98"/>
      <c r="E1993" s="7"/>
      <c r="F1993" s="7"/>
      <c r="G1993" s="4"/>
    </row>
    <row r="1994" spans="1:7" ht="12.75">
      <c r="A1994" s="98"/>
      <c r="B1994" s="98"/>
      <c r="C1994" s="98"/>
      <c r="E1994" s="7"/>
      <c r="F1994" s="7"/>
      <c r="G1994" s="4"/>
    </row>
    <row r="1995" spans="1:7" ht="12.75">
      <c r="A1995" s="98"/>
      <c r="B1995" s="98"/>
      <c r="C1995" s="98"/>
      <c r="E1995" s="7"/>
      <c r="F1995" s="7"/>
      <c r="G1995" s="4"/>
    </row>
    <row r="1996" spans="1:7" ht="12.75">
      <c r="A1996" s="98"/>
      <c r="B1996" s="98"/>
      <c r="C1996" s="98"/>
      <c r="E1996" s="7"/>
      <c r="F1996" s="7"/>
      <c r="G1996" s="4"/>
    </row>
    <row r="1997" spans="1:7" ht="12.75">
      <c r="A1997" s="98"/>
      <c r="B1997" s="98"/>
      <c r="C1997" s="98"/>
      <c r="E1997" s="7"/>
      <c r="F1997" s="7"/>
      <c r="G1997" s="4"/>
    </row>
    <row r="1998" spans="1:7" ht="12.75">
      <c r="A1998" s="98"/>
      <c r="B1998" s="98"/>
      <c r="C1998" s="98"/>
      <c r="E1998" s="7"/>
      <c r="F1998" s="7"/>
      <c r="G1998" s="4"/>
    </row>
    <row r="1999" spans="1:7" ht="12.75">
      <c r="A1999" s="98"/>
      <c r="B1999" s="98"/>
      <c r="C1999" s="98"/>
      <c r="E1999" s="7"/>
      <c r="F1999" s="7"/>
      <c r="G1999" s="4"/>
    </row>
    <row r="2000" spans="1:7" ht="12.75">
      <c r="A2000" s="98"/>
      <c r="B2000" s="98"/>
      <c r="C2000" s="98"/>
      <c r="E2000" s="7"/>
      <c r="F2000" s="7"/>
      <c r="G2000" s="4"/>
    </row>
    <row r="2001" spans="1:7" ht="12.75">
      <c r="A2001" s="98"/>
      <c r="B2001" s="98"/>
      <c r="C2001" s="98"/>
      <c r="E2001" s="7"/>
      <c r="F2001" s="7"/>
      <c r="G2001" s="4"/>
    </row>
    <row r="2002" spans="1:7" ht="12.75">
      <c r="A2002" s="98"/>
      <c r="B2002" s="98"/>
      <c r="C2002" s="98"/>
      <c r="E2002" s="7"/>
      <c r="F2002" s="7"/>
      <c r="G2002" s="4"/>
    </row>
    <row r="2003" spans="1:7" ht="12.75">
      <c r="A2003" s="98"/>
      <c r="B2003" s="98"/>
      <c r="C2003" s="98"/>
      <c r="E2003" s="7"/>
      <c r="F2003" s="7"/>
      <c r="G2003" s="4"/>
    </row>
    <row r="2004" spans="1:7" ht="12.75">
      <c r="A2004" s="98"/>
      <c r="B2004" s="98"/>
      <c r="C2004" s="98"/>
      <c r="E2004" s="7"/>
      <c r="F2004" s="7"/>
      <c r="G2004" s="4"/>
    </row>
    <row r="2005" spans="1:7" ht="12.75">
      <c r="A2005" s="98"/>
      <c r="B2005" s="98"/>
      <c r="C2005" s="98"/>
      <c r="E2005" s="7"/>
      <c r="F2005" s="7"/>
      <c r="G2005" s="4"/>
    </row>
    <row r="2006" spans="1:7" ht="12.75">
      <c r="A2006" s="98"/>
      <c r="B2006" s="98"/>
      <c r="C2006" s="98"/>
      <c r="E2006" s="7"/>
      <c r="F2006" s="7"/>
      <c r="G2006" s="4"/>
    </row>
    <row r="2007" spans="1:7" ht="12.75">
      <c r="A2007" s="98"/>
      <c r="B2007" s="98"/>
      <c r="C2007" s="98"/>
      <c r="E2007" s="7"/>
      <c r="F2007" s="7"/>
      <c r="G2007" s="4"/>
    </row>
    <row r="2008" spans="1:7" ht="12.75">
      <c r="A2008" s="98"/>
      <c r="B2008" s="98"/>
      <c r="C2008" s="98"/>
      <c r="E2008" s="7"/>
      <c r="F2008" s="7"/>
      <c r="G2008" s="4"/>
    </row>
    <row r="2009" spans="1:7" ht="12.75">
      <c r="A2009" s="98"/>
      <c r="B2009" s="98"/>
      <c r="C2009" s="98"/>
      <c r="E2009" s="7"/>
      <c r="F2009" s="7"/>
      <c r="G2009" s="4"/>
    </row>
    <row r="2010" spans="1:7" ht="12.75">
      <c r="A2010" s="98"/>
      <c r="B2010" s="98"/>
      <c r="C2010" s="98"/>
      <c r="E2010" s="7"/>
      <c r="F2010" s="7"/>
      <c r="G2010" s="4"/>
    </row>
    <row r="2011" spans="1:7" ht="12.75">
      <c r="A2011" s="98"/>
      <c r="B2011" s="98"/>
      <c r="C2011" s="98"/>
      <c r="E2011" s="7"/>
      <c r="F2011" s="7"/>
      <c r="G2011" s="4"/>
    </row>
    <row r="2012" spans="1:7" ht="12.75">
      <c r="A2012" s="98"/>
      <c r="B2012" s="98"/>
      <c r="C2012" s="98"/>
      <c r="E2012" s="7"/>
      <c r="F2012" s="7"/>
      <c r="G2012" s="4"/>
    </row>
    <row r="2013" spans="1:7" ht="12.75">
      <c r="A2013" s="98"/>
      <c r="B2013" s="98"/>
      <c r="C2013" s="98"/>
      <c r="E2013" s="7"/>
      <c r="F2013" s="7"/>
      <c r="G2013" s="4"/>
    </row>
    <row r="2014" spans="1:7" ht="12.75">
      <c r="A2014" s="98"/>
      <c r="B2014" s="98"/>
      <c r="C2014" s="98"/>
      <c r="E2014" s="7"/>
      <c r="F2014" s="7"/>
      <c r="G2014" s="4"/>
    </row>
    <row r="2015" spans="1:7" ht="12.75">
      <c r="A2015" s="98"/>
      <c r="B2015" s="98"/>
      <c r="C2015" s="98"/>
      <c r="E2015" s="7"/>
      <c r="F2015" s="7"/>
      <c r="G2015" s="4"/>
    </row>
    <row r="2016" spans="1:7" ht="12.75">
      <c r="A2016" s="98"/>
      <c r="B2016" s="98"/>
      <c r="C2016" s="98"/>
      <c r="E2016" s="7"/>
      <c r="F2016" s="7"/>
      <c r="G2016" s="4"/>
    </row>
    <row r="2017" spans="1:7" ht="12.75">
      <c r="A2017" s="98"/>
      <c r="B2017" s="98"/>
      <c r="C2017" s="98"/>
      <c r="E2017" s="7"/>
      <c r="F2017" s="7"/>
      <c r="G2017" s="4"/>
    </row>
    <row r="2018" spans="1:7" ht="12.75">
      <c r="A2018" s="98"/>
      <c r="B2018" s="98"/>
      <c r="C2018" s="98"/>
      <c r="E2018" s="7"/>
      <c r="F2018" s="7"/>
      <c r="G2018" s="4"/>
    </row>
    <row r="2019" spans="1:7" ht="12.75">
      <c r="A2019" s="98"/>
      <c r="B2019" s="98"/>
      <c r="C2019" s="98"/>
      <c r="E2019" s="7"/>
      <c r="F2019" s="7"/>
      <c r="G2019" s="4"/>
    </row>
    <row r="2020" spans="1:7" ht="12.75">
      <c r="A2020" s="98"/>
      <c r="B2020" s="98"/>
      <c r="C2020" s="98"/>
      <c r="E2020" s="7"/>
      <c r="F2020" s="7"/>
      <c r="G2020" s="4"/>
    </row>
    <row r="2021" spans="1:7" ht="12.75">
      <c r="A2021" s="98"/>
      <c r="B2021" s="98"/>
      <c r="C2021" s="98"/>
      <c r="E2021" s="7"/>
      <c r="F2021" s="7"/>
      <c r="G2021" s="4"/>
    </row>
    <row r="2022" spans="1:7" ht="12.75">
      <c r="A2022" s="98"/>
      <c r="B2022" s="98"/>
      <c r="C2022" s="98"/>
      <c r="E2022" s="7"/>
      <c r="F2022" s="7"/>
      <c r="G2022" s="4"/>
    </row>
    <row r="2023" spans="1:7" ht="12.75">
      <c r="A2023" s="98"/>
      <c r="B2023" s="98"/>
      <c r="C2023" s="98"/>
      <c r="E2023" s="7"/>
      <c r="F2023" s="7"/>
      <c r="G2023" s="4"/>
    </row>
    <row r="2024" spans="1:7" ht="12.75">
      <c r="A2024" s="98"/>
      <c r="B2024" s="98"/>
      <c r="C2024" s="98"/>
      <c r="E2024" s="7"/>
      <c r="F2024" s="7"/>
      <c r="G2024" s="4"/>
    </row>
    <row r="2025" spans="1:7" ht="12.75">
      <c r="A2025" s="98"/>
      <c r="B2025" s="98"/>
      <c r="C2025" s="98"/>
      <c r="E2025" s="7"/>
      <c r="F2025" s="7"/>
      <c r="G2025" s="4"/>
    </row>
    <row r="2026" spans="1:7" ht="12.75">
      <c r="A2026" s="98"/>
      <c r="B2026" s="98"/>
      <c r="C2026" s="98"/>
      <c r="E2026" s="7"/>
      <c r="F2026" s="7"/>
      <c r="G2026" s="4"/>
    </row>
    <row r="2027" spans="1:7" ht="12.75">
      <c r="A2027" s="98"/>
      <c r="B2027" s="98"/>
      <c r="C2027" s="98"/>
      <c r="E2027" s="7"/>
      <c r="F2027" s="7"/>
      <c r="G2027" s="4"/>
    </row>
    <row r="2028" spans="1:7" ht="12.75">
      <c r="A2028" s="98"/>
      <c r="B2028" s="98"/>
      <c r="C2028" s="98"/>
      <c r="E2028" s="7"/>
      <c r="F2028" s="7"/>
      <c r="G2028" s="4"/>
    </row>
    <row r="2029" spans="1:7" ht="12.75">
      <c r="A2029" s="98"/>
      <c r="B2029" s="98"/>
      <c r="C2029" s="98"/>
      <c r="E2029" s="7"/>
      <c r="F2029" s="7"/>
      <c r="G2029" s="4"/>
    </row>
    <row r="2030" spans="1:7" ht="12.75">
      <c r="A2030" s="98"/>
      <c r="B2030" s="98"/>
      <c r="C2030" s="98"/>
      <c r="E2030" s="7"/>
      <c r="F2030" s="7"/>
      <c r="G2030" s="4"/>
    </row>
    <row r="2031" spans="1:7" ht="12.75">
      <c r="A2031" s="98"/>
      <c r="B2031" s="98"/>
      <c r="C2031" s="98"/>
      <c r="E2031" s="7"/>
      <c r="F2031" s="7"/>
      <c r="G2031" s="4"/>
    </row>
    <row r="2032" spans="1:7" ht="12.75">
      <c r="A2032" s="98"/>
      <c r="B2032" s="98"/>
      <c r="C2032" s="98"/>
      <c r="E2032" s="7"/>
      <c r="F2032" s="7"/>
      <c r="G2032" s="4"/>
    </row>
    <row r="2033" spans="1:7" ht="12.75">
      <c r="A2033" s="98"/>
      <c r="B2033" s="98"/>
      <c r="C2033" s="98"/>
      <c r="E2033" s="7"/>
      <c r="F2033" s="7"/>
      <c r="G2033" s="4"/>
    </row>
    <row r="2034" spans="1:7" ht="12.75">
      <c r="A2034" s="98"/>
      <c r="B2034" s="98"/>
      <c r="C2034" s="98"/>
      <c r="E2034" s="7"/>
      <c r="F2034" s="7"/>
      <c r="G2034" s="4"/>
    </row>
    <row r="2035" spans="1:7" ht="12.75">
      <c r="A2035" s="98"/>
      <c r="B2035" s="98"/>
      <c r="C2035" s="98"/>
      <c r="E2035" s="7"/>
      <c r="F2035" s="7"/>
      <c r="G2035" s="4"/>
    </row>
    <row r="2036" spans="1:7" ht="12.75">
      <c r="A2036" s="98"/>
      <c r="B2036" s="98"/>
      <c r="C2036" s="98"/>
      <c r="E2036" s="7"/>
      <c r="F2036" s="7"/>
      <c r="G2036" s="4"/>
    </row>
    <row r="2037" spans="1:7" ht="12.75">
      <c r="A2037" s="98"/>
      <c r="B2037" s="98"/>
      <c r="C2037" s="98"/>
      <c r="E2037" s="7"/>
      <c r="F2037" s="7"/>
      <c r="G2037" s="4"/>
    </row>
    <row r="2038" spans="1:7" ht="12.75">
      <c r="A2038" s="98"/>
      <c r="B2038" s="98"/>
      <c r="C2038" s="98"/>
      <c r="E2038" s="7"/>
      <c r="F2038" s="7"/>
      <c r="G2038" s="4"/>
    </row>
    <row r="2039" spans="1:7" ht="12.75">
      <c r="A2039" s="98"/>
      <c r="B2039" s="98"/>
      <c r="C2039" s="98"/>
      <c r="E2039" s="7"/>
      <c r="F2039" s="7"/>
      <c r="G2039" s="4"/>
    </row>
    <row r="2040" spans="1:7" ht="12.75">
      <c r="A2040" s="98"/>
      <c r="B2040" s="98"/>
      <c r="C2040" s="98"/>
      <c r="E2040" s="7"/>
      <c r="F2040" s="7"/>
      <c r="G2040" s="4"/>
    </row>
    <row r="2041" spans="1:7" ht="12.75">
      <c r="A2041" s="98"/>
      <c r="B2041" s="98"/>
      <c r="C2041" s="98"/>
      <c r="E2041" s="7"/>
      <c r="F2041" s="7"/>
      <c r="G2041" s="4"/>
    </row>
    <row r="2042" spans="1:7" ht="12.75">
      <c r="A2042" s="98"/>
      <c r="B2042" s="98"/>
      <c r="C2042" s="98"/>
      <c r="E2042" s="7"/>
      <c r="F2042" s="7"/>
      <c r="G2042" s="4"/>
    </row>
    <row r="2043" spans="1:7" ht="12.75">
      <c r="A2043" s="98"/>
      <c r="B2043" s="98"/>
      <c r="C2043" s="98"/>
      <c r="E2043" s="7"/>
      <c r="F2043" s="7"/>
      <c r="G2043" s="4"/>
    </row>
    <row r="2044" spans="1:7" ht="12.75">
      <c r="A2044" s="98"/>
      <c r="B2044" s="98"/>
      <c r="C2044" s="98"/>
      <c r="E2044" s="7"/>
      <c r="F2044" s="7"/>
      <c r="G2044" s="4"/>
    </row>
    <row r="2045" spans="1:7" ht="12.75">
      <c r="A2045" s="98"/>
      <c r="B2045" s="98"/>
      <c r="C2045" s="98"/>
      <c r="E2045" s="7"/>
      <c r="F2045" s="7"/>
      <c r="G2045" s="4"/>
    </row>
    <row r="2046" spans="1:7" ht="12.75">
      <c r="A2046" s="98"/>
      <c r="B2046" s="98"/>
      <c r="C2046" s="98"/>
      <c r="E2046" s="7"/>
      <c r="F2046" s="7"/>
      <c r="G2046" s="4"/>
    </row>
    <row r="2047" spans="1:7" ht="12.75">
      <c r="A2047" s="98"/>
      <c r="B2047" s="98"/>
      <c r="C2047" s="98"/>
      <c r="E2047" s="7"/>
      <c r="F2047" s="7"/>
      <c r="G2047" s="4"/>
    </row>
    <row r="2048" spans="1:7" ht="12.75">
      <c r="A2048" s="98"/>
      <c r="B2048" s="98"/>
      <c r="C2048" s="98"/>
      <c r="E2048" s="7"/>
      <c r="F2048" s="7"/>
      <c r="G2048" s="4"/>
    </row>
    <row r="2049" spans="1:7" ht="12.75">
      <c r="A2049" s="98"/>
      <c r="B2049" s="98"/>
      <c r="C2049" s="98"/>
      <c r="E2049" s="7"/>
      <c r="F2049" s="7"/>
      <c r="G2049" s="4"/>
    </row>
    <row r="2050" spans="1:7" ht="12.75">
      <c r="A2050" s="98"/>
      <c r="B2050" s="98"/>
      <c r="C2050" s="98"/>
      <c r="E2050" s="7"/>
      <c r="F2050" s="7"/>
      <c r="G2050" s="4"/>
    </row>
    <row r="2051" spans="1:7" ht="12.75">
      <c r="A2051" s="98"/>
      <c r="B2051" s="98"/>
      <c r="C2051" s="98"/>
      <c r="E2051" s="7"/>
      <c r="F2051" s="7"/>
      <c r="G2051" s="4"/>
    </row>
    <row r="2052" spans="1:7" ht="12.75">
      <c r="A2052" s="98"/>
      <c r="B2052" s="98"/>
      <c r="C2052" s="98"/>
      <c r="E2052" s="7"/>
      <c r="F2052" s="7"/>
      <c r="G2052" s="4"/>
    </row>
    <row r="2053" spans="1:7" ht="12.75">
      <c r="A2053" s="98"/>
      <c r="B2053" s="98"/>
      <c r="C2053" s="98"/>
      <c r="E2053" s="7"/>
      <c r="F2053" s="7"/>
      <c r="G2053" s="4"/>
    </row>
    <row r="2054" spans="1:7" ht="12.75">
      <c r="A2054" s="98"/>
      <c r="B2054" s="98"/>
      <c r="C2054" s="98"/>
      <c r="E2054" s="7"/>
      <c r="F2054" s="7"/>
      <c r="G2054" s="4"/>
    </row>
    <row r="2055" spans="1:7" ht="12.75">
      <c r="A2055" s="98"/>
      <c r="B2055" s="98"/>
      <c r="C2055" s="98"/>
      <c r="E2055" s="7"/>
      <c r="F2055" s="7"/>
      <c r="G2055" s="4"/>
    </row>
    <row r="2056" spans="1:7" ht="12.75">
      <c r="A2056" s="98"/>
      <c r="B2056" s="98"/>
      <c r="C2056" s="98"/>
      <c r="E2056" s="7"/>
      <c r="F2056" s="7"/>
      <c r="G2056" s="4"/>
    </row>
    <row r="2057" spans="1:7" ht="12.75">
      <c r="A2057" s="98"/>
      <c r="B2057" s="98"/>
      <c r="C2057" s="98"/>
      <c r="E2057" s="7"/>
      <c r="F2057" s="7"/>
      <c r="G2057" s="4"/>
    </row>
    <row r="2058" spans="1:7" ht="12.75">
      <c r="A2058" s="98"/>
      <c r="B2058" s="98"/>
      <c r="C2058" s="98"/>
      <c r="E2058" s="7"/>
      <c r="F2058" s="7"/>
      <c r="G2058" s="4"/>
    </row>
    <row r="2059" spans="1:7" ht="12.75">
      <c r="A2059" s="98"/>
      <c r="B2059" s="98"/>
      <c r="C2059" s="98"/>
      <c r="E2059" s="7"/>
      <c r="F2059" s="7"/>
      <c r="G2059" s="4"/>
    </row>
    <row r="2060" spans="1:7" ht="12.75">
      <c r="A2060" s="98"/>
      <c r="B2060" s="98"/>
      <c r="C2060" s="98"/>
      <c r="E2060" s="7"/>
      <c r="F2060" s="7"/>
      <c r="G2060" s="4"/>
    </row>
    <row r="2061" spans="1:7" ht="12.75">
      <c r="A2061" s="98"/>
      <c r="B2061" s="98"/>
      <c r="C2061" s="98"/>
      <c r="E2061" s="7"/>
      <c r="F2061" s="7"/>
      <c r="G2061" s="4"/>
    </row>
    <row r="2062" spans="1:7" ht="12.75">
      <c r="A2062" s="98"/>
      <c r="B2062" s="98"/>
      <c r="C2062" s="98"/>
      <c r="E2062" s="7"/>
      <c r="F2062" s="7"/>
      <c r="G2062" s="4"/>
    </row>
    <row r="2063" spans="1:7" ht="12.75">
      <c r="A2063" s="98"/>
      <c r="B2063" s="98"/>
      <c r="C2063" s="98"/>
      <c r="E2063" s="7"/>
      <c r="F2063" s="7"/>
      <c r="G2063" s="4"/>
    </row>
    <row r="2064" spans="1:7" ht="12.75">
      <c r="A2064" s="98"/>
      <c r="B2064" s="98"/>
      <c r="C2064" s="98"/>
      <c r="E2064" s="7"/>
      <c r="F2064" s="7"/>
      <c r="G2064" s="4"/>
    </row>
    <row r="2065" spans="1:7" ht="12.75">
      <c r="A2065" s="98"/>
      <c r="B2065" s="98"/>
      <c r="C2065" s="98"/>
      <c r="E2065" s="7"/>
      <c r="F2065" s="7"/>
      <c r="G2065" s="4"/>
    </row>
    <row r="2066" spans="1:7" ht="12.75">
      <c r="A2066" s="98"/>
      <c r="B2066" s="98"/>
      <c r="C2066" s="98"/>
      <c r="E2066" s="7"/>
      <c r="F2066" s="7"/>
      <c r="G2066" s="4"/>
    </row>
    <row r="2067" spans="1:7" ht="12.75">
      <c r="A2067" s="98"/>
      <c r="B2067" s="98"/>
      <c r="C2067" s="98"/>
      <c r="E2067" s="7"/>
      <c r="F2067" s="7"/>
      <c r="G2067" s="4"/>
    </row>
    <row r="2068" spans="1:7" ht="12.75">
      <c r="A2068" s="98"/>
      <c r="B2068" s="98"/>
      <c r="C2068" s="98"/>
      <c r="E2068" s="7"/>
      <c r="F2068" s="7"/>
      <c r="G2068" s="4"/>
    </row>
    <row r="2069" spans="1:7" ht="12.75">
      <c r="A2069" s="98"/>
      <c r="B2069" s="98"/>
      <c r="C2069" s="98"/>
      <c r="E2069" s="7"/>
      <c r="F2069" s="7"/>
      <c r="G2069" s="4"/>
    </row>
    <row r="2070" spans="1:7" ht="12.75">
      <c r="A2070" s="98"/>
      <c r="B2070" s="98"/>
      <c r="C2070" s="98"/>
      <c r="E2070" s="7"/>
      <c r="F2070" s="7"/>
      <c r="G2070" s="4"/>
    </row>
    <row r="2071" spans="1:7" ht="12.75">
      <c r="A2071" s="98"/>
      <c r="B2071" s="98"/>
      <c r="C2071" s="98"/>
      <c r="E2071" s="7"/>
      <c r="F2071" s="7"/>
      <c r="G2071" s="4"/>
    </row>
    <row r="2072" spans="1:7" ht="12.75">
      <c r="A2072" s="98"/>
      <c r="B2072" s="98"/>
      <c r="C2072" s="98"/>
      <c r="E2072" s="7"/>
      <c r="F2072" s="7"/>
      <c r="G2072" s="4"/>
    </row>
    <row r="2073" spans="1:7" ht="12.75">
      <c r="A2073" s="98"/>
      <c r="B2073" s="98"/>
      <c r="C2073" s="98"/>
      <c r="E2073" s="7"/>
      <c r="F2073" s="7"/>
      <c r="G2073" s="4"/>
    </row>
    <row r="2074" spans="1:7" ht="12.75">
      <c r="A2074" s="98"/>
      <c r="B2074" s="98"/>
      <c r="C2074" s="98"/>
      <c r="E2074" s="7"/>
      <c r="F2074" s="7"/>
      <c r="G2074" s="4"/>
    </row>
    <row r="2075" spans="1:7" ht="12.75">
      <c r="A2075" s="98"/>
      <c r="B2075" s="98"/>
      <c r="C2075" s="98"/>
      <c r="E2075" s="7"/>
      <c r="F2075" s="7"/>
      <c r="G2075" s="4"/>
    </row>
    <row r="2076" spans="1:7" ht="12.75">
      <c r="A2076" s="98"/>
      <c r="B2076" s="98"/>
      <c r="C2076" s="98"/>
      <c r="E2076" s="7"/>
      <c r="F2076" s="7"/>
      <c r="G2076" s="4"/>
    </row>
    <row r="2077" spans="1:7" ht="12.75">
      <c r="A2077" s="98"/>
      <c r="B2077" s="98"/>
      <c r="C2077" s="98"/>
      <c r="E2077" s="7"/>
      <c r="F2077" s="7"/>
      <c r="G2077" s="4"/>
    </row>
    <row r="2078" spans="1:7" ht="12.75">
      <c r="A2078" s="98"/>
      <c r="B2078" s="98"/>
      <c r="C2078" s="98"/>
      <c r="E2078" s="7"/>
      <c r="F2078" s="7"/>
      <c r="G2078" s="4"/>
    </row>
    <row r="2079" spans="1:7" ht="12.75">
      <c r="A2079" s="98"/>
      <c r="B2079" s="98"/>
      <c r="C2079" s="98"/>
      <c r="E2079" s="7"/>
      <c r="F2079" s="7"/>
      <c r="G2079" s="4"/>
    </row>
    <row r="2080" spans="1:7" ht="12.75">
      <c r="A2080" s="98"/>
      <c r="B2080" s="98"/>
      <c r="C2080" s="98"/>
      <c r="E2080" s="7"/>
      <c r="F2080" s="7"/>
      <c r="G2080" s="4"/>
    </row>
    <row r="2081" spans="1:7" ht="12.75">
      <c r="A2081" s="98"/>
      <c r="B2081" s="98"/>
      <c r="C2081" s="98"/>
      <c r="E2081" s="7"/>
      <c r="F2081" s="7"/>
      <c r="G2081" s="4"/>
    </row>
    <row r="2082" spans="1:7" ht="12.75">
      <c r="A2082" s="98"/>
      <c r="B2082" s="98"/>
      <c r="C2082" s="98"/>
      <c r="E2082" s="7"/>
      <c r="F2082" s="7"/>
      <c r="G2082" s="4"/>
    </row>
    <row r="2083" spans="1:7" ht="12.75">
      <c r="A2083" s="98"/>
      <c r="B2083" s="98"/>
      <c r="C2083" s="98"/>
      <c r="E2083" s="7"/>
      <c r="F2083" s="7"/>
      <c r="G2083" s="4"/>
    </row>
    <row r="2084" spans="1:7" ht="12.75">
      <c r="A2084" s="98"/>
      <c r="B2084" s="98"/>
      <c r="C2084" s="98"/>
      <c r="E2084" s="7"/>
      <c r="F2084" s="7"/>
      <c r="G2084" s="4"/>
    </row>
    <row r="2085" spans="1:7" ht="12.75">
      <c r="A2085" s="98"/>
      <c r="B2085" s="98"/>
      <c r="C2085" s="98"/>
      <c r="E2085" s="7"/>
      <c r="F2085" s="7"/>
      <c r="G2085" s="4"/>
    </row>
    <row r="2086" spans="1:7" ht="12.75">
      <c r="A2086" s="98"/>
      <c r="B2086" s="98"/>
      <c r="C2086" s="98"/>
      <c r="E2086" s="7"/>
      <c r="F2086" s="7"/>
      <c r="G2086" s="4"/>
    </row>
    <row r="2087" spans="1:7" ht="12.75">
      <c r="A2087" s="98"/>
      <c r="B2087" s="98"/>
      <c r="C2087" s="98"/>
      <c r="E2087" s="7"/>
      <c r="F2087" s="7"/>
      <c r="G2087" s="4"/>
    </row>
    <row r="2088" spans="1:7" ht="12.75">
      <c r="A2088" s="98"/>
      <c r="B2088" s="98"/>
      <c r="C2088" s="98"/>
      <c r="E2088" s="7"/>
      <c r="F2088" s="7"/>
      <c r="G2088" s="4"/>
    </row>
    <row r="2089" spans="1:7" ht="12.75">
      <c r="A2089" s="98"/>
      <c r="B2089" s="98"/>
      <c r="C2089" s="98"/>
      <c r="E2089" s="7"/>
      <c r="F2089" s="7"/>
      <c r="G2089" s="4"/>
    </row>
    <row r="2090" spans="1:7" ht="12.75">
      <c r="A2090" s="98"/>
      <c r="B2090" s="98"/>
      <c r="C2090" s="98"/>
      <c r="E2090" s="7"/>
      <c r="F2090" s="7"/>
      <c r="G2090" s="4"/>
    </row>
    <row r="2091" spans="1:7" ht="12.75">
      <c r="A2091" s="98"/>
      <c r="B2091" s="98"/>
      <c r="C2091" s="98"/>
      <c r="E2091" s="7"/>
      <c r="F2091" s="7"/>
      <c r="G2091" s="4"/>
    </row>
    <row r="2092" spans="1:7" ht="12.75">
      <c r="A2092" s="98"/>
      <c r="B2092" s="98"/>
      <c r="C2092" s="98"/>
      <c r="E2092" s="7"/>
      <c r="F2092" s="7"/>
      <c r="G2092" s="4"/>
    </row>
    <row r="2093" spans="1:7" ht="12.75">
      <c r="A2093" s="98"/>
      <c r="B2093" s="98"/>
      <c r="C2093" s="98"/>
      <c r="E2093" s="7"/>
      <c r="F2093" s="7"/>
      <c r="G2093" s="4"/>
    </row>
    <row r="2094" spans="1:7" ht="12.75">
      <c r="A2094" s="98"/>
      <c r="B2094" s="98"/>
      <c r="C2094" s="98"/>
      <c r="E2094" s="7"/>
      <c r="F2094" s="7"/>
      <c r="G2094" s="4"/>
    </row>
    <row r="2095" spans="1:7" ht="12.75">
      <c r="A2095" s="98"/>
      <c r="B2095" s="98"/>
      <c r="C2095" s="98"/>
      <c r="E2095" s="7"/>
      <c r="F2095" s="7"/>
      <c r="G2095" s="4"/>
    </row>
    <row r="2096" spans="1:7" ht="12.75">
      <c r="A2096" s="98"/>
      <c r="B2096" s="98"/>
      <c r="C2096" s="98"/>
      <c r="E2096" s="7"/>
      <c r="F2096" s="7"/>
      <c r="G2096" s="4"/>
    </row>
    <row r="2097" spans="1:7" ht="12.75">
      <c r="A2097" s="98"/>
      <c r="B2097" s="98"/>
      <c r="C2097" s="98"/>
      <c r="E2097" s="7"/>
      <c r="F2097" s="7"/>
      <c r="G2097" s="4"/>
    </row>
    <row r="2098" spans="1:7" ht="12.75">
      <c r="A2098" s="98"/>
      <c r="B2098" s="98"/>
      <c r="C2098" s="98"/>
      <c r="E2098" s="7"/>
      <c r="F2098" s="7"/>
      <c r="G2098" s="4"/>
    </row>
    <row r="2099" spans="1:7" ht="12.75">
      <c r="A2099" s="98"/>
      <c r="B2099" s="98"/>
      <c r="C2099" s="98"/>
      <c r="E2099" s="7"/>
      <c r="F2099" s="7"/>
      <c r="G2099" s="4"/>
    </row>
    <row r="2100" spans="1:7" ht="12.75">
      <c r="A2100" s="98"/>
      <c r="B2100" s="98"/>
      <c r="C2100" s="98"/>
      <c r="E2100" s="7"/>
      <c r="F2100" s="7"/>
      <c r="G2100" s="4"/>
    </row>
    <row r="2101" spans="1:7" ht="12.75">
      <c r="A2101" s="98"/>
      <c r="B2101" s="98"/>
      <c r="C2101" s="98"/>
      <c r="E2101" s="7"/>
      <c r="F2101" s="7"/>
      <c r="G2101" s="4"/>
    </row>
    <row r="2102" spans="1:7" ht="12.75">
      <c r="A2102" s="98"/>
      <c r="B2102" s="98"/>
      <c r="C2102" s="98"/>
      <c r="E2102" s="7"/>
      <c r="F2102" s="7"/>
      <c r="G2102" s="4"/>
    </row>
    <row r="2103" spans="1:7" ht="12.75">
      <c r="A2103" s="98"/>
      <c r="B2103" s="98"/>
      <c r="C2103" s="98"/>
      <c r="E2103" s="7"/>
      <c r="F2103" s="7"/>
      <c r="G2103" s="4"/>
    </row>
    <row r="2104" spans="1:7" ht="12.75">
      <c r="A2104" s="98"/>
      <c r="B2104" s="98"/>
      <c r="C2104" s="98"/>
      <c r="E2104" s="7"/>
      <c r="F2104" s="7"/>
      <c r="G2104" s="4"/>
    </row>
    <row r="2105" spans="1:7" ht="12.75">
      <c r="A2105" s="98"/>
      <c r="B2105" s="98"/>
      <c r="C2105" s="98"/>
      <c r="E2105" s="7"/>
      <c r="F2105" s="7"/>
      <c r="G2105" s="4"/>
    </row>
    <row r="2106" spans="1:7" ht="12.75">
      <c r="A2106" s="98"/>
      <c r="B2106" s="98"/>
      <c r="C2106" s="98"/>
      <c r="E2106" s="7"/>
      <c r="F2106" s="7"/>
      <c r="G2106" s="4"/>
    </row>
    <row r="2107" spans="1:7" ht="12.75">
      <c r="A2107" s="98"/>
      <c r="B2107" s="98"/>
      <c r="C2107" s="98"/>
      <c r="E2107" s="7"/>
      <c r="F2107" s="7"/>
      <c r="G2107" s="4"/>
    </row>
    <row r="2108" spans="1:7" ht="12.75">
      <c r="A2108" s="98"/>
      <c r="B2108" s="98"/>
      <c r="C2108" s="98"/>
      <c r="E2108" s="7"/>
      <c r="F2108" s="7"/>
      <c r="G2108" s="4"/>
    </row>
    <row r="2109" spans="1:7" ht="12.75">
      <c r="A2109" s="98"/>
      <c r="B2109" s="98"/>
      <c r="C2109" s="98"/>
      <c r="E2109" s="7"/>
      <c r="F2109" s="7"/>
      <c r="G2109" s="4"/>
    </row>
    <row r="2110" spans="1:7" ht="12.75">
      <c r="A2110" s="98"/>
      <c r="B2110" s="98"/>
      <c r="C2110" s="98"/>
      <c r="E2110" s="7"/>
      <c r="F2110" s="7"/>
      <c r="G2110" s="4"/>
    </row>
    <row r="2111" spans="1:7" ht="12.75">
      <c r="A2111" s="98"/>
      <c r="B2111" s="98"/>
      <c r="C2111" s="98"/>
      <c r="E2111" s="7"/>
      <c r="F2111" s="7"/>
      <c r="G2111" s="4"/>
    </row>
    <row r="2112" spans="1:7" ht="12.75">
      <c r="A2112" s="98"/>
      <c r="B2112" s="98"/>
      <c r="C2112" s="98"/>
      <c r="E2112" s="7"/>
      <c r="F2112" s="7"/>
      <c r="G2112" s="4"/>
    </row>
    <row r="2113" spans="1:7" ht="12.75">
      <c r="A2113" s="98"/>
      <c r="B2113" s="98"/>
      <c r="C2113" s="98"/>
      <c r="E2113" s="7"/>
      <c r="F2113" s="7"/>
      <c r="G2113" s="4"/>
    </row>
    <row r="2114" spans="1:7" ht="12.75">
      <c r="A2114" s="98"/>
      <c r="B2114" s="98"/>
      <c r="C2114" s="98"/>
      <c r="E2114" s="7"/>
      <c r="F2114" s="7"/>
      <c r="G2114" s="4"/>
    </row>
    <row r="2115" spans="1:7" ht="12.75">
      <c r="A2115" s="98"/>
      <c r="B2115" s="98"/>
      <c r="C2115" s="98"/>
      <c r="E2115" s="7"/>
      <c r="F2115" s="7"/>
      <c r="G2115" s="4"/>
    </row>
    <row r="2116" spans="1:7" ht="12.75">
      <c r="A2116" s="98"/>
      <c r="B2116" s="98"/>
      <c r="C2116" s="98"/>
      <c r="E2116" s="7"/>
      <c r="F2116" s="7"/>
      <c r="G2116" s="4"/>
    </row>
    <row r="2117" spans="1:7" ht="12.75">
      <c r="A2117" s="98"/>
      <c r="B2117" s="98"/>
      <c r="C2117" s="98"/>
      <c r="E2117" s="7"/>
      <c r="F2117" s="7"/>
      <c r="G2117" s="4"/>
    </row>
    <row r="2118" spans="1:7" ht="12.75">
      <c r="A2118" s="98"/>
      <c r="B2118" s="98"/>
      <c r="C2118" s="98"/>
      <c r="E2118" s="7"/>
      <c r="F2118" s="7"/>
      <c r="G2118" s="4"/>
    </row>
    <row r="2119" spans="1:7" ht="12.75">
      <c r="A2119" s="98"/>
      <c r="B2119" s="98"/>
      <c r="C2119" s="98"/>
      <c r="E2119" s="7"/>
      <c r="F2119" s="7"/>
      <c r="G2119" s="4"/>
    </row>
    <row r="2120" spans="1:7" ht="12.75">
      <c r="A2120" s="98"/>
      <c r="B2120" s="98"/>
      <c r="C2120" s="98"/>
      <c r="E2120" s="7"/>
      <c r="F2120" s="7"/>
      <c r="G2120" s="4"/>
    </row>
    <row r="2121" spans="1:7" ht="12.75">
      <c r="A2121" s="98"/>
      <c r="B2121" s="98"/>
      <c r="C2121" s="98"/>
      <c r="E2121" s="7"/>
      <c r="F2121" s="7"/>
      <c r="G2121" s="4"/>
    </row>
    <row r="2122" spans="1:7" ht="12.75">
      <c r="A2122" s="98"/>
      <c r="B2122" s="98"/>
      <c r="C2122" s="98"/>
      <c r="E2122" s="7"/>
      <c r="F2122" s="7"/>
      <c r="G2122" s="4"/>
    </row>
    <row r="2123" spans="1:7" ht="12.75">
      <c r="A2123" s="98"/>
      <c r="B2123" s="98"/>
      <c r="C2123" s="98"/>
      <c r="E2123" s="7"/>
      <c r="F2123" s="7"/>
      <c r="G2123" s="4"/>
    </row>
    <row r="2124" spans="1:7" ht="12.75">
      <c r="A2124" s="98"/>
      <c r="B2124" s="98"/>
      <c r="C2124" s="98"/>
      <c r="E2124" s="7"/>
      <c r="F2124" s="7"/>
      <c r="G2124" s="4"/>
    </row>
    <row r="2125" spans="1:7" ht="12.75">
      <c r="A2125" s="98"/>
      <c r="B2125" s="98"/>
      <c r="C2125" s="98"/>
      <c r="E2125" s="7"/>
      <c r="F2125" s="7"/>
      <c r="G2125" s="4"/>
    </row>
    <row r="2126" spans="1:7" ht="12.75">
      <c r="A2126" s="98"/>
      <c r="B2126" s="98"/>
      <c r="C2126" s="98"/>
      <c r="E2126" s="7"/>
      <c r="F2126" s="7"/>
      <c r="G2126" s="4"/>
    </row>
    <row r="2127" spans="1:7" ht="12.75">
      <c r="A2127" s="98"/>
      <c r="B2127" s="98"/>
      <c r="C2127" s="98"/>
      <c r="E2127" s="7"/>
      <c r="F2127" s="7"/>
      <c r="G2127" s="4"/>
    </row>
    <row r="2128" spans="1:7" ht="12.75">
      <c r="A2128" s="98"/>
      <c r="B2128" s="98"/>
      <c r="C2128" s="98"/>
      <c r="E2128" s="7"/>
      <c r="F2128" s="7"/>
      <c r="G2128" s="4"/>
    </row>
    <row r="2129" spans="1:7" ht="12.75">
      <c r="A2129" s="98"/>
      <c r="B2129" s="98"/>
      <c r="C2129" s="98"/>
      <c r="E2129" s="7"/>
      <c r="F2129" s="7"/>
      <c r="G2129" s="4"/>
    </row>
    <row r="2130" spans="1:7" ht="12.75">
      <c r="A2130" s="98"/>
      <c r="B2130" s="98"/>
      <c r="C2130" s="98"/>
      <c r="E2130" s="7"/>
      <c r="F2130" s="7"/>
      <c r="G2130" s="4"/>
    </row>
    <row r="2131" spans="1:7" ht="12.75">
      <c r="A2131" s="98"/>
      <c r="B2131" s="98"/>
      <c r="C2131" s="98"/>
      <c r="E2131" s="7"/>
      <c r="F2131" s="7"/>
      <c r="G2131" s="4"/>
    </row>
    <row r="2132" spans="1:7" ht="12.75">
      <c r="A2132" s="98"/>
      <c r="B2132" s="98"/>
      <c r="C2132" s="98"/>
      <c r="E2132" s="7"/>
      <c r="F2132" s="7"/>
      <c r="G2132" s="4"/>
    </row>
    <row r="2133" spans="1:7" ht="12.75">
      <c r="A2133" s="98"/>
      <c r="B2133" s="98"/>
      <c r="C2133" s="98"/>
      <c r="E2133" s="7"/>
      <c r="F2133" s="7"/>
      <c r="G2133" s="4"/>
    </row>
    <row r="2134" spans="1:7" ht="12.75">
      <c r="A2134" s="98"/>
      <c r="B2134" s="98"/>
      <c r="C2134" s="98"/>
      <c r="E2134" s="7"/>
      <c r="F2134" s="7"/>
      <c r="G2134" s="4"/>
    </row>
    <row r="2135" spans="1:7" ht="12.75">
      <c r="A2135" s="98"/>
      <c r="B2135" s="98"/>
      <c r="C2135" s="98"/>
      <c r="E2135" s="7"/>
      <c r="F2135" s="7"/>
      <c r="G2135" s="4"/>
    </row>
    <row r="2136" spans="1:7" ht="12.75">
      <c r="A2136" s="98"/>
      <c r="B2136" s="98"/>
      <c r="C2136" s="98"/>
      <c r="E2136" s="7"/>
      <c r="F2136" s="7"/>
      <c r="G2136" s="4"/>
    </row>
    <row r="2137" spans="1:7" ht="12.75">
      <c r="A2137" s="98"/>
      <c r="B2137" s="98"/>
      <c r="C2137" s="98"/>
      <c r="E2137" s="7"/>
      <c r="F2137" s="7"/>
      <c r="G2137" s="4"/>
    </row>
    <row r="2138" spans="1:7" ht="12.75">
      <c r="A2138" s="98"/>
      <c r="B2138" s="98"/>
      <c r="C2138" s="98"/>
      <c r="E2138" s="7"/>
      <c r="F2138" s="7"/>
      <c r="G2138" s="4"/>
    </row>
    <row r="2139" spans="1:7" ht="12.75">
      <c r="A2139" s="98"/>
      <c r="B2139" s="98"/>
      <c r="C2139" s="98"/>
      <c r="E2139" s="7"/>
      <c r="F2139" s="7"/>
      <c r="G2139" s="4"/>
    </row>
    <row r="2140" spans="1:7" ht="12.75">
      <c r="A2140" s="98"/>
      <c r="B2140" s="98"/>
      <c r="C2140" s="98"/>
      <c r="E2140" s="7"/>
      <c r="F2140" s="7"/>
      <c r="G2140" s="4"/>
    </row>
    <row r="2141" spans="1:7" ht="12.75">
      <c r="A2141" s="98"/>
      <c r="B2141" s="98"/>
      <c r="C2141" s="98"/>
      <c r="E2141" s="7"/>
      <c r="F2141" s="7"/>
      <c r="G2141" s="4"/>
    </row>
    <row r="2142" spans="1:7" ht="12.75">
      <c r="A2142" s="98"/>
      <c r="B2142" s="98"/>
      <c r="C2142" s="98"/>
      <c r="E2142" s="7"/>
      <c r="F2142" s="7"/>
      <c r="G2142" s="4"/>
    </row>
    <row r="2143" spans="1:7" ht="12.75">
      <c r="A2143" s="98"/>
      <c r="B2143" s="98"/>
      <c r="C2143" s="98"/>
      <c r="E2143" s="7"/>
      <c r="F2143" s="7"/>
      <c r="G2143" s="4"/>
    </row>
    <row r="2144" spans="1:7" ht="12.75">
      <c r="A2144" s="98"/>
      <c r="B2144" s="98"/>
      <c r="C2144" s="98"/>
      <c r="E2144" s="7"/>
      <c r="F2144" s="7"/>
      <c r="G2144" s="4"/>
    </row>
    <row r="2145" spans="1:7" ht="12.75">
      <c r="A2145" s="98"/>
      <c r="B2145" s="98"/>
      <c r="C2145" s="98"/>
      <c r="E2145" s="7"/>
      <c r="F2145" s="7"/>
      <c r="G2145" s="4"/>
    </row>
    <row r="2146" spans="1:7" ht="12.75">
      <c r="A2146" s="98"/>
      <c r="B2146" s="98"/>
      <c r="C2146" s="98"/>
      <c r="E2146" s="7"/>
      <c r="F2146" s="7"/>
      <c r="G2146" s="4"/>
    </row>
    <row r="2147" spans="1:7" ht="12.75">
      <c r="A2147" s="98"/>
      <c r="B2147" s="98"/>
      <c r="C2147" s="98"/>
      <c r="E2147" s="7"/>
      <c r="F2147" s="7"/>
      <c r="G2147" s="4"/>
    </row>
    <row r="2148" spans="1:7" ht="12.75">
      <c r="A2148" s="98"/>
      <c r="B2148" s="98"/>
      <c r="C2148" s="98"/>
      <c r="E2148" s="7"/>
      <c r="F2148" s="7"/>
      <c r="G2148" s="4"/>
    </row>
    <row r="2149" spans="1:7" ht="12.75">
      <c r="A2149" s="98"/>
      <c r="B2149" s="98"/>
      <c r="C2149" s="98"/>
      <c r="E2149" s="7"/>
      <c r="F2149" s="7"/>
      <c r="G2149" s="4"/>
    </row>
    <row r="2150" spans="1:7" ht="12.75">
      <c r="A2150" s="98"/>
      <c r="B2150" s="98"/>
      <c r="C2150" s="98"/>
      <c r="E2150" s="7"/>
      <c r="F2150" s="7"/>
      <c r="G2150" s="4"/>
    </row>
    <row r="2151" spans="1:7" ht="12.75">
      <c r="A2151" s="98"/>
      <c r="B2151" s="98"/>
      <c r="C2151" s="98"/>
      <c r="E2151" s="7"/>
      <c r="F2151" s="7"/>
      <c r="G2151" s="4"/>
    </row>
    <row r="2152" spans="1:7" ht="12.75">
      <c r="A2152" s="98"/>
      <c r="B2152" s="98"/>
      <c r="C2152" s="98"/>
      <c r="E2152" s="7"/>
      <c r="F2152" s="7"/>
      <c r="G2152" s="4"/>
    </row>
    <row r="2153" spans="1:7" ht="12.75">
      <c r="A2153" s="98"/>
      <c r="B2153" s="98"/>
      <c r="C2153" s="98"/>
      <c r="E2153" s="7"/>
      <c r="F2153" s="7"/>
      <c r="G2153" s="4"/>
    </row>
    <row r="2154" spans="1:7" ht="12.75">
      <c r="A2154" s="98"/>
      <c r="B2154" s="98"/>
      <c r="C2154" s="98"/>
      <c r="E2154" s="7"/>
      <c r="F2154" s="7"/>
      <c r="G2154" s="4"/>
    </row>
    <row r="2155" spans="1:7" ht="12.75">
      <c r="A2155" s="98"/>
      <c r="B2155" s="98"/>
      <c r="C2155" s="98"/>
      <c r="E2155" s="7"/>
      <c r="F2155" s="7"/>
      <c r="G2155" s="4"/>
    </row>
    <row r="2156" spans="1:7" ht="12.75">
      <c r="A2156" s="98"/>
      <c r="B2156" s="98"/>
      <c r="C2156" s="98"/>
      <c r="E2156" s="7"/>
      <c r="F2156" s="7"/>
      <c r="G2156" s="4"/>
    </row>
    <row r="2157" spans="1:7" ht="12.75">
      <c r="A2157" s="98"/>
      <c r="B2157" s="98"/>
      <c r="C2157" s="98"/>
      <c r="E2157" s="7"/>
      <c r="F2157" s="7"/>
      <c r="G2157" s="4"/>
    </row>
    <row r="2158" spans="1:7" ht="12.75">
      <c r="A2158" s="98"/>
      <c r="B2158" s="98"/>
      <c r="C2158" s="98"/>
      <c r="E2158" s="7"/>
      <c r="F2158" s="7"/>
      <c r="G2158" s="4"/>
    </row>
    <row r="2159" spans="1:7" ht="12.75">
      <c r="A2159" s="98"/>
      <c r="B2159" s="98"/>
      <c r="C2159" s="98"/>
      <c r="E2159" s="7"/>
      <c r="F2159" s="7"/>
      <c r="G2159" s="4"/>
    </row>
    <row r="2160" spans="1:7" ht="12.75">
      <c r="A2160" s="98"/>
      <c r="B2160" s="98"/>
      <c r="C2160" s="98"/>
      <c r="E2160" s="7"/>
      <c r="F2160" s="7"/>
      <c r="G2160" s="4"/>
    </row>
    <row r="2161" spans="1:7" ht="12.75">
      <c r="A2161" s="98"/>
      <c r="B2161" s="98"/>
      <c r="C2161" s="98"/>
      <c r="E2161" s="7"/>
      <c r="F2161" s="7"/>
      <c r="G2161" s="4"/>
    </row>
    <row r="2162" spans="1:7" ht="12.75">
      <c r="A2162" s="98"/>
      <c r="B2162" s="98"/>
      <c r="C2162" s="98"/>
      <c r="E2162" s="7"/>
      <c r="F2162" s="7"/>
      <c r="G2162" s="4"/>
    </row>
    <row r="2163" spans="1:7" ht="12.75">
      <c r="A2163" s="98"/>
      <c r="B2163" s="98"/>
      <c r="C2163" s="98"/>
      <c r="E2163" s="7"/>
      <c r="F2163" s="7"/>
      <c r="G2163" s="4"/>
    </row>
    <row r="2164" spans="1:7" ht="12.75">
      <c r="A2164" s="98"/>
      <c r="B2164" s="98"/>
      <c r="C2164" s="98"/>
      <c r="E2164" s="7"/>
      <c r="F2164" s="7"/>
      <c r="G2164" s="4"/>
    </row>
    <row r="2165" spans="1:7" ht="12.75">
      <c r="A2165" s="98"/>
      <c r="B2165" s="98"/>
      <c r="C2165" s="98"/>
      <c r="E2165" s="7"/>
      <c r="F2165" s="7"/>
      <c r="G2165" s="4"/>
    </row>
    <row r="2166" spans="1:7" ht="12.75">
      <c r="A2166" s="98"/>
      <c r="B2166" s="98"/>
      <c r="C2166" s="98"/>
      <c r="E2166" s="7"/>
      <c r="F2166" s="7"/>
      <c r="G2166" s="4"/>
    </row>
    <row r="2167" spans="1:7" ht="12.75">
      <c r="A2167" s="98"/>
      <c r="B2167" s="98"/>
      <c r="C2167" s="98"/>
      <c r="E2167" s="7"/>
      <c r="F2167" s="7"/>
      <c r="G2167" s="4"/>
    </row>
    <row r="2168" spans="1:7" ht="12.75">
      <c r="A2168" s="98"/>
      <c r="B2168" s="98"/>
      <c r="C2168" s="98"/>
      <c r="E2168" s="7"/>
      <c r="F2168" s="7"/>
      <c r="G2168" s="4"/>
    </row>
    <row r="2169" spans="1:7" ht="12.75">
      <c r="A2169" s="98"/>
      <c r="B2169" s="98"/>
      <c r="C2169" s="98"/>
      <c r="E2169" s="7"/>
      <c r="F2169" s="7"/>
      <c r="G2169" s="4"/>
    </row>
    <row r="2170" spans="1:7" ht="12.75">
      <c r="A2170" s="98"/>
      <c r="B2170" s="98"/>
      <c r="C2170" s="98"/>
      <c r="E2170" s="7"/>
      <c r="F2170" s="7"/>
      <c r="G2170" s="4"/>
    </row>
    <row r="2171" spans="1:7" ht="12.75">
      <c r="A2171" s="98"/>
      <c r="B2171" s="98"/>
      <c r="C2171" s="98"/>
      <c r="E2171" s="7"/>
      <c r="F2171" s="7"/>
      <c r="G2171" s="4"/>
    </row>
    <row r="2172" spans="1:7" ht="12.75">
      <c r="A2172" s="98"/>
      <c r="B2172" s="98"/>
      <c r="C2172" s="98"/>
      <c r="E2172" s="7"/>
      <c r="F2172" s="7"/>
      <c r="G2172" s="4"/>
    </row>
    <row r="2173" spans="1:7" ht="12.75">
      <c r="A2173" s="98"/>
      <c r="B2173" s="98"/>
      <c r="C2173" s="98"/>
      <c r="E2173" s="7"/>
      <c r="F2173" s="7"/>
      <c r="G2173" s="4"/>
    </row>
    <row r="2174" spans="1:7" ht="12.75">
      <c r="A2174" s="98"/>
      <c r="B2174" s="98"/>
      <c r="C2174" s="98"/>
      <c r="E2174" s="7"/>
      <c r="F2174" s="7"/>
      <c r="G2174" s="4"/>
    </row>
    <row r="2175" spans="1:7" ht="12.75">
      <c r="A2175" s="98"/>
      <c r="B2175" s="98"/>
      <c r="C2175" s="98"/>
      <c r="E2175" s="7"/>
      <c r="F2175" s="7"/>
      <c r="G2175" s="4"/>
    </row>
    <row r="2176" spans="1:7" ht="12.75">
      <c r="A2176" s="98"/>
      <c r="B2176" s="98"/>
      <c r="C2176" s="98"/>
      <c r="E2176" s="7"/>
      <c r="F2176" s="7"/>
      <c r="G2176" s="4"/>
    </row>
    <row r="2177" spans="1:7" ht="12.75">
      <c r="A2177" s="98"/>
      <c r="B2177" s="98"/>
      <c r="C2177" s="98"/>
      <c r="E2177" s="7"/>
      <c r="F2177" s="7"/>
      <c r="G2177" s="4"/>
    </row>
    <row r="2178" spans="1:7" ht="12.75">
      <c r="A2178" s="98"/>
      <c r="B2178" s="98"/>
      <c r="C2178" s="98"/>
      <c r="E2178" s="7"/>
      <c r="F2178" s="7"/>
      <c r="G2178" s="4"/>
    </row>
    <row r="2179" spans="1:7" ht="12.75">
      <c r="A2179" s="98"/>
      <c r="B2179" s="98"/>
      <c r="C2179" s="98"/>
      <c r="E2179" s="7"/>
      <c r="F2179" s="7"/>
      <c r="G2179" s="4"/>
    </row>
    <row r="2180" spans="1:7" ht="12.75">
      <c r="A2180" s="98"/>
      <c r="B2180" s="98"/>
      <c r="C2180" s="98"/>
      <c r="E2180" s="7"/>
      <c r="F2180" s="7"/>
      <c r="G2180" s="4"/>
    </row>
    <row r="2181" spans="1:7" ht="12.75">
      <c r="A2181" s="98"/>
      <c r="B2181" s="98"/>
      <c r="C2181" s="98"/>
      <c r="E2181" s="7"/>
      <c r="F2181" s="7"/>
      <c r="G2181" s="4"/>
    </row>
    <row r="2182" spans="1:7" ht="12.75">
      <c r="A2182" s="98"/>
      <c r="B2182" s="98"/>
      <c r="C2182" s="98"/>
      <c r="E2182" s="7"/>
      <c r="F2182" s="7"/>
      <c r="G2182" s="4"/>
    </row>
    <row r="2183" spans="1:7" ht="12.75">
      <c r="A2183" s="98"/>
      <c r="B2183" s="98"/>
      <c r="C2183" s="98"/>
      <c r="E2183" s="7"/>
      <c r="F2183" s="7"/>
      <c r="G2183" s="4"/>
    </row>
    <row r="2184" spans="1:7" ht="12.75">
      <c r="A2184" s="98"/>
      <c r="B2184" s="98"/>
      <c r="C2184" s="98"/>
      <c r="E2184" s="7"/>
      <c r="F2184" s="7"/>
      <c r="G2184" s="4"/>
    </row>
    <row r="2185" spans="1:7" ht="12.75">
      <c r="A2185" s="98"/>
      <c r="B2185" s="98"/>
      <c r="C2185" s="98"/>
      <c r="E2185" s="7"/>
      <c r="F2185" s="7"/>
      <c r="G2185" s="4"/>
    </row>
    <row r="2186" spans="1:7" ht="12.75">
      <c r="A2186" s="98"/>
      <c r="B2186" s="98"/>
      <c r="C2186" s="98"/>
      <c r="E2186" s="7"/>
      <c r="F2186" s="7"/>
      <c r="G2186" s="4"/>
    </row>
    <row r="2187" spans="1:7" ht="12.75">
      <c r="A2187" s="98"/>
      <c r="B2187" s="98"/>
      <c r="C2187" s="98"/>
      <c r="E2187" s="7"/>
      <c r="F2187" s="7"/>
      <c r="G2187" s="4"/>
    </row>
    <row r="2188" spans="1:7" ht="12.75">
      <c r="A2188" s="98"/>
      <c r="B2188" s="98"/>
      <c r="C2188" s="98"/>
      <c r="E2188" s="7"/>
      <c r="F2188" s="7"/>
      <c r="G2188" s="4"/>
    </row>
    <row r="2189" spans="1:7" ht="12.75">
      <c r="A2189" s="98"/>
      <c r="B2189" s="98"/>
      <c r="C2189" s="98"/>
      <c r="E2189" s="7"/>
      <c r="F2189" s="7"/>
      <c r="G2189" s="4"/>
    </row>
    <row r="2190" spans="1:7" ht="12.75">
      <c r="A2190" s="98"/>
      <c r="B2190" s="98"/>
      <c r="C2190" s="98"/>
      <c r="E2190" s="7"/>
      <c r="F2190" s="7"/>
      <c r="G2190" s="4"/>
    </row>
    <row r="2191" spans="1:7" ht="12.75">
      <c r="A2191" s="98"/>
      <c r="B2191" s="98"/>
      <c r="C2191" s="98"/>
      <c r="E2191" s="7"/>
      <c r="F2191" s="7"/>
      <c r="G2191" s="4"/>
    </row>
    <row r="2192" spans="1:7" ht="12.75">
      <c r="A2192" s="98"/>
      <c r="B2192" s="98"/>
      <c r="C2192" s="98"/>
      <c r="E2192" s="7"/>
      <c r="F2192" s="7"/>
      <c r="G2192" s="4"/>
    </row>
    <row r="2193" spans="1:7" ht="12.75">
      <c r="A2193" s="98"/>
      <c r="B2193" s="98"/>
      <c r="C2193" s="98"/>
      <c r="E2193" s="7"/>
      <c r="F2193" s="7"/>
      <c r="G2193" s="4"/>
    </row>
    <row r="2194" spans="1:7" ht="12.75">
      <c r="A2194" s="98"/>
      <c r="B2194" s="98"/>
      <c r="C2194" s="98"/>
      <c r="E2194" s="7"/>
      <c r="F2194" s="7"/>
      <c r="G2194" s="4"/>
    </row>
    <row r="2195" spans="1:7" ht="12.75">
      <c r="A2195" s="98"/>
      <c r="B2195" s="98"/>
      <c r="C2195" s="98"/>
      <c r="E2195" s="7"/>
      <c r="F2195" s="7"/>
      <c r="G2195" s="4"/>
    </row>
    <row r="2196" spans="1:7" ht="12.75">
      <c r="A2196" s="98"/>
      <c r="B2196" s="98"/>
      <c r="C2196" s="98"/>
      <c r="E2196" s="7"/>
      <c r="F2196" s="7"/>
      <c r="G2196" s="4"/>
    </row>
    <row r="2197" spans="1:7" ht="12.75">
      <c r="A2197" s="98"/>
      <c r="B2197" s="98"/>
      <c r="C2197" s="98"/>
      <c r="E2197" s="7"/>
      <c r="F2197" s="7"/>
      <c r="G2197" s="4"/>
    </row>
    <row r="2198" spans="1:7" ht="12.75">
      <c r="A2198" s="98"/>
      <c r="B2198" s="98"/>
      <c r="C2198" s="98"/>
      <c r="E2198" s="7"/>
      <c r="F2198" s="7"/>
      <c r="G2198" s="4"/>
    </row>
    <row r="2199" spans="1:7" ht="12.75">
      <c r="A2199" s="98"/>
      <c r="B2199" s="98"/>
      <c r="C2199" s="98"/>
      <c r="E2199" s="7"/>
      <c r="F2199" s="7"/>
      <c r="G2199" s="4"/>
    </row>
    <row r="2200" spans="1:7" ht="12.75">
      <c r="A2200" s="98"/>
      <c r="B2200" s="98"/>
      <c r="C2200" s="98"/>
      <c r="E2200" s="7"/>
      <c r="F2200" s="7"/>
      <c r="G2200" s="4"/>
    </row>
    <row r="2201" spans="1:7" ht="12.75">
      <c r="A2201" s="98"/>
      <c r="B2201" s="98"/>
      <c r="C2201" s="98"/>
      <c r="E2201" s="7"/>
      <c r="F2201" s="7"/>
      <c r="G2201" s="4"/>
    </row>
    <row r="2202" spans="1:7" ht="12.75">
      <c r="A2202" s="98"/>
      <c r="B2202" s="98"/>
      <c r="C2202" s="98"/>
      <c r="E2202" s="7"/>
      <c r="F2202" s="7"/>
      <c r="G2202" s="4"/>
    </row>
    <row r="2203" spans="1:7" ht="12.75">
      <c r="A2203" s="98"/>
      <c r="B2203" s="98"/>
      <c r="C2203" s="98"/>
      <c r="E2203" s="7"/>
      <c r="F2203" s="7"/>
      <c r="G2203" s="4"/>
    </row>
    <row r="2204" spans="1:7" ht="12.75">
      <c r="A2204" s="98"/>
      <c r="B2204" s="98"/>
      <c r="C2204" s="98"/>
      <c r="E2204" s="7"/>
      <c r="F2204" s="7"/>
      <c r="G2204" s="4"/>
    </row>
    <row r="2205" spans="1:7" ht="12.75">
      <c r="A2205" s="98"/>
      <c r="B2205" s="98"/>
      <c r="C2205" s="98"/>
      <c r="E2205" s="7"/>
      <c r="F2205" s="7"/>
      <c r="G2205" s="4"/>
    </row>
    <row r="2206" spans="1:7" ht="12.75">
      <c r="A2206" s="98"/>
      <c r="B2206" s="98"/>
      <c r="C2206" s="98"/>
      <c r="E2206" s="7"/>
      <c r="F2206" s="7"/>
      <c r="G2206" s="4"/>
    </row>
    <row r="2207" spans="1:7" ht="12.75">
      <c r="A2207" s="98"/>
      <c r="B2207" s="98"/>
      <c r="C2207" s="98"/>
      <c r="E2207" s="7"/>
      <c r="F2207" s="7"/>
      <c r="G2207" s="4"/>
    </row>
    <row r="2208" spans="1:7" ht="12.75">
      <c r="A2208" s="98"/>
      <c r="B2208" s="98"/>
      <c r="C2208" s="98"/>
      <c r="E2208" s="7"/>
      <c r="F2208" s="7"/>
      <c r="G2208" s="4"/>
    </row>
    <row r="2209" spans="1:7" ht="12.75">
      <c r="A2209" s="98"/>
      <c r="B2209" s="98"/>
      <c r="C2209" s="98"/>
      <c r="E2209" s="7"/>
      <c r="F2209" s="7"/>
      <c r="G2209" s="4"/>
    </row>
    <row r="2210" spans="1:7" ht="12.75">
      <c r="A2210" s="98"/>
      <c r="B2210" s="98"/>
      <c r="C2210" s="98"/>
      <c r="E2210" s="7"/>
      <c r="F2210" s="7"/>
      <c r="G2210" s="4"/>
    </row>
    <row r="2211" spans="1:7" ht="12.75">
      <c r="A2211" s="98"/>
      <c r="B2211" s="98"/>
      <c r="C2211" s="98"/>
      <c r="E2211" s="7"/>
      <c r="F2211" s="7"/>
      <c r="G2211" s="4"/>
    </row>
    <row r="2212" spans="1:7" ht="12.75">
      <c r="A2212" s="98"/>
      <c r="B2212" s="98"/>
      <c r="C2212" s="98"/>
      <c r="E2212" s="7"/>
      <c r="F2212" s="7"/>
      <c r="G2212" s="4"/>
    </row>
    <row r="2213" spans="1:7" ht="12.75">
      <c r="A2213" s="98"/>
      <c r="B2213" s="98"/>
      <c r="C2213" s="98"/>
      <c r="E2213" s="7"/>
      <c r="F2213" s="7"/>
      <c r="G2213" s="4"/>
    </row>
    <row r="2214" spans="1:7" ht="12.75">
      <c r="A2214" s="98"/>
      <c r="B2214" s="98"/>
      <c r="C2214" s="98"/>
      <c r="E2214" s="7"/>
      <c r="F2214" s="7"/>
      <c r="G2214" s="4"/>
    </row>
    <row r="2215" spans="1:7" ht="12.75">
      <c r="A2215" s="98"/>
      <c r="B2215" s="98"/>
      <c r="C2215" s="98"/>
      <c r="E2215" s="7"/>
      <c r="F2215" s="7"/>
      <c r="G2215" s="4"/>
    </row>
    <row r="2216" spans="1:7" ht="12.75">
      <c r="A2216" s="98"/>
      <c r="B2216" s="98"/>
      <c r="C2216" s="98"/>
      <c r="E2216" s="7"/>
      <c r="F2216" s="7"/>
      <c r="G2216" s="4"/>
    </row>
    <row r="2217" spans="1:7" ht="12.75">
      <c r="A2217" s="98"/>
      <c r="B2217" s="98"/>
      <c r="C2217" s="98"/>
      <c r="E2217" s="7"/>
      <c r="F2217" s="7"/>
      <c r="G2217" s="4"/>
    </row>
    <row r="2218" spans="1:7" ht="12.75">
      <c r="A2218" s="98"/>
      <c r="B2218" s="98"/>
      <c r="C2218" s="98"/>
      <c r="E2218" s="7"/>
      <c r="F2218" s="7"/>
      <c r="G2218" s="4"/>
    </row>
    <row r="2219" spans="1:7" ht="12.75">
      <c r="A2219" s="98"/>
      <c r="B2219" s="98"/>
      <c r="C2219" s="98"/>
      <c r="E2219" s="7"/>
      <c r="F2219" s="7"/>
      <c r="G2219" s="4"/>
    </row>
    <row r="2220" spans="1:7" ht="12.75">
      <c r="A2220" s="98"/>
      <c r="B2220" s="98"/>
      <c r="C2220" s="98"/>
      <c r="E2220" s="7"/>
      <c r="F2220" s="7"/>
      <c r="G2220" s="4"/>
    </row>
    <row r="2221" spans="1:7" ht="12.75">
      <c r="A2221" s="98"/>
      <c r="B2221" s="98"/>
      <c r="C2221" s="98"/>
      <c r="E2221" s="7"/>
      <c r="F2221" s="7"/>
      <c r="G2221" s="4"/>
    </row>
    <row r="2222" spans="1:7" ht="12.75">
      <c r="A2222" s="98"/>
      <c r="B2222" s="98"/>
      <c r="C2222" s="98"/>
      <c r="E2222" s="7"/>
      <c r="F2222" s="7"/>
      <c r="G2222" s="4"/>
    </row>
    <row r="2223" spans="1:7" ht="12.75">
      <c r="A2223" s="98"/>
      <c r="B2223" s="98"/>
      <c r="C2223" s="98"/>
      <c r="E2223" s="7"/>
      <c r="F2223" s="7"/>
      <c r="G2223" s="4"/>
    </row>
    <row r="2224" spans="1:7" ht="12.75">
      <c r="A2224" s="98"/>
      <c r="B2224" s="98"/>
      <c r="C2224" s="98"/>
      <c r="E2224" s="7"/>
      <c r="F2224" s="7"/>
      <c r="G2224" s="4"/>
    </row>
    <row r="2225" spans="1:7" ht="12.75">
      <c r="A2225" s="98"/>
      <c r="B2225" s="98"/>
      <c r="C2225" s="98"/>
      <c r="E2225" s="7"/>
      <c r="F2225" s="7"/>
      <c r="G2225" s="4"/>
    </row>
    <row r="2226" spans="1:7" ht="12.75">
      <c r="A2226" s="98"/>
      <c r="B2226" s="98"/>
      <c r="C2226" s="98"/>
      <c r="E2226" s="7"/>
      <c r="F2226" s="7"/>
      <c r="G2226" s="4"/>
    </row>
    <row r="2227" spans="1:7" ht="12.75">
      <c r="A2227" s="98"/>
      <c r="B2227" s="98"/>
      <c r="C2227" s="98"/>
      <c r="E2227" s="7"/>
      <c r="F2227" s="7"/>
      <c r="G2227" s="4"/>
    </row>
    <row r="2228" spans="1:7" ht="12.75">
      <c r="A2228" s="98"/>
      <c r="B2228" s="98"/>
      <c r="C2228" s="98"/>
      <c r="E2228" s="7"/>
      <c r="F2228" s="7"/>
      <c r="G2228" s="4"/>
    </row>
    <row r="2229" spans="1:7" ht="12.75">
      <c r="A2229" s="98"/>
      <c r="B2229" s="98"/>
      <c r="C2229" s="98"/>
      <c r="E2229" s="7"/>
      <c r="F2229" s="7"/>
      <c r="G2229" s="4"/>
    </row>
    <row r="2230" spans="1:7" ht="12.75">
      <c r="A2230" s="98"/>
      <c r="B2230" s="98"/>
      <c r="C2230" s="98"/>
      <c r="E2230" s="7"/>
      <c r="F2230" s="7"/>
      <c r="G2230" s="4"/>
    </row>
    <row r="2231" spans="1:7" ht="12.75">
      <c r="A2231" s="98"/>
      <c r="B2231" s="98"/>
      <c r="C2231" s="98"/>
      <c r="E2231" s="7"/>
      <c r="F2231" s="7"/>
      <c r="G2231" s="4"/>
    </row>
    <row r="2232" spans="1:7" ht="12.75">
      <c r="A2232" s="98"/>
      <c r="B2232" s="98"/>
      <c r="C2232" s="98"/>
      <c r="E2232" s="7"/>
      <c r="F2232" s="7"/>
      <c r="G2232" s="4"/>
    </row>
    <row r="2233" spans="1:7" ht="12.75">
      <c r="A2233" s="98"/>
      <c r="B2233" s="98"/>
      <c r="C2233" s="98"/>
      <c r="E2233" s="7"/>
      <c r="F2233" s="7"/>
      <c r="G2233" s="4"/>
    </row>
    <row r="2234" spans="1:7" ht="12.75">
      <c r="A2234" s="98"/>
      <c r="B2234" s="98"/>
      <c r="C2234" s="98"/>
      <c r="E2234" s="7"/>
      <c r="F2234" s="7"/>
      <c r="G2234" s="4"/>
    </row>
    <row r="2235" spans="1:7" ht="12.75">
      <c r="A2235" s="98"/>
      <c r="B2235" s="98"/>
      <c r="C2235" s="98"/>
      <c r="E2235" s="7"/>
      <c r="F2235" s="7"/>
      <c r="G2235" s="4"/>
    </row>
    <row r="2236" spans="1:7" ht="12.75">
      <c r="A2236" s="98"/>
      <c r="B2236" s="98"/>
      <c r="C2236" s="98"/>
      <c r="E2236" s="7"/>
      <c r="F2236" s="7"/>
      <c r="G2236" s="4"/>
    </row>
    <row r="2237" spans="1:7" ht="12.75">
      <c r="A2237" s="98"/>
      <c r="B2237" s="98"/>
      <c r="C2237" s="98"/>
      <c r="E2237" s="7"/>
      <c r="F2237" s="7"/>
      <c r="G2237" s="4"/>
    </row>
    <row r="2238" spans="1:7" ht="12.75">
      <c r="A2238" s="98"/>
      <c r="B2238" s="98"/>
      <c r="C2238" s="98"/>
      <c r="E2238" s="7"/>
      <c r="F2238" s="7"/>
      <c r="G2238" s="4"/>
    </row>
    <row r="2239" spans="1:7" ht="12.75">
      <c r="A2239" s="98"/>
      <c r="B2239" s="98"/>
      <c r="C2239" s="98"/>
      <c r="E2239" s="7"/>
      <c r="F2239" s="7"/>
      <c r="G2239" s="4"/>
    </row>
    <row r="2240" spans="1:7" ht="12.75">
      <c r="A2240" s="98"/>
      <c r="B2240" s="98"/>
      <c r="C2240" s="98"/>
      <c r="E2240" s="7"/>
      <c r="F2240" s="7"/>
      <c r="G2240" s="4"/>
    </row>
    <row r="2241" spans="1:7" ht="12.75">
      <c r="A2241" s="98"/>
      <c r="B2241" s="98"/>
      <c r="C2241" s="98"/>
      <c r="E2241" s="7"/>
      <c r="F2241" s="7"/>
      <c r="G2241" s="4"/>
    </row>
    <row r="2242" spans="1:7" ht="12.75">
      <c r="A2242" s="98"/>
      <c r="B2242" s="98"/>
      <c r="C2242" s="98"/>
      <c r="E2242" s="7"/>
      <c r="F2242" s="7"/>
      <c r="G2242" s="4"/>
    </row>
    <row r="2243" spans="1:7" ht="12.75">
      <c r="A2243" s="98"/>
      <c r="B2243" s="98"/>
      <c r="C2243" s="98"/>
      <c r="E2243" s="7"/>
      <c r="F2243" s="7"/>
      <c r="G2243" s="4"/>
    </row>
    <row r="2244" spans="1:7" ht="12.75">
      <c r="A2244" s="98"/>
      <c r="B2244" s="98"/>
      <c r="C2244" s="98"/>
      <c r="E2244" s="7"/>
      <c r="F2244" s="7"/>
      <c r="G2244" s="4"/>
    </row>
    <row r="2245" spans="1:7" ht="12.75">
      <c r="A2245" s="98"/>
      <c r="B2245" s="98"/>
      <c r="C2245" s="98"/>
      <c r="E2245" s="7"/>
      <c r="F2245" s="7"/>
      <c r="G2245" s="4"/>
    </row>
    <row r="2246" spans="1:7" ht="12.75">
      <c r="A2246" s="98"/>
      <c r="B2246" s="98"/>
      <c r="C2246" s="98"/>
      <c r="E2246" s="7"/>
      <c r="F2246" s="7"/>
      <c r="G2246" s="4"/>
    </row>
    <row r="2247" spans="1:7" ht="12.75">
      <c r="A2247" s="98"/>
      <c r="B2247" s="98"/>
      <c r="C2247" s="98"/>
      <c r="E2247" s="7"/>
      <c r="F2247" s="7"/>
      <c r="G2247" s="4"/>
    </row>
    <row r="2248" spans="1:7" ht="12.75">
      <c r="A2248" s="98"/>
      <c r="B2248" s="98"/>
      <c r="C2248" s="98"/>
      <c r="E2248" s="7"/>
      <c r="F2248" s="7"/>
      <c r="G2248" s="4"/>
    </row>
    <row r="2249" spans="1:7" ht="12.75">
      <c r="A2249" s="98"/>
      <c r="B2249" s="98"/>
      <c r="C2249" s="98"/>
      <c r="E2249" s="7"/>
      <c r="F2249" s="7"/>
      <c r="G2249" s="4"/>
    </row>
    <row r="2250" spans="1:7" ht="12.75">
      <c r="A2250" s="98"/>
      <c r="B2250" s="98"/>
      <c r="C2250" s="98"/>
      <c r="E2250" s="7"/>
      <c r="F2250" s="7"/>
      <c r="G2250" s="4"/>
    </row>
    <row r="2251" spans="1:7" ht="12.75">
      <c r="A2251" s="98"/>
      <c r="B2251" s="98"/>
      <c r="C2251" s="98"/>
      <c r="E2251" s="7"/>
      <c r="F2251" s="7"/>
      <c r="G2251" s="4"/>
    </row>
    <row r="2252" spans="1:7" ht="12.75">
      <c r="A2252" s="98"/>
      <c r="B2252" s="98"/>
      <c r="C2252" s="98"/>
      <c r="E2252" s="7"/>
      <c r="F2252" s="7"/>
      <c r="G2252" s="4"/>
    </row>
    <row r="2253" spans="1:7" ht="12.75">
      <c r="A2253" s="98"/>
      <c r="B2253" s="98"/>
      <c r="C2253" s="98"/>
      <c r="E2253" s="7"/>
      <c r="F2253" s="7"/>
      <c r="G2253" s="4"/>
    </row>
    <row r="2254" spans="1:7" ht="12.75">
      <c r="A2254" s="98"/>
      <c r="B2254" s="98"/>
      <c r="C2254" s="98"/>
      <c r="E2254" s="7"/>
      <c r="F2254" s="7"/>
      <c r="G2254" s="4"/>
    </row>
    <row r="2255" spans="1:7" ht="12.75">
      <c r="A2255" s="98"/>
      <c r="B2255" s="98"/>
      <c r="C2255" s="98"/>
      <c r="E2255" s="7"/>
      <c r="F2255" s="7"/>
      <c r="G2255" s="4"/>
    </row>
    <row r="2256" spans="1:7" ht="12.75">
      <c r="A2256" s="98"/>
      <c r="B2256" s="98"/>
      <c r="C2256" s="98"/>
      <c r="E2256" s="7"/>
      <c r="F2256" s="7"/>
      <c r="G2256" s="4"/>
    </row>
    <row r="2257" spans="1:7" ht="12.75">
      <c r="A2257" s="98"/>
      <c r="B2257" s="98"/>
      <c r="C2257" s="98"/>
      <c r="E2257" s="7"/>
      <c r="F2257" s="7"/>
      <c r="G2257" s="4"/>
    </row>
    <row r="2258" spans="1:7" ht="12.75">
      <c r="A2258" s="98"/>
      <c r="B2258" s="98"/>
      <c r="C2258" s="98"/>
      <c r="E2258" s="7"/>
      <c r="F2258" s="7"/>
      <c r="G2258" s="4"/>
    </row>
    <row r="2259" spans="1:7" ht="12.75">
      <c r="A2259" s="98"/>
      <c r="B2259" s="98"/>
      <c r="C2259" s="98"/>
      <c r="E2259" s="7"/>
      <c r="F2259" s="7"/>
      <c r="G2259" s="4"/>
    </row>
    <row r="2260" spans="1:7" ht="12.75">
      <c r="A2260" s="98"/>
      <c r="B2260" s="98"/>
      <c r="C2260" s="98"/>
      <c r="E2260" s="7"/>
      <c r="F2260" s="7"/>
      <c r="G2260" s="4"/>
    </row>
    <row r="2261" spans="1:7" ht="12.75">
      <c r="A2261" s="98"/>
      <c r="B2261" s="98"/>
      <c r="C2261" s="98"/>
      <c r="E2261" s="7"/>
      <c r="F2261" s="7"/>
      <c r="G2261" s="4"/>
    </row>
    <row r="2262" spans="1:7" ht="12.75">
      <c r="A2262" s="98"/>
      <c r="B2262" s="98"/>
      <c r="C2262" s="98"/>
      <c r="E2262" s="7"/>
      <c r="F2262" s="7"/>
      <c r="G2262" s="4"/>
    </row>
    <row r="2263" spans="1:7" ht="12.75">
      <c r="A2263" s="98"/>
      <c r="B2263" s="98"/>
      <c r="C2263" s="98"/>
      <c r="E2263" s="7"/>
      <c r="F2263" s="7"/>
      <c r="G2263" s="4"/>
    </row>
    <row r="2264" spans="1:7" ht="12.75">
      <c r="A2264" s="98"/>
      <c r="B2264" s="98"/>
      <c r="C2264" s="98"/>
      <c r="E2264" s="7"/>
      <c r="F2264" s="7"/>
      <c r="G2264" s="4"/>
    </row>
    <row r="2265" spans="1:7" ht="12.75">
      <c r="A2265" s="98"/>
      <c r="B2265" s="98"/>
      <c r="C2265" s="98"/>
      <c r="E2265" s="7"/>
      <c r="F2265" s="7"/>
      <c r="G2265" s="4"/>
    </row>
    <row r="2266" spans="1:7" ht="12.75">
      <c r="A2266" s="98"/>
      <c r="B2266" s="98"/>
      <c r="C2266" s="98"/>
      <c r="E2266" s="7"/>
      <c r="F2266" s="7"/>
      <c r="G2266" s="4"/>
    </row>
    <row r="2267" spans="1:7" ht="12.75">
      <c r="A2267" s="98"/>
      <c r="B2267" s="98"/>
      <c r="C2267" s="98"/>
      <c r="E2267" s="7"/>
      <c r="F2267" s="7"/>
      <c r="G2267" s="4"/>
    </row>
    <row r="2268" spans="1:7" ht="12.75">
      <c r="A2268" s="98"/>
      <c r="B2268" s="98"/>
      <c r="C2268" s="98"/>
      <c r="E2268" s="7"/>
      <c r="F2268" s="7"/>
      <c r="G2268" s="4"/>
    </row>
    <row r="2269" spans="1:7" ht="12.75">
      <c r="A2269" s="98"/>
      <c r="B2269" s="98"/>
      <c r="C2269" s="98"/>
      <c r="E2269" s="7"/>
      <c r="F2269" s="7"/>
      <c r="G2269" s="4"/>
    </row>
    <row r="2270" spans="1:7" ht="12.75">
      <c r="A2270" s="98"/>
      <c r="B2270" s="98"/>
      <c r="C2270" s="98"/>
      <c r="E2270" s="7"/>
      <c r="F2270" s="7"/>
      <c r="G2270" s="4"/>
    </row>
    <row r="2271" spans="1:7" ht="12.75">
      <c r="A2271" s="98"/>
      <c r="B2271" s="98"/>
      <c r="C2271" s="98"/>
      <c r="E2271" s="7"/>
      <c r="F2271" s="7"/>
      <c r="G2271" s="4"/>
    </row>
    <row r="2272" spans="1:7" ht="12.75">
      <c r="A2272" s="98"/>
      <c r="B2272" s="98"/>
      <c r="C2272" s="98"/>
      <c r="E2272" s="7"/>
      <c r="F2272" s="7"/>
      <c r="G2272" s="4"/>
    </row>
    <row r="2273" spans="1:7" ht="12.75">
      <c r="A2273" s="98"/>
      <c r="B2273" s="98"/>
      <c r="C2273" s="98"/>
      <c r="E2273" s="7"/>
      <c r="F2273" s="7"/>
      <c r="G2273" s="4"/>
    </row>
    <row r="2274" spans="1:7" ht="12.75">
      <c r="A2274" s="98"/>
      <c r="B2274" s="98"/>
      <c r="C2274" s="98"/>
      <c r="E2274" s="7"/>
      <c r="F2274" s="7"/>
      <c r="G2274" s="4"/>
    </row>
    <row r="2275" spans="1:7" ht="12.75">
      <c r="A2275" s="98"/>
      <c r="B2275" s="98"/>
      <c r="C2275" s="98"/>
      <c r="E2275" s="7"/>
      <c r="F2275" s="7"/>
      <c r="G2275" s="4"/>
    </row>
    <row r="2276" spans="1:7" ht="12.75">
      <c r="A2276" s="98"/>
      <c r="B2276" s="98"/>
      <c r="C2276" s="98"/>
      <c r="E2276" s="7"/>
      <c r="F2276" s="7"/>
      <c r="G2276" s="4"/>
    </row>
    <row r="2277" spans="1:7" ht="12.75">
      <c r="A2277" s="98"/>
      <c r="B2277" s="98"/>
      <c r="C2277" s="98"/>
      <c r="E2277" s="7"/>
      <c r="F2277" s="7"/>
      <c r="G2277" s="4"/>
    </row>
    <row r="2278" spans="1:7" ht="12.75">
      <c r="A2278" s="98"/>
      <c r="B2278" s="98"/>
      <c r="C2278" s="98"/>
      <c r="E2278" s="7"/>
      <c r="F2278" s="7"/>
      <c r="G2278" s="4"/>
    </row>
    <row r="2279" spans="1:7" ht="12.75">
      <c r="A2279" s="98"/>
      <c r="B2279" s="98"/>
      <c r="C2279" s="98"/>
      <c r="E2279" s="7"/>
      <c r="F2279" s="7"/>
      <c r="G2279" s="4"/>
    </row>
    <row r="2280" spans="1:7" ht="12.75">
      <c r="A2280" s="98"/>
      <c r="B2280" s="98"/>
      <c r="C2280" s="98"/>
      <c r="E2280" s="7"/>
      <c r="F2280" s="7"/>
      <c r="G2280" s="4"/>
    </row>
    <row r="2281" spans="1:7" ht="12.75">
      <c r="A2281" s="98"/>
      <c r="B2281" s="98"/>
      <c r="C2281" s="98"/>
      <c r="E2281" s="7"/>
      <c r="F2281" s="7"/>
      <c r="G2281" s="4"/>
    </row>
    <row r="2282" spans="1:7" ht="12.75">
      <c r="A2282" s="98"/>
      <c r="B2282" s="98"/>
      <c r="C2282" s="98"/>
      <c r="E2282" s="7"/>
      <c r="F2282" s="7"/>
      <c r="G2282" s="4"/>
    </row>
    <row r="2283" spans="1:7" ht="12.75">
      <c r="A2283" s="98"/>
      <c r="B2283" s="98"/>
      <c r="C2283" s="98"/>
      <c r="E2283" s="7"/>
      <c r="F2283" s="7"/>
      <c r="G2283" s="4"/>
    </row>
    <row r="2284" spans="1:7" ht="12.75">
      <c r="A2284" s="98"/>
      <c r="B2284" s="98"/>
      <c r="C2284" s="98"/>
      <c r="E2284" s="7"/>
      <c r="F2284" s="7"/>
      <c r="G2284" s="4"/>
    </row>
    <row r="2285" spans="1:7" ht="12.75">
      <c r="A2285" s="98"/>
      <c r="B2285" s="98"/>
      <c r="C2285" s="98"/>
      <c r="E2285" s="7"/>
      <c r="F2285" s="7"/>
      <c r="G2285" s="4"/>
    </row>
    <row r="2286" spans="1:7" ht="12.75">
      <c r="A2286" s="98"/>
      <c r="B2286" s="98"/>
      <c r="C2286" s="98"/>
      <c r="E2286" s="7"/>
      <c r="F2286" s="7"/>
      <c r="G2286" s="4"/>
    </row>
    <row r="2287" spans="1:7" ht="12.75">
      <c r="A2287" s="98"/>
      <c r="B2287" s="98"/>
      <c r="C2287" s="98"/>
      <c r="E2287" s="7"/>
      <c r="F2287" s="7"/>
      <c r="G2287" s="4"/>
    </row>
    <row r="2288" spans="1:7" ht="12.75">
      <c r="A2288" s="98"/>
      <c r="B2288" s="98"/>
      <c r="C2288" s="98"/>
      <c r="E2288" s="7"/>
      <c r="F2288" s="7"/>
      <c r="G2288" s="4"/>
    </row>
    <row r="2289" spans="1:7" ht="12.75">
      <c r="A2289" s="98"/>
      <c r="B2289" s="98"/>
      <c r="C2289" s="98"/>
      <c r="E2289" s="7"/>
      <c r="F2289" s="7"/>
      <c r="G2289" s="4"/>
    </row>
    <row r="2290" spans="1:7" ht="12.75">
      <c r="A2290" s="98"/>
      <c r="B2290" s="98"/>
      <c r="C2290" s="98"/>
      <c r="E2290" s="7"/>
      <c r="F2290" s="7"/>
      <c r="G2290" s="4"/>
    </row>
    <row r="2291" spans="1:7" ht="12.75">
      <c r="A2291" s="98"/>
      <c r="B2291" s="98"/>
      <c r="C2291" s="98"/>
      <c r="E2291" s="7"/>
      <c r="F2291" s="7"/>
      <c r="G2291" s="4"/>
    </row>
    <row r="2292" spans="1:7" ht="12.75">
      <c r="A2292" s="98"/>
      <c r="B2292" s="98"/>
      <c r="C2292" s="98"/>
      <c r="E2292" s="7"/>
      <c r="F2292" s="7"/>
      <c r="G2292" s="4"/>
    </row>
    <row r="2293" spans="1:7" ht="12.75">
      <c r="A2293" s="98"/>
      <c r="B2293" s="98"/>
      <c r="C2293" s="98"/>
      <c r="E2293" s="7"/>
      <c r="F2293" s="7"/>
      <c r="G2293" s="4"/>
    </row>
    <row r="2294" spans="1:7" ht="12.75">
      <c r="A2294" s="98"/>
      <c r="B2294" s="98"/>
      <c r="C2294" s="98"/>
      <c r="E2294" s="7"/>
      <c r="F2294" s="7"/>
      <c r="G2294" s="4"/>
    </row>
    <row r="2295" spans="1:7" ht="12.75">
      <c r="A2295" s="98"/>
      <c r="B2295" s="98"/>
      <c r="C2295" s="98"/>
      <c r="E2295" s="7"/>
      <c r="F2295" s="7"/>
      <c r="G2295" s="4"/>
    </row>
    <row r="2296" spans="1:7" ht="12.75">
      <c r="A2296" s="98"/>
      <c r="B2296" s="98"/>
      <c r="C2296" s="98"/>
      <c r="E2296" s="7"/>
      <c r="F2296" s="7"/>
      <c r="G2296" s="4"/>
    </row>
    <row r="2297" spans="1:7" ht="12.75">
      <c r="A2297" s="98"/>
      <c r="B2297" s="98"/>
      <c r="C2297" s="98"/>
      <c r="E2297" s="7"/>
      <c r="F2297" s="7"/>
      <c r="G2297" s="4"/>
    </row>
    <row r="2298" spans="1:7" ht="12.75">
      <c r="A2298" s="98"/>
      <c r="B2298" s="98"/>
      <c r="C2298" s="98"/>
      <c r="E2298" s="7"/>
      <c r="F2298" s="7"/>
      <c r="G2298" s="4"/>
    </row>
    <row r="2299" spans="1:7" ht="12.75">
      <c r="A2299" s="98"/>
      <c r="B2299" s="98"/>
      <c r="C2299" s="98"/>
      <c r="E2299" s="7"/>
      <c r="F2299" s="7"/>
      <c r="G2299" s="4"/>
    </row>
    <row r="2300" spans="1:7" ht="12.75">
      <c r="A2300" s="98"/>
      <c r="B2300" s="98"/>
      <c r="C2300" s="98"/>
      <c r="E2300" s="7"/>
      <c r="F2300" s="7"/>
      <c r="G2300" s="4"/>
    </row>
    <row r="2301" spans="1:7" ht="12.75">
      <c r="A2301" s="98"/>
      <c r="B2301" s="98"/>
      <c r="C2301" s="98"/>
      <c r="E2301" s="7"/>
      <c r="F2301" s="7"/>
      <c r="G2301" s="4"/>
    </row>
    <row r="2302" spans="1:7" ht="12.75">
      <c r="A2302" s="98"/>
      <c r="B2302" s="98"/>
      <c r="C2302" s="98"/>
      <c r="E2302" s="7"/>
      <c r="F2302" s="7"/>
      <c r="G2302" s="4"/>
    </row>
    <row r="2303" spans="1:7" ht="12.75">
      <c r="A2303" s="98"/>
      <c r="B2303" s="98"/>
      <c r="C2303" s="98"/>
      <c r="E2303" s="7"/>
      <c r="F2303" s="7"/>
      <c r="G2303" s="4"/>
    </row>
    <row r="2304" spans="1:7" ht="12.75">
      <c r="A2304" s="98"/>
      <c r="B2304" s="98"/>
      <c r="C2304" s="98"/>
      <c r="E2304" s="7"/>
      <c r="F2304" s="7"/>
      <c r="G2304" s="4"/>
    </row>
    <row r="2305" spans="1:7" ht="12.75">
      <c r="A2305" s="98"/>
      <c r="B2305" s="98"/>
      <c r="C2305" s="98"/>
      <c r="E2305" s="7"/>
      <c r="F2305" s="7"/>
      <c r="G2305" s="4"/>
    </row>
    <row r="2306" spans="1:7" ht="12.75">
      <c r="A2306" s="98"/>
      <c r="B2306" s="98"/>
      <c r="C2306" s="98"/>
      <c r="E2306" s="7"/>
      <c r="F2306" s="7"/>
      <c r="G2306" s="4"/>
    </row>
    <row r="2307" spans="1:7" ht="12.75">
      <c r="A2307" s="98"/>
      <c r="B2307" s="98"/>
      <c r="C2307" s="98"/>
      <c r="E2307" s="7"/>
      <c r="F2307" s="7"/>
      <c r="G2307" s="4"/>
    </row>
    <row r="2308" spans="1:7" ht="12.75">
      <c r="A2308" s="98"/>
      <c r="B2308" s="98"/>
      <c r="C2308" s="98"/>
      <c r="E2308" s="7"/>
      <c r="F2308" s="7"/>
      <c r="G2308" s="4"/>
    </row>
    <row r="2309" spans="1:7" ht="12.75">
      <c r="A2309" s="98"/>
      <c r="B2309" s="98"/>
      <c r="C2309" s="98"/>
      <c r="E2309" s="7"/>
      <c r="F2309" s="7"/>
      <c r="G2309" s="4"/>
    </row>
    <row r="2310" spans="1:7" ht="12.75">
      <c r="A2310" s="98"/>
      <c r="B2310" s="98"/>
      <c r="C2310" s="98"/>
      <c r="E2310" s="7"/>
      <c r="F2310" s="7"/>
      <c r="G2310" s="4"/>
    </row>
    <row r="2311" spans="1:7" ht="12.75">
      <c r="A2311" s="98"/>
      <c r="B2311" s="98"/>
      <c r="C2311" s="98"/>
      <c r="E2311" s="7"/>
      <c r="F2311" s="7"/>
      <c r="G2311" s="4"/>
    </row>
    <row r="2312" spans="1:7" ht="12.75">
      <c r="A2312" s="98"/>
      <c r="B2312" s="98"/>
      <c r="C2312" s="98"/>
      <c r="E2312" s="7"/>
      <c r="F2312" s="7"/>
      <c r="G2312" s="4"/>
    </row>
    <row r="2313" spans="1:7" ht="12.75">
      <c r="A2313" s="98"/>
      <c r="B2313" s="98"/>
      <c r="C2313" s="98"/>
      <c r="E2313" s="7"/>
      <c r="F2313" s="7"/>
      <c r="G2313" s="4"/>
    </row>
    <row r="2314" spans="1:7" ht="12.75">
      <c r="A2314" s="98"/>
      <c r="B2314" s="98"/>
      <c r="C2314" s="98"/>
      <c r="E2314" s="7"/>
      <c r="F2314" s="7"/>
      <c r="G2314" s="4"/>
    </row>
    <row r="2315" spans="1:7" ht="12.75">
      <c r="A2315" s="98"/>
      <c r="B2315" s="98"/>
      <c r="C2315" s="98"/>
      <c r="E2315" s="7"/>
      <c r="F2315" s="7"/>
      <c r="G2315" s="4"/>
    </row>
    <row r="2316" spans="1:7" ht="12.75">
      <c r="A2316" s="98"/>
      <c r="B2316" s="98"/>
      <c r="C2316" s="98"/>
      <c r="E2316" s="7"/>
      <c r="F2316" s="7"/>
      <c r="G2316" s="4"/>
    </row>
    <row r="2317" spans="1:7" ht="12.75">
      <c r="A2317" s="98"/>
      <c r="B2317" s="98"/>
      <c r="C2317" s="98"/>
      <c r="E2317" s="7"/>
      <c r="F2317" s="7"/>
      <c r="G2317" s="4"/>
    </row>
    <row r="2318" spans="1:7" ht="12.75">
      <c r="A2318" s="98"/>
      <c r="B2318" s="98"/>
      <c r="C2318" s="98"/>
      <c r="E2318" s="7"/>
      <c r="F2318" s="7"/>
      <c r="G2318" s="4"/>
    </row>
    <row r="2319" spans="1:7" ht="12.75">
      <c r="A2319" s="98"/>
      <c r="B2319" s="98"/>
      <c r="C2319" s="98"/>
      <c r="E2319" s="7"/>
      <c r="F2319" s="7"/>
      <c r="G2319" s="4"/>
    </row>
    <row r="2320" spans="1:7" ht="12.75">
      <c r="A2320" s="98"/>
      <c r="B2320" s="98"/>
      <c r="C2320" s="98"/>
      <c r="E2320" s="7"/>
      <c r="F2320" s="7"/>
      <c r="G2320" s="4"/>
    </row>
    <row r="2321" spans="1:7" ht="12.75">
      <c r="A2321" s="98"/>
      <c r="B2321" s="98"/>
      <c r="C2321" s="98"/>
      <c r="E2321" s="7"/>
      <c r="F2321" s="7"/>
      <c r="G2321" s="4"/>
    </row>
    <row r="2322" spans="1:7" ht="12.75">
      <c r="A2322" s="98"/>
      <c r="B2322" s="98"/>
      <c r="C2322" s="98"/>
      <c r="E2322" s="7"/>
      <c r="F2322" s="7"/>
      <c r="G2322" s="4"/>
    </row>
    <row r="2323" spans="1:7" ht="12.75">
      <c r="A2323" s="98"/>
      <c r="B2323" s="98"/>
      <c r="C2323" s="98"/>
      <c r="E2323" s="7"/>
      <c r="F2323" s="7"/>
      <c r="G2323" s="4"/>
    </row>
    <row r="2324" spans="1:7" ht="12.75">
      <c r="A2324" s="98"/>
      <c r="B2324" s="98"/>
      <c r="C2324" s="98"/>
      <c r="E2324" s="7"/>
      <c r="F2324" s="7"/>
      <c r="G2324" s="4"/>
    </row>
    <row r="2325" spans="1:7" ht="12.75">
      <c r="A2325" s="98"/>
      <c r="B2325" s="98"/>
      <c r="C2325" s="98"/>
      <c r="E2325" s="7"/>
      <c r="F2325" s="7"/>
      <c r="G2325" s="4"/>
    </row>
    <row r="2326" spans="1:7" ht="12.75">
      <c r="A2326" s="98"/>
      <c r="B2326" s="98"/>
      <c r="C2326" s="98"/>
      <c r="E2326" s="7"/>
      <c r="F2326" s="7"/>
      <c r="G2326" s="4"/>
    </row>
    <row r="2327" spans="1:7" ht="12.75">
      <c r="A2327" s="98"/>
      <c r="B2327" s="98"/>
      <c r="C2327" s="98"/>
      <c r="E2327" s="7"/>
      <c r="F2327" s="7"/>
      <c r="G2327" s="4"/>
    </row>
    <row r="2328" spans="1:7" ht="12.75">
      <c r="A2328" s="98"/>
      <c r="B2328" s="98"/>
      <c r="C2328" s="98"/>
      <c r="E2328" s="7"/>
      <c r="F2328" s="7"/>
      <c r="G2328" s="4"/>
    </row>
    <row r="2329" spans="1:7" ht="12.75">
      <c r="A2329" s="98"/>
      <c r="B2329" s="98"/>
      <c r="C2329" s="98"/>
      <c r="E2329" s="7"/>
      <c r="F2329" s="7"/>
      <c r="G2329" s="4"/>
    </row>
    <row r="2330" spans="1:7" ht="12.75">
      <c r="A2330" s="98"/>
      <c r="B2330" s="98"/>
      <c r="C2330" s="98"/>
      <c r="E2330" s="7"/>
      <c r="F2330" s="7"/>
      <c r="G2330" s="4"/>
    </row>
    <row r="2331" spans="1:7" ht="12.75">
      <c r="A2331" s="98"/>
      <c r="B2331" s="98"/>
      <c r="C2331" s="98"/>
      <c r="E2331" s="7"/>
      <c r="F2331" s="7"/>
      <c r="G2331" s="4"/>
    </row>
    <row r="2332" spans="1:7" ht="12.75">
      <c r="A2332" s="98"/>
      <c r="B2332" s="98"/>
      <c r="C2332" s="98"/>
      <c r="E2332" s="7"/>
      <c r="F2332" s="7"/>
      <c r="G2332" s="4"/>
    </row>
    <row r="2333" spans="1:7" ht="12.75">
      <c r="A2333" s="98"/>
      <c r="B2333" s="98"/>
      <c r="C2333" s="98"/>
      <c r="E2333" s="7"/>
      <c r="F2333" s="7"/>
      <c r="G2333" s="4"/>
    </row>
    <row r="2334" spans="1:7" ht="12.75">
      <c r="A2334" s="98"/>
      <c r="B2334" s="98"/>
      <c r="C2334" s="98"/>
      <c r="E2334" s="7"/>
      <c r="F2334" s="7"/>
      <c r="G2334" s="4"/>
    </row>
    <row r="2335" spans="1:7" ht="12.75">
      <c r="A2335" s="98"/>
      <c r="B2335" s="98"/>
      <c r="C2335" s="98"/>
      <c r="E2335" s="7"/>
      <c r="F2335" s="7"/>
      <c r="G2335" s="4"/>
    </row>
    <row r="2336" spans="1:7" ht="12.75">
      <c r="A2336" s="98"/>
      <c r="B2336" s="98"/>
      <c r="C2336" s="98"/>
      <c r="E2336" s="7"/>
      <c r="F2336" s="7"/>
      <c r="G2336" s="4"/>
    </row>
    <row r="2337" spans="1:7" ht="12.75">
      <c r="A2337" s="98"/>
      <c r="B2337" s="98"/>
      <c r="C2337" s="98"/>
      <c r="E2337" s="7"/>
      <c r="F2337" s="7"/>
      <c r="G2337" s="4"/>
    </row>
    <row r="2338" spans="1:7" ht="12.75">
      <c r="A2338" s="98"/>
      <c r="B2338" s="98"/>
      <c r="C2338" s="98"/>
      <c r="E2338" s="7"/>
      <c r="F2338" s="7"/>
      <c r="G2338" s="4"/>
    </row>
    <row r="2339" spans="1:7" ht="12.75">
      <c r="A2339" s="98"/>
      <c r="B2339" s="98"/>
      <c r="C2339" s="98"/>
      <c r="E2339" s="7"/>
      <c r="F2339" s="7"/>
      <c r="G2339" s="4"/>
    </row>
    <row r="2340" spans="1:7" ht="12.75">
      <c r="A2340" s="98"/>
      <c r="B2340" s="98"/>
      <c r="C2340" s="98"/>
      <c r="E2340" s="7"/>
      <c r="F2340" s="7"/>
      <c r="G2340" s="4"/>
    </row>
    <row r="2341" spans="1:7" ht="12.75">
      <c r="A2341" s="98"/>
      <c r="B2341" s="98"/>
      <c r="C2341" s="98"/>
      <c r="E2341" s="7"/>
      <c r="F2341" s="7"/>
      <c r="G2341" s="4"/>
    </row>
    <row r="2342" spans="1:7" ht="12.75">
      <c r="A2342" s="98"/>
      <c r="B2342" s="98"/>
      <c r="C2342" s="98"/>
      <c r="E2342" s="7"/>
      <c r="F2342" s="7"/>
      <c r="G2342" s="4"/>
    </row>
    <row r="2343" spans="1:7" ht="12.75">
      <c r="A2343" s="98"/>
      <c r="B2343" s="98"/>
      <c r="C2343" s="98"/>
      <c r="E2343" s="7"/>
      <c r="F2343" s="7"/>
      <c r="G2343" s="4"/>
    </row>
    <row r="2344" spans="1:7" ht="12.75">
      <c r="A2344" s="98"/>
      <c r="B2344" s="98"/>
      <c r="C2344" s="98"/>
      <c r="E2344" s="7"/>
      <c r="F2344" s="7"/>
      <c r="G2344" s="4"/>
    </row>
    <row r="2345" spans="1:7" ht="12.75">
      <c r="A2345" s="98"/>
      <c r="B2345" s="98"/>
      <c r="C2345" s="98"/>
      <c r="E2345" s="7"/>
      <c r="F2345" s="7"/>
      <c r="G2345" s="4"/>
    </row>
    <row r="2346" spans="1:7" ht="12.75">
      <c r="A2346" s="98"/>
      <c r="B2346" s="98"/>
      <c r="C2346" s="98"/>
      <c r="E2346" s="7"/>
      <c r="F2346" s="7"/>
      <c r="G2346" s="4"/>
    </row>
    <row r="2347" spans="1:7" ht="12.75">
      <c r="A2347" s="98"/>
      <c r="B2347" s="98"/>
      <c r="C2347" s="98"/>
      <c r="E2347" s="7"/>
      <c r="F2347" s="7"/>
      <c r="G2347" s="4"/>
    </row>
    <row r="2348" spans="1:7" ht="12.75">
      <c r="A2348" s="98"/>
      <c r="B2348" s="98"/>
      <c r="C2348" s="98"/>
      <c r="E2348" s="7"/>
      <c r="F2348" s="7"/>
      <c r="G2348" s="4"/>
    </row>
    <row r="2349" spans="1:7" ht="12.75">
      <c r="A2349" s="98"/>
      <c r="B2349" s="98"/>
      <c r="C2349" s="98"/>
      <c r="E2349" s="7"/>
      <c r="F2349" s="7"/>
      <c r="G2349" s="4"/>
    </row>
    <row r="2350" spans="1:7" ht="12.75">
      <c r="A2350" s="98"/>
      <c r="B2350" s="98"/>
      <c r="C2350" s="98"/>
      <c r="E2350" s="7"/>
      <c r="F2350" s="7"/>
      <c r="G2350" s="4"/>
    </row>
    <row r="2351" spans="1:7" ht="12.75">
      <c r="A2351" s="98"/>
      <c r="B2351" s="98"/>
      <c r="C2351" s="98"/>
      <c r="E2351" s="7"/>
      <c r="F2351" s="7"/>
      <c r="G2351" s="4"/>
    </row>
    <row r="2352" spans="1:7" ht="12.75">
      <c r="A2352" s="98"/>
      <c r="B2352" s="98"/>
      <c r="C2352" s="98"/>
      <c r="E2352" s="7"/>
      <c r="F2352" s="7"/>
      <c r="G2352" s="4"/>
    </row>
    <row r="2353" spans="1:7" ht="12.75">
      <c r="A2353" s="98"/>
      <c r="B2353" s="98"/>
      <c r="C2353" s="98"/>
      <c r="E2353" s="7"/>
      <c r="F2353" s="7"/>
      <c r="G2353" s="4"/>
    </row>
    <row r="2354" spans="1:7" ht="12.75">
      <c r="A2354" s="98"/>
      <c r="B2354" s="98"/>
      <c r="C2354" s="98"/>
      <c r="E2354" s="7"/>
      <c r="F2354" s="7"/>
      <c r="G2354" s="4"/>
    </row>
    <row r="2355" spans="1:7" ht="12.75">
      <c r="A2355" s="98"/>
      <c r="B2355" s="98"/>
      <c r="C2355" s="98"/>
      <c r="E2355" s="7"/>
      <c r="F2355" s="7"/>
      <c r="G2355" s="4"/>
    </row>
    <row r="2356" spans="1:7" ht="12.75">
      <c r="A2356" s="98"/>
      <c r="B2356" s="98"/>
      <c r="C2356" s="98"/>
      <c r="E2356" s="7"/>
      <c r="F2356" s="7"/>
      <c r="G2356" s="4"/>
    </row>
    <row r="2357" spans="1:7" ht="12.75">
      <c r="A2357" s="98"/>
      <c r="B2357" s="98"/>
      <c r="C2357" s="98"/>
      <c r="E2357" s="7"/>
      <c r="F2357" s="7"/>
      <c r="G2357" s="4"/>
    </row>
    <row r="2358" spans="1:7" ht="12.75">
      <c r="A2358" s="98"/>
      <c r="B2358" s="98"/>
      <c r="C2358" s="98"/>
      <c r="E2358" s="7"/>
      <c r="F2358" s="7"/>
      <c r="G2358" s="4"/>
    </row>
    <row r="2359" spans="1:7" ht="12.75">
      <c r="A2359" s="98"/>
      <c r="B2359" s="98"/>
      <c r="C2359" s="98"/>
      <c r="E2359" s="7"/>
      <c r="F2359" s="7"/>
      <c r="G2359" s="4"/>
    </row>
    <row r="2360" spans="1:7" ht="12.75">
      <c r="A2360" s="98"/>
      <c r="B2360" s="98"/>
      <c r="C2360" s="98"/>
      <c r="E2360" s="7"/>
      <c r="F2360" s="7"/>
      <c r="G2360" s="4"/>
    </row>
    <row r="2361" spans="1:7" ht="12.75">
      <c r="A2361" s="98"/>
      <c r="B2361" s="98"/>
      <c r="C2361" s="98"/>
      <c r="E2361" s="7"/>
      <c r="F2361" s="7"/>
      <c r="G2361" s="4"/>
    </row>
    <row r="2362" spans="1:7" ht="12.75">
      <c r="A2362" s="98"/>
      <c r="B2362" s="98"/>
      <c r="C2362" s="98"/>
      <c r="E2362" s="7"/>
      <c r="F2362" s="7"/>
      <c r="G2362" s="4"/>
    </row>
    <row r="2363" spans="1:7" ht="12.75">
      <c r="A2363" s="98"/>
      <c r="B2363" s="98"/>
      <c r="C2363" s="98"/>
      <c r="E2363" s="7"/>
      <c r="F2363" s="7"/>
      <c r="G2363" s="4"/>
    </row>
    <row r="2364" spans="1:7" ht="12.75">
      <c r="A2364" s="98"/>
      <c r="B2364" s="98"/>
      <c r="C2364" s="98"/>
      <c r="E2364" s="7"/>
      <c r="F2364" s="7"/>
      <c r="G2364" s="4"/>
    </row>
    <row r="2365" spans="1:7" ht="12.75">
      <c r="A2365" s="98"/>
      <c r="B2365" s="98"/>
      <c r="C2365" s="98"/>
      <c r="E2365" s="7"/>
      <c r="F2365" s="7"/>
      <c r="G2365" s="4"/>
    </row>
    <row r="2366" spans="1:7" ht="12.75">
      <c r="A2366" s="98"/>
      <c r="B2366" s="98"/>
      <c r="C2366" s="98"/>
      <c r="E2366" s="7"/>
      <c r="F2366" s="7"/>
      <c r="G2366" s="4"/>
    </row>
    <row r="2367" spans="1:7" ht="12.75">
      <c r="A2367" s="98"/>
      <c r="B2367" s="98"/>
      <c r="C2367" s="98"/>
      <c r="E2367" s="7"/>
      <c r="F2367" s="7"/>
      <c r="G2367" s="4"/>
    </row>
    <row r="2368" spans="1:7" ht="12.75">
      <c r="A2368" s="98"/>
      <c r="B2368" s="98"/>
      <c r="C2368" s="98"/>
      <c r="E2368" s="7"/>
      <c r="F2368" s="7"/>
      <c r="G2368" s="4"/>
    </row>
    <row r="2369" spans="1:7" ht="12.75">
      <c r="A2369" s="98"/>
      <c r="B2369" s="98"/>
      <c r="C2369" s="98"/>
      <c r="E2369" s="7"/>
      <c r="F2369" s="7"/>
      <c r="G2369" s="4"/>
    </row>
    <row r="2370" spans="1:7" ht="12.75">
      <c r="A2370" s="98"/>
      <c r="B2370" s="98"/>
      <c r="C2370" s="98"/>
      <c r="E2370" s="7"/>
      <c r="F2370" s="7"/>
      <c r="G2370" s="4"/>
    </row>
    <row r="2371" spans="1:7" ht="12.75">
      <c r="A2371" s="98"/>
      <c r="B2371" s="98"/>
      <c r="C2371" s="98"/>
      <c r="E2371" s="7"/>
      <c r="F2371" s="7"/>
      <c r="G2371" s="4"/>
    </row>
    <row r="2372" spans="1:7" ht="12.75">
      <c r="A2372" s="98"/>
      <c r="B2372" s="98"/>
      <c r="C2372" s="98"/>
      <c r="E2372" s="7"/>
      <c r="F2372" s="7"/>
      <c r="G2372" s="4"/>
    </row>
    <row r="2373" spans="1:7" ht="12.75">
      <c r="A2373" s="98"/>
      <c r="B2373" s="98"/>
      <c r="C2373" s="98"/>
      <c r="E2373" s="7"/>
      <c r="F2373" s="7"/>
      <c r="G2373" s="4"/>
    </row>
    <row r="2374" spans="1:7" ht="12.75">
      <c r="A2374" s="98"/>
      <c r="B2374" s="98"/>
      <c r="C2374" s="98"/>
      <c r="E2374" s="7"/>
      <c r="F2374" s="7"/>
      <c r="G2374" s="4"/>
    </row>
    <row r="2375" spans="1:7" ht="12.75">
      <c r="A2375" s="98"/>
      <c r="B2375" s="98"/>
      <c r="C2375" s="98"/>
      <c r="E2375" s="7"/>
      <c r="F2375" s="7"/>
      <c r="G2375" s="4"/>
    </row>
    <row r="2376" spans="1:7" ht="12.75">
      <c r="A2376" s="98"/>
      <c r="B2376" s="98"/>
      <c r="C2376" s="98"/>
      <c r="E2376" s="7"/>
      <c r="F2376" s="7"/>
      <c r="G2376" s="4"/>
    </row>
    <row r="2377" spans="1:7" ht="12.75">
      <c r="A2377" s="98"/>
      <c r="B2377" s="98"/>
      <c r="C2377" s="98"/>
      <c r="E2377" s="7"/>
      <c r="F2377" s="7"/>
      <c r="G2377" s="4"/>
    </row>
    <row r="2378" spans="1:7" ht="12.75">
      <c r="A2378" s="98"/>
      <c r="B2378" s="98"/>
      <c r="C2378" s="98"/>
      <c r="E2378" s="7"/>
      <c r="F2378" s="7"/>
      <c r="G2378" s="4"/>
    </row>
    <row r="2379" spans="1:7" ht="12.75">
      <c r="A2379" s="98"/>
      <c r="B2379" s="98"/>
      <c r="C2379" s="98"/>
      <c r="E2379" s="7"/>
      <c r="F2379" s="7"/>
      <c r="G2379" s="4"/>
    </row>
    <row r="2380" spans="1:7" ht="12.75">
      <c r="A2380" s="98"/>
      <c r="B2380" s="98"/>
      <c r="C2380" s="98"/>
      <c r="E2380" s="7"/>
      <c r="F2380" s="7"/>
      <c r="G2380" s="4"/>
    </row>
    <row r="2381" spans="1:7" ht="12.75">
      <c r="A2381" s="98"/>
      <c r="B2381" s="98"/>
      <c r="C2381" s="98"/>
      <c r="E2381" s="7"/>
      <c r="F2381" s="7"/>
      <c r="G2381" s="4"/>
    </row>
    <row r="2382" spans="1:7" ht="12.75">
      <c r="A2382" s="98"/>
      <c r="B2382" s="98"/>
      <c r="C2382" s="98"/>
      <c r="E2382" s="7"/>
      <c r="F2382" s="7"/>
      <c r="G2382" s="4"/>
    </row>
    <row r="2383" spans="1:7" ht="12.75">
      <c r="A2383" s="98"/>
      <c r="B2383" s="98"/>
      <c r="C2383" s="98"/>
      <c r="E2383" s="7"/>
      <c r="F2383" s="7"/>
      <c r="G2383" s="4"/>
    </row>
    <row r="2384" spans="1:7" ht="12.75">
      <c r="A2384" s="98"/>
      <c r="B2384" s="98"/>
      <c r="C2384" s="98"/>
      <c r="E2384" s="7"/>
      <c r="F2384" s="7"/>
      <c r="G2384" s="4"/>
    </row>
    <row r="2385" spans="1:7" ht="12.75">
      <c r="A2385" s="98"/>
      <c r="B2385" s="98"/>
      <c r="C2385" s="98"/>
      <c r="E2385" s="7"/>
      <c r="F2385" s="7"/>
      <c r="G2385" s="4"/>
    </row>
    <row r="2386" spans="1:7" ht="12.75">
      <c r="A2386" s="98"/>
      <c r="B2386" s="98"/>
      <c r="C2386" s="98"/>
      <c r="E2386" s="7"/>
      <c r="F2386" s="7"/>
      <c r="G2386" s="4"/>
    </row>
    <row r="2387" spans="1:7" ht="12.75">
      <c r="A2387" s="98"/>
      <c r="B2387" s="98"/>
      <c r="C2387" s="98"/>
      <c r="E2387" s="7"/>
      <c r="F2387" s="7"/>
      <c r="G2387" s="4"/>
    </row>
    <row r="2388" spans="1:7" ht="12.75">
      <c r="A2388" s="98"/>
      <c r="B2388" s="98"/>
      <c r="C2388" s="98"/>
      <c r="E2388" s="7"/>
      <c r="F2388" s="7"/>
      <c r="G2388" s="4"/>
    </row>
    <row r="2389" spans="1:7" ht="12.75">
      <c r="A2389" s="98"/>
      <c r="B2389" s="98"/>
      <c r="C2389" s="98"/>
      <c r="E2389" s="7"/>
      <c r="F2389" s="7"/>
      <c r="G2389" s="4"/>
    </row>
    <row r="2390" spans="1:7" ht="12.75">
      <c r="A2390" s="98"/>
      <c r="B2390" s="98"/>
      <c r="C2390" s="98"/>
      <c r="E2390" s="7"/>
      <c r="F2390" s="7"/>
      <c r="G2390" s="4"/>
    </row>
    <row r="2391" spans="1:7" ht="12.75">
      <c r="A2391" s="98"/>
      <c r="B2391" s="98"/>
      <c r="C2391" s="98"/>
      <c r="E2391" s="7"/>
      <c r="F2391" s="7"/>
      <c r="G2391" s="4"/>
    </row>
    <row r="2392" spans="1:7" ht="12.75">
      <c r="A2392" s="98"/>
      <c r="B2392" s="98"/>
      <c r="C2392" s="98"/>
      <c r="E2392" s="7"/>
      <c r="F2392" s="7"/>
      <c r="G2392" s="4"/>
    </row>
    <row r="2393" spans="1:7" ht="12.75">
      <c r="A2393" s="98"/>
      <c r="B2393" s="98"/>
      <c r="C2393" s="98"/>
      <c r="E2393" s="7"/>
      <c r="F2393" s="7"/>
      <c r="G2393" s="4"/>
    </row>
    <row r="2394" spans="1:7" ht="12.75">
      <c r="A2394" s="98"/>
      <c r="B2394" s="98"/>
      <c r="C2394" s="98"/>
      <c r="E2394" s="7"/>
      <c r="F2394" s="7"/>
      <c r="G2394" s="4"/>
    </row>
    <row r="2395" spans="1:7" ht="12.75">
      <c r="A2395" s="98"/>
      <c r="B2395" s="98"/>
      <c r="C2395" s="98"/>
      <c r="E2395" s="7"/>
      <c r="F2395" s="7"/>
      <c r="G2395" s="4"/>
    </row>
    <row r="2396" spans="1:7" ht="12.75">
      <c r="A2396" s="98"/>
      <c r="B2396" s="98"/>
      <c r="C2396" s="98"/>
      <c r="E2396" s="7"/>
      <c r="F2396" s="7"/>
      <c r="G2396" s="4"/>
    </row>
    <row r="2397" spans="1:7" ht="12.75">
      <c r="A2397" s="98"/>
      <c r="B2397" s="98"/>
      <c r="C2397" s="98"/>
      <c r="E2397" s="7"/>
      <c r="F2397" s="7"/>
      <c r="G2397" s="4"/>
    </row>
    <row r="2398" spans="1:7" ht="12.75">
      <c r="A2398" s="98"/>
      <c r="B2398" s="98"/>
      <c r="C2398" s="98"/>
      <c r="E2398" s="7"/>
      <c r="F2398" s="7"/>
      <c r="G2398" s="4"/>
    </row>
    <row r="2399" spans="1:7" ht="12.75">
      <c r="A2399" s="98"/>
      <c r="B2399" s="98"/>
      <c r="C2399" s="98"/>
      <c r="E2399" s="7"/>
      <c r="F2399" s="7"/>
      <c r="G2399" s="4"/>
    </row>
    <row r="2400" spans="1:7" ht="12.75">
      <c r="A2400" s="98"/>
      <c r="B2400" s="98"/>
      <c r="C2400" s="98"/>
      <c r="E2400" s="7"/>
      <c r="F2400" s="7"/>
      <c r="G2400" s="4"/>
    </row>
    <row r="2401" spans="1:7" ht="12.75">
      <c r="A2401" s="98"/>
      <c r="B2401" s="98"/>
      <c r="C2401" s="98"/>
      <c r="E2401" s="7"/>
      <c r="F2401" s="7"/>
      <c r="G2401" s="4"/>
    </row>
    <row r="2402" spans="1:7" ht="12.75">
      <c r="A2402" s="98"/>
      <c r="B2402" s="98"/>
      <c r="C2402" s="98"/>
      <c r="E2402" s="7"/>
      <c r="F2402" s="7"/>
      <c r="G2402" s="4"/>
    </row>
    <row r="2403" spans="1:7" ht="12.75">
      <c r="A2403" s="98"/>
      <c r="B2403" s="98"/>
      <c r="C2403" s="98"/>
      <c r="E2403" s="7"/>
      <c r="F2403" s="7"/>
      <c r="G2403" s="4"/>
    </row>
    <row r="2404" spans="1:7" ht="12.75">
      <c r="A2404" s="98"/>
      <c r="B2404" s="98"/>
      <c r="C2404" s="98"/>
      <c r="E2404" s="7"/>
      <c r="F2404" s="7"/>
      <c r="G2404" s="4"/>
    </row>
    <row r="2405" spans="1:7" ht="12.75">
      <c r="A2405" s="98"/>
      <c r="B2405" s="98"/>
      <c r="C2405" s="98"/>
      <c r="E2405" s="7"/>
      <c r="F2405" s="7"/>
      <c r="G2405" s="4"/>
    </row>
    <row r="2406" spans="1:7" ht="12.75">
      <c r="A2406" s="98"/>
      <c r="B2406" s="98"/>
      <c r="C2406" s="98"/>
      <c r="E2406" s="7"/>
      <c r="F2406" s="7"/>
      <c r="G2406" s="4"/>
    </row>
    <row r="2407" spans="1:7" ht="12.75">
      <c r="A2407" s="98"/>
      <c r="B2407" s="98"/>
      <c r="C2407" s="98"/>
      <c r="E2407" s="7"/>
      <c r="F2407" s="7"/>
      <c r="G2407" s="4"/>
    </row>
    <row r="2408" spans="1:7" ht="12.75">
      <c r="A2408" s="98"/>
      <c r="B2408" s="98"/>
      <c r="C2408" s="98"/>
      <c r="E2408" s="7"/>
      <c r="F2408" s="7"/>
      <c r="G2408" s="4"/>
    </row>
    <row r="2409" spans="1:7" ht="12.75">
      <c r="A2409" s="98"/>
      <c r="B2409" s="98"/>
      <c r="C2409" s="98"/>
      <c r="E2409" s="7"/>
      <c r="F2409" s="7"/>
      <c r="G2409" s="4"/>
    </row>
    <row r="2410" spans="1:7" ht="12.75">
      <c r="A2410" s="98"/>
      <c r="B2410" s="98"/>
      <c r="C2410" s="98"/>
      <c r="E2410" s="7"/>
      <c r="F2410" s="7"/>
      <c r="G2410" s="4"/>
    </row>
    <row r="2411" spans="1:7" ht="12.75">
      <c r="A2411" s="98"/>
      <c r="B2411" s="98"/>
      <c r="C2411" s="98"/>
      <c r="E2411" s="7"/>
      <c r="F2411" s="7"/>
      <c r="G2411" s="4"/>
    </row>
    <row r="2412" spans="1:7" ht="12.75">
      <c r="A2412" s="98"/>
      <c r="B2412" s="98"/>
      <c r="C2412" s="98"/>
      <c r="E2412" s="7"/>
      <c r="F2412" s="7"/>
      <c r="G2412" s="4"/>
    </row>
    <row r="2413" spans="1:7" ht="12.75">
      <c r="A2413" s="98"/>
      <c r="B2413" s="98"/>
      <c r="C2413" s="98"/>
      <c r="E2413" s="7"/>
      <c r="F2413" s="7"/>
      <c r="G2413" s="4"/>
    </row>
    <row r="2414" spans="1:7" ht="12.75">
      <c r="A2414" s="98"/>
      <c r="B2414" s="98"/>
      <c r="C2414" s="98"/>
      <c r="E2414" s="7"/>
      <c r="F2414" s="7"/>
      <c r="G2414" s="4"/>
    </row>
    <row r="2415" spans="1:7" ht="12.75">
      <c r="A2415" s="98"/>
      <c r="B2415" s="98"/>
      <c r="C2415" s="98"/>
      <c r="E2415" s="7"/>
      <c r="F2415" s="7"/>
      <c r="G2415" s="4"/>
    </row>
    <row r="2416" spans="1:7" ht="12.75">
      <c r="A2416" s="98"/>
      <c r="B2416" s="98"/>
      <c r="C2416" s="98"/>
      <c r="E2416" s="7"/>
      <c r="F2416" s="7"/>
      <c r="G2416" s="4"/>
    </row>
    <row r="2417" spans="1:7" ht="12.75">
      <c r="A2417" s="98"/>
      <c r="B2417" s="98"/>
      <c r="C2417" s="98"/>
      <c r="E2417" s="7"/>
      <c r="F2417" s="7"/>
      <c r="G2417" s="4"/>
    </row>
    <row r="2418" spans="1:7" ht="12.75">
      <c r="A2418" s="98"/>
      <c r="B2418" s="98"/>
      <c r="C2418" s="98"/>
      <c r="E2418" s="7"/>
      <c r="F2418" s="7"/>
      <c r="G2418" s="4"/>
    </row>
    <row r="2419" spans="1:7" ht="12.75">
      <c r="A2419" s="98"/>
      <c r="B2419" s="98"/>
      <c r="C2419" s="98"/>
      <c r="E2419" s="7"/>
      <c r="F2419" s="7"/>
      <c r="G2419" s="4"/>
    </row>
    <row r="2420" spans="1:7" ht="12.75">
      <c r="A2420" s="98"/>
      <c r="B2420" s="98"/>
      <c r="C2420" s="98"/>
      <c r="E2420" s="7"/>
      <c r="F2420" s="7"/>
      <c r="G2420" s="4"/>
    </row>
    <row r="2421" spans="1:7" ht="12.75">
      <c r="A2421" s="98"/>
      <c r="B2421" s="98"/>
      <c r="C2421" s="98"/>
      <c r="E2421" s="7"/>
      <c r="F2421" s="7"/>
      <c r="G2421" s="4"/>
    </row>
    <row r="2422" spans="1:7" ht="12.75">
      <c r="A2422" s="98"/>
      <c r="B2422" s="98"/>
      <c r="C2422" s="98"/>
      <c r="E2422" s="7"/>
      <c r="F2422" s="7"/>
      <c r="G2422" s="4"/>
    </row>
    <row r="2423" spans="1:7" ht="12.75">
      <c r="A2423" s="98"/>
      <c r="B2423" s="98"/>
      <c r="C2423" s="98"/>
      <c r="E2423" s="7"/>
      <c r="F2423" s="7"/>
      <c r="G2423" s="4"/>
    </row>
    <row r="2424" spans="1:7" ht="12.75">
      <c r="A2424" s="98"/>
      <c r="B2424" s="98"/>
      <c r="C2424" s="98"/>
      <c r="E2424" s="7"/>
      <c r="F2424" s="7"/>
      <c r="G2424" s="4"/>
    </row>
    <row r="2425" spans="1:7" ht="12.75">
      <c r="A2425" s="98"/>
      <c r="B2425" s="98"/>
      <c r="C2425" s="98"/>
      <c r="E2425" s="7"/>
      <c r="F2425" s="7"/>
      <c r="G2425" s="4"/>
    </row>
    <row r="2426" spans="1:7" ht="12.75">
      <c r="A2426" s="98"/>
      <c r="B2426" s="98"/>
      <c r="C2426" s="98"/>
      <c r="E2426" s="7"/>
      <c r="F2426" s="7"/>
      <c r="G2426" s="4"/>
    </row>
    <row r="2427" spans="1:7" ht="12.75">
      <c r="A2427" s="98"/>
      <c r="B2427" s="98"/>
      <c r="C2427" s="98"/>
      <c r="E2427" s="7"/>
      <c r="F2427" s="7"/>
      <c r="G2427" s="4"/>
    </row>
    <row r="2428" spans="1:7" ht="12.75">
      <c r="A2428" s="98"/>
      <c r="B2428" s="98"/>
      <c r="C2428" s="98"/>
      <c r="E2428" s="7"/>
      <c r="F2428" s="7"/>
      <c r="G2428" s="4"/>
    </row>
    <row r="2429" spans="1:7" ht="12.75">
      <c r="A2429" s="98"/>
      <c r="B2429" s="98"/>
      <c r="C2429" s="98"/>
      <c r="E2429" s="7"/>
      <c r="F2429" s="7"/>
      <c r="G2429" s="4"/>
    </row>
    <row r="2430" spans="1:7" ht="12.75">
      <c r="A2430" s="98"/>
      <c r="B2430" s="98"/>
      <c r="C2430" s="98"/>
      <c r="E2430" s="7"/>
      <c r="F2430" s="7"/>
      <c r="G2430" s="4"/>
    </row>
    <row r="2431" spans="1:7" ht="12.75">
      <c r="A2431" s="98"/>
      <c r="B2431" s="98"/>
      <c r="C2431" s="98"/>
      <c r="E2431" s="7"/>
      <c r="F2431" s="7"/>
      <c r="G2431" s="4"/>
    </row>
    <row r="2432" spans="1:7" ht="12.75">
      <c r="A2432" s="98"/>
      <c r="B2432" s="98"/>
      <c r="C2432" s="98"/>
      <c r="E2432" s="7"/>
      <c r="F2432" s="7"/>
      <c r="G2432" s="4"/>
    </row>
    <row r="2433" spans="1:7" ht="12.75">
      <c r="A2433" s="98"/>
      <c r="B2433" s="98"/>
      <c r="C2433" s="98"/>
      <c r="E2433" s="7"/>
      <c r="F2433" s="7"/>
      <c r="G2433" s="4"/>
    </row>
    <row r="2434" spans="1:7" ht="12.75">
      <c r="A2434" s="98"/>
      <c r="B2434" s="98"/>
      <c r="C2434" s="98"/>
      <c r="E2434" s="7"/>
      <c r="F2434" s="7"/>
      <c r="G2434" s="4"/>
    </row>
    <row r="2435" spans="1:7" ht="12.75">
      <c r="A2435" s="98"/>
      <c r="B2435" s="98"/>
      <c r="C2435" s="98"/>
      <c r="E2435" s="7"/>
      <c r="F2435" s="7"/>
      <c r="G2435" s="4"/>
    </row>
    <row r="2436" spans="1:7" ht="12.75">
      <c r="A2436" s="98"/>
      <c r="B2436" s="98"/>
      <c r="C2436" s="98"/>
      <c r="E2436" s="7"/>
      <c r="F2436" s="7"/>
      <c r="G2436" s="4"/>
    </row>
    <row r="2437" spans="1:7" ht="12.75">
      <c r="A2437" s="98"/>
      <c r="B2437" s="98"/>
      <c r="C2437" s="98"/>
      <c r="E2437" s="7"/>
      <c r="F2437" s="7"/>
      <c r="G2437" s="4"/>
    </row>
    <row r="2438" spans="1:7" ht="12.75">
      <c r="A2438" s="98"/>
      <c r="B2438" s="98"/>
      <c r="C2438" s="98"/>
      <c r="E2438" s="7"/>
      <c r="F2438" s="7"/>
      <c r="G2438" s="4"/>
    </row>
    <row r="2439" spans="1:7" ht="12.75">
      <c r="A2439" s="98"/>
      <c r="B2439" s="98"/>
      <c r="C2439" s="98"/>
      <c r="E2439" s="7"/>
      <c r="F2439" s="7"/>
      <c r="G2439" s="4"/>
    </row>
    <row r="2440" spans="1:7" ht="12.75">
      <c r="A2440" s="98"/>
      <c r="B2440" s="98"/>
      <c r="C2440" s="98"/>
      <c r="E2440" s="7"/>
      <c r="F2440" s="7"/>
      <c r="G2440" s="4"/>
    </row>
    <row r="2441" spans="1:7" ht="12.75">
      <c r="A2441" s="98"/>
      <c r="B2441" s="98"/>
      <c r="C2441" s="98"/>
      <c r="E2441" s="7"/>
      <c r="F2441" s="7"/>
      <c r="G2441" s="4"/>
    </row>
    <row r="2442" spans="1:7" ht="12.75">
      <c r="A2442" s="98"/>
      <c r="B2442" s="98"/>
      <c r="C2442" s="98"/>
      <c r="E2442" s="7"/>
      <c r="F2442" s="7"/>
      <c r="G2442" s="4"/>
    </row>
    <row r="2443" spans="1:7" ht="12.75">
      <c r="A2443" s="98"/>
      <c r="B2443" s="98"/>
      <c r="C2443" s="98"/>
      <c r="E2443" s="7"/>
      <c r="F2443" s="7"/>
      <c r="G2443" s="4"/>
    </row>
    <row r="2444" spans="1:7" ht="12.75">
      <c r="A2444" s="98"/>
      <c r="B2444" s="98"/>
      <c r="C2444" s="98"/>
      <c r="E2444" s="7"/>
      <c r="F2444" s="7"/>
      <c r="G2444" s="4"/>
    </row>
    <row r="2445" spans="1:7" ht="12.75">
      <c r="A2445" s="98"/>
      <c r="B2445" s="98"/>
      <c r="C2445" s="98"/>
      <c r="E2445" s="7"/>
      <c r="F2445" s="7"/>
      <c r="G2445" s="4"/>
    </row>
    <row r="2446" spans="1:7" ht="12.75">
      <c r="A2446" s="98"/>
      <c r="B2446" s="98"/>
      <c r="C2446" s="98"/>
      <c r="E2446" s="7"/>
      <c r="F2446" s="7"/>
      <c r="G2446" s="4"/>
    </row>
    <row r="2447" spans="1:7" ht="12.75">
      <c r="A2447" s="98"/>
      <c r="B2447" s="98"/>
      <c r="C2447" s="98"/>
      <c r="E2447" s="7"/>
      <c r="F2447" s="7"/>
      <c r="G2447" s="4"/>
    </row>
    <row r="2448" spans="1:7" ht="12.75">
      <c r="A2448" s="98"/>
      <c r="B2448" s="98"/>
      <c r="C2448" s="98"/>
      <c r="E2448" s="7"/>
      <c r="F2448" s="7"/>
      <c r="G2448" s="4"/>
    </row>
    <row r="2449" spans="1:7" ht="12.75">
      <c r="A2449" s="98"/>
      <c r="B2449" s="98"/>
      <c r="C2449" s="98"/>
      <c r="E2449" s="7"/>
      <c r="F2449" s="7"/>
      <c r="G2449" s="4"/>
    </row>
    <row r="2450" spans="1:7" ht="12.75">
      <c r="A2450" s="98"/>
      <c r="B2450" s="98"/>
      <c r="C2450" s="98"/>
      <c r="E2450" s="7"/>
      <c r="F2450" s="7"/>
      <c r="G2450" s="4"/>
    </row>
    <row r="2451" spans="1:7" ht="12.75">
      <c r="A2451" s="98"/>
      <c r="B2451" s="98"/>
      <c r="C2451" s="98"/>
      <c r="E2451" s="7"/>
      <c r="F2451" s="7"/>
      <c r="G2451" s="4"/>
    </row>
    <row r="2452" spans="1:7" ht="12.75">
      <c r="A2452" s="98"/>
      <c r="B2452" s="98"/>
      <c r="C2452" s="98"/>
      <c r="E2452" s="7"/>
      <c r="F2452" s="7"/>
      <c r="G2452" s="4"/>
    </row>
    <row r="2453" spans="1:7" ht="12.75">
      <c r="A2453" s="98"/>
      <c r="B2453" s="98"/>
      <c r="C2453" s="98"/>
      <c r="E2453" s="7"/>
      <c r="F2453" s="7"/>
      <c r="G2453" s="4"/>
    </row>
    <row r="2454" spans="1:7" ht="12.75">
      <c r="A2454" s="98"/>
      <c r="B2454" s="98"/>
      <c r="C2454" s="98"/>
      <c r="E2454" s="7"/>
      <c r="F2454" s="7"/>
      <c r="G2454" s="4"/>
    </row>
    <row r="2455" spans="1:7" ht="12.75">
      <c r="A2455" s="98"/>
      <c r="B2455" s="98"/>
      <c r="C2455" s="98"/>
      <c r="E2455" s="7"/>
      <c r="F2455" s="7"/>
      <c r="G2455" s="4"/>
    </row>
    <row r="2456" spans="1:7" ht="12.75">
      <c r="A2456" s="98"/>
      <c r="B2456" s="98"/>
      <c r="C2456" s="98"/>
      <c r="E2456" s="7"/>
      <c r="F2456" s="7"/>
      <c r="G2456" s="4"/>
    </row>
    <row r="2457" spans="1:7" ht="12.75">
      <c r="A2457" s="98"/>
      <c r="B2457" s="98"/>
      <c r="C2457" s="98"/>
      <c r="E2457" s="7"/>
      <c r="F2457" s="7"/>
      <c r="G2457" s="4"/>
    </row>
    <row r="2458" spans="1:7" ht="12.75">
      <c r="A2458" s="98"/>
      <c r="B2458" s="98"/>
      <c r="C2458" s="98"/>
      <c r="E2458" s="7"/>
      <c r="F2458" s="7"/>
      <c r="G2458" s="4"/>
    </row>
    <row r="2459" spans="1:7" ht="12.75">
      <c r="A2459" s="98"/>
      <c r="B2459" s="98"/>
      <c r="C2459" s="98"/>
      <c r="E2459" s="7"/>
      <c r="F2459" s="7"/>
      <c r="G2459" s="4"/>
    </row>
    <row r="2460" spans="1:7" ht="12.75">
      <c r="A2460" s="98"/>
      <c r="B2460" s="98"/>
      <c r="C2460" s="98"/>
      <c r="E2460" s="7"/>
      <c r="F2460" s="7"/>
      <c r="G2460" s="4"/>
    </row>
    <row r="2461" spans="1:7" ht="12.75">
      <c r="A2461" s="98"/>
      <c r="B2461" s="98"/>
      <c r="C2461" s="98"/>
      <c r="E2461" s="7"/>
      <c r="F2461" s="7"/>
      <c r="G2461" s="4"/>
    </row>
    <row r="2462" spans="1:7" ht="12.75">
      <c r="A2462" s="98"/>
      <c r="B2462" s="98"/>
      <c r="C2462" s="98"/>
      <c r="E2462" s="7"/>
      <c r="F2462" s="7"/>
      <c r="G2462" s="4"/>
    </row>
    <row r="2463" spans="1:7" ht="12.75">
      <c r="A2463" s="98"/>
      <c r="B2463" s="98"/>
      <c r="C2463" s="98"/>
      <c r="E2463" s="7"/>
      <c r="F2463" s="7"/>
      <c r="G2463" s="4"/>
    </row>
    <row r="2464" spans="1:7" ht="12.75">
      <c r="A2464" s="98"/>
      <c r="B2464" s="98"/>
      <c r="C2464" s="98"/>
      <c r="E2464" s="7"/>
      <c r="F2464" s="7"/>
      <c r="G2464" s="4"/>
    </row>
    <row r="2465" spans="1:7" ht="12.75">
      <c r="A2465" s="98"/>
      <c r="B2465" s="98"/>
      <c r="C2465" s="98"/>
      <c r="E2465" s="7"/>
      <c r="F2465" s="7"/>
      <c r="G2465" s="4"/>
    </row>
    <row r="2466" spans="1:7" ht="12.75">
      <c r="A2466" s="98"/>
      <c r="B2466" s="98"/>
      <c r="C2466" s="98"/>
      <c r="E2466" s="7"/>
      <c r="F2466" s="7"/>
      <c r="G2466" s="4"/>
    </row>
    <row r="2467" spans="1:7" ht="12.75">
      <c r="A2467" s="98"/>
      <c r="B2467" s="98"/>
      <c r="C2467" s="98"/>
      <c r="E2467" s="7"/>
      <c r="F2467" s="7"/>
      <c r="G2467" s="4"/>
    </row>
    <row r="2468" spans="1:7" ht="12.75">
      <c r="A2468" s="98"/>
      <c r="B2468" s="98"/>
      <c r="C2468" s="98"/>
      <c r="E2468" s="7"/>
      <c r="F2468" s="7"/>
      <c r="G2468" s="4"/>
    </row>
    <row r="2469" spans="1:7" ht="12.75">
      <c r="A2469" s="98"/>
      <c r="B2469" s="98"/>
      <c r="C2469" s="98"/>
      <c r="E2469" s="7"/>
      <c r="F2469" s="7"/>
      <c r="G2469" s="4"/>
    </row>
    <row r="2470" spans="1:7" ht="12.75">
      <c r="A2470" s="98"/>
      <c r="B2470" s="98"/>
      <c r="C2470" s="98"/>
      <c r="E2470" s="7"/>
      <c r="F2470" s="7"/>
      <c r="G2470" s="4"/>
    </row>
    <row r="2471" spans="1:7" ht="12.75">
      <c r="A2471" s="98"/>
      <c r="B2471" s="98"/>
      <c r="C2471" s="98"/>
      <c r="E2471" s="7"/>
      <c r="F2471" s="7"/>
      <c r="G2471" s="4"/>
    </row>
    <row r="2472" spans="1:7" ht="12.75">
      <c r="A2472" s="98"/>
      <c r="B2472" s="98"/>
      <c r="C2472" s="98"/>
      <c r="E2472" s="7"/>
      <c r="F2472" s="7"/>
      <c r="G2472" s="4"/>
    </row>
    <row r="2473" spans="1:7" ht="12.75">
      <c r="A2473" s="98"/>
      <c r="B2473" s="98"/>
      <c r="C2473" s="98"/>
      <c r="E2473" s="7"/>
      <c r="F2473" s="7"/>
      <c r="G2473" s="4"/>
    </row>
    <row r="2474" spans="1:7" ht="12.75">
      <c r="A2474" s="98"/>
      <c r="B2474" s="98"/>
      <c r="C2474" s="98"/>
      <c r="E2474" s="7"/>
      <c r="F2474" s="7"/>
      <c r="G2474" s="4"/>
    </row>
    <row r="2475" spans="1:7" ht="12.75">
      <c r="A2475" s="98"/>
      <c r="B2475" s="98"/>
      <c r="C2475" s="98"/>
      <c r="E2475" s="7"/>
      <c r="F2475" s="7"/>
      <c r="G2475" s="4"/>
    </row>
    <row r="2476" spans="1:7" ht="12.75">
      <c r="A2476" s="98"/>
      <c r="B2476" s="98"/>
      <c r="C2476" s="98"/>
      <c r="E2476" s="7"/>
      <c r="F2476" s="7"/>
      <c r="G2476" s="4"/>
    </row>
    <row r="2477" spans="1:7" ht="12.75">
      <c r="A2477" s="98"/>
      <c r="B2477" s="98"/>
      <c r="C2477" s="98"/>
      <c r="E2477" s="7"/>
      <c r="F2477" s="7"/>
      <c r="G2477" s="4"/>
    </row>
    <row r="2478" spans="1:7" ht="12.75">
      <c r="A2478" s="98"/>
      <c r="B2478" s="98"/>
      <c r="C2478" s="98"/>
      <c r="E2478" s="7"/>
      <c r="F2478" s="7"/>
      <c r="G2478" s="4"/>
    </row>
    <row r="2479" spans="1:7" ht="12.75">
      <c r="A2479" s="98"/>
      <c r="B2479" s="98"/>
      <c r="C2479" s="98"/>
      <c r="E2479" s="7"/>
      <c r="F2479" s="7"/>
      <c r="G2479" s="4"/>
    </row>
    <row r="2480" spans="1:7" ht="12.75">
      <c r="A2480" s="98"/>
      <c r="B2480" s="98"/>
      <c r="C2480" s="98"/>
      <c r="E2480" s="7"/>
      <c r="F2480" s="7"/>
      <c r="G2480" s="4"/>
    </row>
    <row r="2481" spans="1:7" ht="12.75">
      <c r="A2481" s="98"/>
      <c r="B2481" s="98"/>
      <c r="C2481" s="98"/>
      <c r="E2481" s="7"/>
      <c r="F2481" s="7"/>
      <c r="G2481" s="4"/>
    </row>
    <row r="2482" spans="1:7" ht="12.75">
      <c r="A2482" s="98"/>
      <c r="B2482" s="98"/>
      <c r="C2482" s="98"/>
      <c r="E2482" s="7"/>
      <c r="F2482" s="7"/>
      <c r="G2482" s="4"/>
    </row>
    <row r="2483" spans="1:7" ht="12.75">
      <c r="A2483" s="98"/>
      <c r="B2483" s="98"/>
      <c r="C2483" s="98"/>
      <c r="E2483" s="7"/>
      <c r="F2483" s="7"/>
      <c r="G2483" s="4"/>
    </row>
    <row r="2484" spans="1:7" ht="12.75">
      <c r="A2484" s="98"/>
      <c r="B2484" s="98"/>
      <c r="C2484" s="98"/>
      <c r="E2484" s="7"/>
      <c r="F2484" s="7"/>
      <c r="G2484" s="4"/>
    </row>
    <row r="2485" spans="1:7" ht="12.75">
      <c r="A2485" s="98"/>
      <c r="B2485" s="98"/>
      <c r="C2485" s="98"/>
      <c r="E2485" s="7"/>
      <c r="F2485" s="7"/>
      <c r="G2485" s="4"/>
    </row>
    <row r="2486" spans="1:7" ht="12.75">
      <c r="A2486" s="98"/>
      <c r="B2486" s="98"/>
      <c r="C2486" s="98"/>
      <c r="E2486" s="7"/>
      <c r="F2486" s="7"/>
      <c r="G2486" s="4"/>
    </row>
    <row r="2487" spans="1:7" ht="12.75">
      <c r="A2487" s="98"/>
      <c r="B2487" s="98"/>
      <c r="C2487" s="98"/>
      <c r="E2487" s="7"/>
      <c r="F2487" s="7"/>
      <c r="G2487" s="4"/>
    </row>
    <row r="2488" spans="1:7" ht="12.75">
      <c r="A2488" s="98"/>
      <c r="B2488" s="98"/>
      <c r="C2488" s="98"/>
      <c r="E2488" s="7"/>
      <c r="F2488" s="7"/>
      <c r="G2488" s="4"/>
    </row>
    <row r="2489" spans="1:7" ht="12.75">
      <c r="A2489" s="98"/>
      <c r="B2489" s="98"/>
      <c r="C2489" s="98"/>
      <c r="E2489" s="7"/>
      <c r="F2489" s="7"/>
      <c r="G2489" s="4"/>
    </row>
    <row r="2490" spans="1:7" ht="12.75">
      <c r="A2490" s="98"/>
      <c r="B2490" s="98"/>
      <c r="C2490" s="98"/>
      <c r="E2490" s="7"/>
      <c r="F2490" s="7"/>
      <c r="G2490" s="4"/>
    </row>
    <row r="2491" spans="1:7" ht="12.75">
      <c r="A2491" s="98"/>
      <c r="B2491" s="98"/>
      <c r="C2491" s="98"/>
      <c r="E2491" s="7"/>
      <c r="F2491" s="7"/>
      <c r="G2491" s="4"/>
    </row>
    <row r="2492" spans="1:7" ht="12.75">
      <c r="A2492" s="98"/>
      <c r="B2492" s="98"/>
      <c r="C2492" s="98"/>
      <c r="E2492" s="7"/>
      <c r="F2492" s="7"/>
      <c r="G2492" s="4"/>
    </row>
    <row r="2493" spans="1:7" ht="12.75">
      <c r="A2493" s="98"/>
      <c r="B2493" s="98"/>
      <c r="C2493" s="98"/>
      <c r="E2493" s="7"/>
      <c r="F2493" s="7"/>
      <c r="G2493" s="4"/>
    </row>
    <row r="2494" spans="1:7" ht="12.75">
      <c r="A2494" s="98"/>
      <c r="B2494" s="98"/>
      <c r="C2494" s="98"/>
      <c r="E2494" s="7"/>
      <c r="F2494" s="7"/>
      <c r="G2494" s="4"/>
    </row>
    <row r="2495" spans="1:7" ht="12.75">
      <c r="A2495" s="98"/>
      <c r="B2495" s="98"/>
      <c r="C2495" s="98"/>
      <c r="E2495" s="7"/>
      <c r="F2495" s="7"/>
      <c r="G2495" s="4"/>
    </row>
    <row r="2496" spans="1:7" ht="12.75">
      <c r="A2496" s="98"/>
      <c r="B2496" s="98"/>
      <c r="C2496" s="98"/>
      <c r="E2496" s="7"/>
      <c r="F2496" s="7"/>
      <c r="G2496" s="4"/>
    </row>
    <row r="2497" spans="1:7" ht="12.75">
      <c r="A2497" s="98"/>
      <c r="B2497" s="98"/>
      <c r="C2497" s="98"/>
      <c r="E2497" s="7"/>
      <c r="F2497" s="7"/>
      <c r="G2497" s="4"/>
    </row>
    <row r="2498" spans="1:7" ht="12.75">
      <c r="A2498" s="98"/>
      <c r="B2498" s="98"/>
      <c r="C2498" s="98"/>
      <c r="E2498" s="7"/>
      <c r="F2498" s="7"/>
      <c r="G2498" s="4"/>
    </row>
    <row r="2499" spans="1:7" ht="12.75">
      <c r="A2499" s="98"/>
      <c r="B2499" s="98"/>
      <c r="C2499" s="98"/>
      <c r="E2499" s="7"/>
      <c r="F2499" s="7"/>
      <c r="G2499" s="4"/>
    </row>
    <row r="2500" spans="1:7" ht="12.75">
      <c r="A2500" s="98"/>
      <c r="B2500" s="98"/>
      <c r="C2500" s="98"/>
      <c r="E2500" s="7"/>
      <c r="F2500" s="7"/>
      <c r="G2500" s="4"/>
    </row>
    <row r="2501" spans="1:7" ht="12.75">
      <c r="A2501" s="98"/>
      <c r="B2501" s="98"/>
      <c r="C2501" s="98"/>
      <c r="E2501" s="7"/>
      <c r="F2501" s="7"/>
      <c r="G2501" s="4"/>
    </row>
    <row r="2502" spans="1:7" ht="12.75">
      <c r="A2502" s="98"/>
      <c r="B2502" s="98"/>
      <c r="C2502" s="98"/>
      <c r="E2502" s="7"/>
      <c r="F2502" s="7"/>
      <c r="G2502" s="4"/>
    </row>
    <row r="2503" spans="1:7" ht="12.75">
      <c r="A2503" s="98"/>
      <c r="B2503" s="98"/>
      <c r="C2503" s="98"/>
      <c r="E2503" s="7"/>
      <c r="F2503" s="7"/>
      <c r="G2503" s="4"/>
    </row>
    <row r="2504" spans="1:7" ht="12.75">
      <c r="A2504" s="98"/>
      <c r="B2504" s="98"/>
      <c r="C2504" s="98"/>
      <c r="E2504" s="7"/>
      <c r="F2504" s="7"/>
      <c r="G2504" s="4"/>
    </row>
    <row r="2505" spans="1:7" ht="12.75">
      <c r="A2505" s="98"/>
      <c r="B2505" s="98"/>
      <c r="C2505" s="98"/>
      <c r="E2505" s="7"/>
      <c r="F2505" s="7"/>
      <c r="G2505" s="4"/>
    </row>
    <row r="2506" spans="1:7" ht="12.75">
      <c r="A2506" s="98"/>
      <c r="B2506" s="98"/>
      <c r="C2506" s="98"/>
      <c r="E2506" s="7"/>
      <c r="F2506" s="7"/>
      <c r="G2506" s="4"/>
    </row>
    <row r="2507" spans="1:7" ht="12.75">
      <c r="A2507" s="98"/>
      <c r="B2507" s="98"/>
      <c r="C2507" s="98"/>
      <c r="E2507" s="7"/>
      <c r="F2507" s="7"/>
      <c r="G2507" s="4"/>
    </row>
    <row r="2508" spans="1:7" ht="12.75">
      <c r="A2508" s="98"/>
      <c r="B2508" s="98"/>
      <c r="C2508" s="98"/>
      <c r="E2508" s="7"/>
      <c r="F2508" s="7"/>
      <c r="G2508" s="4"/>
    </row>
    <row r="2509" spans="1:7" ht="12.75">
      <c r="A2509" s="98"/>
      <c r="B2509" s="98"/>
      <c r="C2509" s="98"/>
      <c r="E2509" s="7"/>
      <c r="F2509" s="7"/>
      <c r="G2509" s="4"/>
    </row>
    <row r="2510" spans="1:7" ht="12.75">
      <c r="A2510" s="98"/>
      <c r="B2510" s="98"/>
      <c r="C2510" s="98"/>
      <c r="E2510" s="7"/>
      <c r="F2510" s="7"/>
      <c r="G2510" s="4"/>
    </row>
    <row r="2511" spans="1:7" ht="12.75">
      <c r="A2511" s="98"/>
      <c r="B2511" s="98"/>
      <c r="C2511" s="98"/>
      <c r="E2511" s="7"/>
      <c r="F2511" s="7"/>
      <c r="G2511" s="4"/>
    </row>
    <row r="2512" spans="1:7" ht="12.75">
      <c r="A2512" s="98"/>
      <c r="B2512" s="98"/>
      <c r="C2512" s="98"/>
      <c r="E2512" s="7"/>
      <c r="F2512" s="7"/>
      <c r="G2512" s="4"/>
    </row>
    <row r="2513" spans="1:7" ht="12.75">
      <c r="A2513" s="98"/>
      <c r="B2513" s="98"/>
      <c r="C2513" s="98"/>
      <c r="E2513" s="7"/>
      <c r="F2513" s="7"/>
      <c r="G2513" s="4"/>
    </row>
    <row r="2514" spans="1:7" ht="12.75">
      <c r="A2514" s="98"/>
      <c r="B2514" s="98"/>
      <c r="C2514" s="98"/>
      <c r="E2514" s="7"/>
      <c r="F2514" s="7"/>
      <c r="G2514" s="4"/>
    </row>
    <row r="2515" spans="1:7" ht="12.75">
      <c r="A2515" s="98"/>
      <c r="B2515" s="98"/>
      <c r="C2515" s="98"/>
      <c r="E2515" s="7"/>
      <c r="F2515" s="7"/>
      <c r="G2515" s="4"/>
    </row>
    <row r="2516" spans="1:7" ht="12.75">
      <c r="A2516" s="98"/>
      <c r="B2516" s="98"/>
      <c r="C2516" s="98"/>
      <c r="E2516" s="7"/>
      <c r="F2516" s="7"/>
      <c r="G2516" s="4"/>
    </row>
    <row r="2517" spans="1:7" ht="12.75">
      <c r="A2517" s="98"/>
      <c r="B2517" s="98"/>
      <c r="C2517" s="98"/>
      <c r="E2517" s="7"/>
      <c r="F2517" s="7"/>
      <c r="G2517" s="4"/>
    </row>
    <row r="2518" spans="1:7" ht="12.75">
      <c r="A2518" s="98"/>
      <c r="B2518" s="98"/>
      <c r="C2518" s="98"/>
      <c r="E2518" s="7"/>
      <c r="F2518" s="7"/>
      <c r="G2518" s="4"/>
    </row>
    <row r="2519" spans="1:7" ht="12.75">
      <c r="A2519" s="98"/>
      <c r="B2519" s="98"/>
      <c r="C2519" s="98"/>
      <c r="E2519" s="7"/>
      <c r="F2519" s="7"/>
      <c r="G2519" s="4"/>
    </row>
    <row r="2520" spans="1:7" ht="12.75">
      <c r="A2520" s="98"/>
      <c r="B2520" s="98"/>
      <c r="C2520" s="98"/>
      <c r="E2520" s="7"/>
      <c r="F2520" s="7"/>
      <c r="G2520" s="4"/>
    </row>
    <row r="2521" spans="1:7" ht="12.75">
      <c r="A2521" s="98"/>
      <c r="B2521" s="98"/>
      <c r="C2521" s="98"/>
      <c r="E2521" s="7"/>
      <c r="F2521" s="7"/>
      <c r="G2521" s="4"/>
    </row>
    <row r="2522" spans="1:7" ht="12.75">
      <c r="A2522" s="98"/>
      <c r="B2522" s="98"/>
      <c r="C2522" s="98"/>
      <c r="E2522" s="7"/>
      <c r="F2522" s="7"/>
      <c r="G2522" s="4"/>
    </row>
    <row r="2523" spans="1:7" ht="12.75">
      <c r="A2523" s="98"/>
      <c r="B2523" s="98"/>
      <c r="C2523" s="98"/>
      <c r="E2523" s="7"/>
      <c r="F2523" s="7"/>
      <c r="G2523" s="4"/>
    </row>
    <row r="2524" spans="1:7" ht="12.75">
      <c r="A2524" s="98"/>
      <c r="B2524" s="98"/>
      <c r="C2524" s="98"/>
      <c r="E2524" s="7"/>
      <c r="F2524" s="7"/>
      <c r="G2524" s="4"/>
    </row>
    <row r="2525" spans="1:7" ht="12.75">
      <c r="A2525" s="98"/>
      <c r="B2525" s="98"/>
      <c r="C2525" s="98"/>
      <c r="E2525" s="7"/>
      <c r="F2525" s="7"/>
      <c r="G2525" s="4"/>
    </row>
    <row r="2526" spans="1:7" ht="12.75">
      <c r="A2526" s="98"/>
      <c r="B2526" s="98"/>
      <c r="C2526" s="98"/>
      <c r="E2526" s="7"/>
      <c r="F2526" s="7"/>
      <c r="G2526" s="4"/>
    </row>
    <row r="2527" spans="1:7" ht="12.75">
      <c r="A2527" s="98"/>
      <c r="B2527" s="98"/>
      <c r="C2527" s="98"/>
      <c r="E2527" s="7"/>
      <c r="F2527" s="7"/>
      <c r="G2527" s="4"/>
    </row>
    <row r="2528" spans="1:7" ht="12.75">
      <c r="A2528" s="98"/>
      <c r="B2528" s="98"/>
      <c r="C2528" s="98"/>
      <c r="E2528" s="7"/>
      <c r="F2528" s="7"/>
      <c r="G2528" s="4"/>
    </row>
    <row r="2529" spans="1:7" ht="12.75">
      <c r="A2529" s="98"/>
      <c r="B2529" s="98"/>
      <c r="C2529" s="98"/>
      <c r="E2529" s="7"/>
      <c r="F2529" s="7"/>
      <c r="G2529" s="4"/>
    </row>
    <row r="2530" spans="1:7" ht="12.75">
      <c r="A2530" s="98"/>
      <c r="B2530" s="98"/>
      <c r="C2530" s="98"/>
      <c r="E2530" s="7"/>
      <c r="F2530" s="7"/>
      <c r="G2530" s="4"/>
    </row>
    <row r="2531" spans="1:7" ht="12.75">
      <c r="A2531" s="98"/>
      <c r="B2531" s="98"/>
      <c r="C2531" s="98"/>
      <c r="E2531" s="7"/>
      <c r="F2531" s="7"/>
      <c r="G2531"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X1036"/>
  <sheetViews>
    <sheetView workbookViewId="0">
      <selection activeCell="A17" sqref="A17"/>
    </sheetView>
  </sheetViews>
  <sheetFormatPr defaultColWidth="14.42578125" defaultRowHeight="15" customHeight="1"/>
  <cols>
    <col min="1" max="1" width="28.28515625" customWidth="1"/>
  </cols>
  <sheetData>
    <row r="1" spans="1:24" ht="15" customHeight="1">
      <c r="A1" s="101" t="s">
        <v>2263</v>
      </c>
      <c r="B1" s="96"/>
      <c r="C1" s="97"/>
      <c r="D1" s="97"/>
      <c r="E1" s="97"/>
      <c r="F1" s="97"/>
      <c r="G1" s="97"/>
      <c r="H1" s="5"/>
      <c r="I1" s="5"/>
      <c r="J1" s="5"/>
      <c r="K1" s="5"/>
      <c r="L1" s="5"/>
      <c r="M1" s="5"/>
      <c r="N1" s="5"/>
      <c r="O1" s="5"/>
      <c r="P1" s="5"/>
      <c r="Q1" s="5"/>
      <c r="R1" s="5"/>
      <c r="S1" s="5"/>
      <c r="T1" s="5"/>
      <c r="U1" s="5"/>
      <c r="V1" s="5"/>
      <c r="W1" s="5"/>
      <c r="X1" s="5"/>
    </row>
    <row r="2" spans="1:24" ht="15" customHeight="1">
      <c r="A2" s="96"/>
      <c r="B2" s="96"/>
      <c r="C2" s="97"/>
      <c r="D2" s="97"/>
      <c r="E2" s="97"/>
      <c r="F2" s="97"/>
      <c r="G2" s="97"/>
      <c r="H2" s="5"/>
      <c r="I2" s="5"/>
      <c r="J2" s="5"/>
      <c r="K2" s="5"/>
      <c r="L2" s="5"/>
      <c r="M2" s="5"/>
      <c r="N2" s="5"/>
      <c r="O2" s="5"/>
      <c r="P2" s="5"/>
      <c r="Q2" s="5"/>
      <c r="R2" s="5"/>
      <c r="S2" s="5"/>
      <c r="T2" s="5"/>
      <c r="U2" s="5"/>
      <c r="V2" s="5"/>
      <c r="W2" s="5"/>
      <c r="X2" s="5"/>
    </row>
    <row r="3" spans="1:24" ht="15" customHeight="1">
      <c r="A3" s="96" t="s">
        <v>2264</v>
      </c>
      <c r="B3" s="96" t="s">
        <v>2265</v>
      </c>
      <c r="C3" s="97"/>
      <c r="D3" s="97"/>
      <c r="E3" s="97"/>
      <c r="F3" s="97"/>
      <c r="G3" s="97"/>
      <c r="H3" s="5"/>
      <c r="I3" s="5"/>
      <c r="J3" s="5"/>
      <c r="K3" s="5"/>
      <c r="L3" s="5"/>
      <c r="M3" s="5"/>
      <c r="N3" s="5"/>
      <c r="O3" s="5"/>
      <c r="P3" s="5"/>
      <c r="Q3" s="5"/>
      <c r="R3" s="5"/>
      <c r="S3" s="5"/>
      <c r="T3" s="5"/>
      <c r="U3" s="5"/>
      <c r="V3" s="5"/>
      <c r="W3" s="5"/>
      <c r="X3" s="5"/>
    </row>
    <row r="4" spans="1:24" ht="38.25">
      <c r="A4" s="96" t="s">
        <v>304</v>
      </c>
      <c r="B4" s="97" t="s">
        <v>308</v>
      </c>
      <c r="C4" s="97" t="s">
        <v>309</v>
      </c>
      <c r="D4" s="97" t="s">
        <v>310</v>
      </c>
    </row>
    <row r="5" spans="1:24" ht="12.75">
      <c r="A5" s="98" t="s">
        <v>2266</v>
      </c>
      <c r="B5" s="7">
        <v>75</v>
      </c>
      <c r="C5" s="7">
        <v>221</v>
      </c>
      <c r="D5" s="4" t="s">
        <v>313</v>
      </c>
    </row>
    <row r="6" spans="1:24" ht="12.75">
      <c r="A6" s="98" t="s">
        <v>2267</v>
      </c>
      <c r="B6" s="7">
        <v>12</v>
      </c>
      <c r="C6" s="7">
        <v>28</v>
      </c>
      <c r="D6" s="4" t="s">
        <v>313</v>
      </c>
    </row>
    <row r="7" spans="1:24" ht="12.75">
      <c r="A7" s="98" t="s">
        <v>2268</v>
      </c>
      <c r="B7" s="7">
        <v>20</v>
      </c>
      <c r="C7" s="7">
        <v>32</v>
      </c>
      <c r="D7" s="4" t="s">
        <v>313</v>
      </c>
    </row>
    <row r="8" spans="1:24" ht="12.75">
      <c r="A8" s="98"/>
      <c r="B8" s="102"/>
      <c r="C8" s="98"/>
      <c r="D8" s="4"/>
      <c r="E8" s="4"/>
    </row>
    <row r="9" spans="1:24" ht="12.75">
      <c r="A9" s="103" t="s">
        <v>2269</v>
      </c>
      <c r="B9" s="103" t="s">
        <v>2270</v>
      </c>
      <c r="C9" s="103"/>
      <c r="D9" s="103"/>
      <c r="E9" s="4"/>
    </row>
    <row r="10" spans="1:24" ht="12.75">
      <c r="A10" s="103"/>
      <c r="B10" s="103" t="s">
        <v>2271</v>
      </c>
      <c r="C10" s="103" t="s">
        <v>2272</v>
      </c>
      <c r="D10" s="103" t="s">
        <v>2273</v>
      </c>
      <c r="E10" s="4"/>
    </row>
    <row r="11" spans="1:24" ht="12.75">
      <c r="A11" s="98" t="s">
        <v>2274</v>
      </c>
      <c r="B11" s="104">
        <f>(1/3)*453.592</f>
        <v>151.19733333333332</v>
      </c>
      <c r="C11" s="4">
        <v>150</v>
      </c>
      <c r="D11" s="98" t="s">
        <v>2275</v>
      </c>
      <c r="E11" s="4"/>
    </row>
    <row r="12" spans="1:24" ht="12.75">
      <c r="A12" s="98" t="s">
        <v>2276</v>
      </c>
      <c r="B12" s="104">
        <f>(0.5+1.35)/2*1000</f>
        <v>925</v>
      </c>
      <c r="C12" s="4">
        <f>(C15-C11-C13)/2</f>
        <v>51.25</v>
      </c>
      <c r="D12" s="98" t="s">
        <v>2277</v>
      </c>
      <c r="E12" s="4"/>
    </row>
    <row r="13" spans="1:24" ht="12.75">
      <c r="A13" s="98" t="s">
        <v>2278</v>
      </c>
      <c r="B13" s="104">
        <f>2*1000</f>
        <v>2000</v>
      </c>
      <c r="C13" s="4">
        <v>60</v>
      </c>
      <c r="D13" s="98" t="s">
        <v>2279</v>
      </c>
      <c r="E13" s="4"/>
    </row>
    <row r="14" spans="1:24" ht="12.75">
      <c r="A14" s="98" t="s">
        <v>2280</v>
      </c>
      <c r="B14" s="104">
        <f>8*453.592</f>
        <v>3628.7359999999999</v>
      </c>
      <c r="C14" s="105">
        <f>(C15-C11-C13)/2</f>
        <v>51.25</v>
      </c>
      <c r="D14" s="98" t="s">
        <v>2281</v>
      </c>
      <c r="E14" s="4"/>
    </row>
    <row r="15" spans="1:24" ht="12.75">
      <c r="A15" s="98" t="s">
        <v>84</v>
      </c>
      <c r="B15" s="104">
        <f>SUMPRODUCT(B11:B14,C11:C14/C15)</f>
        <v>1203.387424</v>
      </c>
      <c r="C15" s="105">
        <f>(350+275)/2</f>
        <v>312.5</v>
      </c>
      <c r="D15" s="4"/>
      <c r="E15" s="4"/>
    </row>
    <row r="16" spans="1:24" ht="12.75">
      <c r="A16" s="98"/>
      <c r="B16" s="102"/>
      <c r="C16" s="98"/>
      <c r="D16" s="4"/>
      <c r="E16" s="4"/>
    </row>
    <row r="17" spans="1:5" ht="12.75">
      <c r="A17" s="96"/>
      <c r="B17" s="102"/>
      <c r="C17" s="98"/>
      <c r="D17" s="4"/>
      <c r="E17" s="4"/>
    </row>
    <row r="18" spans="1:5" ht="12.75">
      <c r="B18" s="103"/>
      <c r="C18" s="96"/>
      <c r="D18" s="4"/>
      <c r="E18" s="4"/>
    </row>
    <row r="19" spans="1:5" ht="12.75">
      <c r="A19" s="98"/>
      <c r="B19" s="98"/>
      <c r="C19" s="98"/>
      <c r="D19" s="4"/>
      <c r="E19" s="4"/>
    </row>
    <row r="20" spans="1:5" ht="12.75">
      <c r="A20" s="98"/>
      <c r="B20" s="98"/>
      <c r="C20" s="98"/>
      <c r="D20" s="4"/>
      <c r="E20" s="4"/>
    </row>
    <row r="21" spans="1:5" ht="12.75">
      <c r="A21" s="98"/>
      <c r="B21" s="98"/>
      <c r="C21" s="98"/>
      <c r="D21" s="4"/>
      <c r="E21" s="4"/>
    </row>
    <row r="22" spans="1:5" ht="12.75">
      <c r="A22" s="98"/>
      <c r="B22" s="98"/>
      <c r="C22" s="98"/>
      <c r="D22" s="4"/>
      <c r="E22" s="4"/>
    </row>
    <row r="23" spans="1:5" ht="12.75">
      <c r="A23" s="98"/>
      <c r="B23" s="98"/>
      <c r="C23" s="98"/>
      <c r="D23" s="4"/>
      <c r="E23" s="4"/>
    </row>
    <row r="24" spans="1:5" ht="12.75">
      <c r="A24" s="98"/>
      <c r="B24" s="98"/>
      <c r="C24" s="98"/>
      <c r="D24" s="4"/>
      <c r="E24" s="4"/>
    </row>
    <row r="25" spans="1:5" ht="12.75">
      <c r="A25" s="98"/>
      <c r="B25" s="98"/>
      <c r="C25" s="98"/>
      <c r="D25" s="4"/>
      <c r="E25" s="4"/>
    </row>
    <row r="26" spans="1:5" ht="12.75">
      <c r="A26" s="98"/>
      <c r="B26" s="98"/>
      <c r="C26" s="98"/>
      <c r="D26" s="4"/>
      <c r="E26" s="4"/>
    </row>
    <row r="27" spans="1:5" ht="12.75">
      <c r="A27" s="98"/>
      <c r="B27" s="98"/>
      <c r="C27" s="98"/>
      <c r="D27" s="4"/>
      <c r="E27" s="4"/>
    </row>
    <row r="28" spans="1:5" ht="12.75">
      <c r="A28" s="98"/>
      <c r="B28" s="98"/>
      <c r="C28" s="98"/>
      <c r="D28" s="4"/>
      <c r="E28" s="4"/>
    </row>
    <row r="29" spans="1:5" ht="12.75">
      <c r="A29" s="98"/>
      <c r="B29" s="98"/>
      <c r="C29" s="98"/>
      <c r="D29" s="4"/>
      <c r="E29" s="4"/>
    </row>
    <row r="30" spans="1:5" ht="12.75">
      <c r="A30" s="98"/>
      <c r="B30" s="98"/>
      <c r="C30" s="98"/>
      <c r="D30" s="4"/>
      <c r="E30" s="4"/>
    </row>
    <row r="31" spans="1:5" ht="12.75">
      <c r="A31" s="98"/>
      <c r="B31" s="98"/>
      <c r="C31" s="98"/>
      <c r="D31" s="4"/>
      <c r="E31" s="4"/>
    </row>
    <row r="32" spans="1:5" ht="12.75">
      <c r="A32" s="98"/>
      <c r="B32" s="98"/>
      <c r="C32" s="98"/>
      <c r="D32" s="4"/>
      <c r="E32" s="4"/>
    </row>
    <row r="33" spans="1:5" ht="12.75">
      <c r="A33" s="98"/>
      <c r="B33" s="98"/>
      <c r="C33" s="98"/>
      <c r="D33" s="4"/>
      <c r="E33" s="4"/>
    </row>
    <row r="34" spans="1:5" ht="12.75">
      <c r="A34" s="98"/>
      <c r="B34" s="98"/>
      <c r="C34" s="98"/>
      <c r="D34" s="4"/>
      <c r="E34" s="4"/>
    </row>
    <row r="35" spans="1:5" ht="12.75">
      <c r="A35" s="98"/>
      <c r="B35" s="98"/>
      <c r="C35" s="98"/>
      <c r="D35" s="4"/>
      <c r="E35" s="4"/>
    </row>
    <row r="36" spans="1:5" ht="12.75">
      <c r="A36" s="98"/>
      <c r="B36" s="98"/>
      <c r="C36" s="98"/>
      <c r="D36" s="4"/>
      <c r="E36" s="4"/>
    </row>
    <row r="37" spans="1:5" ht="12.75">
      <c r="A37" s="106"/>
      <c r="B37" s="106"/>
      <c r="C37" s="106"/>
    </row>
    <row r="38" spans="1:5" ht="12.75">
      <c r="A38" s="106"/>
      <c r="B38" s="106"/>
      <c r="C38" s="106"/>
    </row>
    <row r="39" spans="1:5" ht="12.75">
      <c r="A39" s="106"/>
      <c r="B39" s="106"/>
      <c r="C39" s="106"/>
    </row>
    <row r="40" spans="1:5" ht="12.75">
      <c r="A40" s="106"/>
      <c r="B40" s="106"/>
      <c r="C40" s="106"/>
    </row>
    <row r="41" spans="1:5" ht="12.75">
      <c r="A41" s="106"/>
      <c r="B41" s="106"/>
      <c r="C41" s="106"/>
    </row>
    <row r="42" spans="1:5" ht="12.75">
      <c r="A42" s="106"/>
      <c r="B42" s="106"/>
      <c r="C42" s="106"/>
    </row>
    <row r="43" spans="1:5" ht="12.75">
      <c r="A43" s="106"/>
      <c r="B43" s="106"/>
      <c r="C43" s="106"/>
    </row>
    <row r="44" spans="1:5" ht="12.75">
      <c r="A44" s="106"/>
      <c r="B44" s="106"/>
      <c r="C44" s="106"/>
    </row>
    <row r="45" spans="1:5" ht="12.75">
      <c r="A45" s="106"/>
      <c r="B45" s="106"/>
      <c r="C45" s="106"/>
    </row>
    <row r="46" spans="1:5" ht="12.75">
      <c r="A46" s="106"/>
      <c r="B46" s="106"/>
      <c r="C46" s="106"/>
    </row>
    <row r="47" spans="1:5" ht="12.75">
      <c r="A47" s="106"/>
      <c r="B47" s="106"/>
      <c r="C47" s="106"/>
    </row>
    <row r="48" spans="1:5" ht="12.75">
      <c r="A48" s="106"/>
      <c r="B48" s="106"/>
      <c r="C48" s="106"/>
    </row>
    <row r="49" spans="1:3" ht="12.75">
      <c r="A49" s="106"/>
      <c r="B49" s="106"/>
      <c r="C49" s="106"/>
    </row>
    <row r="50" spans="1:3" ht="12.75">
      <c r="A50" s="106"/>
      <c r="B50" s="106"/>
      <c r="C50" s="106"/>
    </row>
    <row r="51" spans="1:3" ht="12.75">
      <c r="A51" s="106"/>
      <c r="B51" s="106"/>
      <c r="C51" s="106"/>
    </row>
    <row r="52" spans="1:3" ht="12.75">
      <c r="A52" s="106"/>
      <c r="B52" s="106"/>
      <c r="C52" s="106"/>
    </row>
    <row r="53" spans="1:3" ht="12.75">
      <c r="A53" s="106"/>
      <c r="B53" s="106"/>
      <c r="C53" s="106"/>
    </row>
    <row r="54" spans="1:3" ht="12.75">
      <c r="A54" s="106"/>
      <c r="B54" s="106"/>
      <c r="C54" s="106"/>
    </row>
    <row r="55" spans="1:3" ht="12.75">
      <c r="A55" s="106"/>
      <c r="B55" s="106"/>
      <c r="C55" s="106"/>
    </row>
    <row r="56" spans="1:3" ht="12.75">
      <c r="A56" s="106"/>
      <c r="B56" s="106"/>
      <c r="C56" s="106"/>
    </row>
    <row r="57" spans="1:3" ht="12.75">
      <c r="A57" s="106"/>
      <c r="B57" s="106"/>
      <c r="C57" s="106"/>
    </row>
    <row r="58" spans="1:3" ht="12.75">
      <c r="A58" s="106"/>
      <c r="B58" s="106"/>
      <c r="C58" s="106"/>
    </row>
    <row r="59" spans="1:3" ht="12.75">
      <c r="A59" s="106"/>
      <c r="B59" s="106"/>
      <c r="C59" s="106"/>
    </row>
    <row r="60" spans="1:3" ht="12.75">
      <c r="A60" s="106"/>
      <c r="B60" s="106"/>
      <c r="C60" s="106"/>
    </row>
    <row r="61" spans="1:3" ht="12.75">
      <c r="A61" s="106"/>
      <c r="B61" s="106"/>
      <c r="C61" s="106"/>
    </row>
    <row r="62" spans="1:3" ht="12.75">
      <c r="A62" s="106"/>
      <c r="B62" s="106"/>
      <c r="C62" s="106"/>
    </row>
    <row r="63" spans="1:3" ht="12.75">
      <c r="A63" s="106"/>
      <c r="B63" s="106"/>
      <c r="C63" s="106"/>
    </row>
    <row r="64" spans="1:3" ht="12.75">
      <c r="A64" s="106"/>
      <c r="B64" s="106"/>
      <c r="C64" s="106"/>
    </row>
    <row r="65" spans="1:3" ht="12.75">
      <c r="A65" s="106"/>
      <c r="B65" s="106"/>
      <c r="C65" s="106"/>
    </row>
    <row r="66" spans="1:3" ht="12.75">
      <c r="A66" s="106"/>
      <c r="B66" s="106"/>
      <c r="C66" s="106"/>
    </row>
    <row r="67" spans="1:3" ht="12.75">
      <c r="A67" s="106"/>
      <c r="B67" s="106"/>
      <c r="C67" s="106"/>
    </row>
    <row r="68" spans="1:3" ht="12.75">
      <c r="A68" s="106"/>
      <c r="B68" s="106"/>
      <c r="C68" s="106"/>
    </row>
    <row r="69" spans="1:3" ht="12.75">
      <c r="A69" s="106"/>
      <c r="B69" s="106"/>
      <c r="C69" s="106"/>
    </row>
    <row r="70" spans="1:3" ht="12.75">
      <c r="A70" s="106"/>
      <c r="B70" s="106"/>
      <c r="C70" s="106"/>
    </row>
    <row r="71" spans="1:3" ht="12.75">
      <c r="A71" s="106"/>
      <c r="B71" s="106"/>
      <c r="C71" s="106"/>
    </row>
    <row r="72" spans="1:3" ht="12.75">
      <c r="A72" s="106"/>
      <c r="B72" s="106"/>
      <c r="C72" s="106"/>
    </row>
    <row r="73" spans="1:3" ht="12.75">
      <c r="A73" s="106"/>
      <c r="B73" s="106"/>
      <c r="C73" s="106"/>
    </row>
    <row r="74" spans="1:3" ht="12.75">
      <c r="A74" s="106"/>
      <c r="B74" s="106"/>
      <c r="C74" s="106"/>
    </row>
    <row r="75" spans="1:3" ht="12.75">
      <c r="A75" s="106"/>
      <c r="B75" s="106"/>
      <c r="C75" s="106"/>
    </row>
    <row r="76" spans="1:3" ht="12.75">
      <c r="A76" s="106"/>
      <c r="B76" s="106"/>
      <c r="C76" s="106"/>
    </row>
    <row r="77" spans="1:3" ht="12.75">
      <c r="A77" s="106"/>
      <c r="B77" s="106"/>
      <c r="C77" s="106"/>
    </row>
    <row r="78" spans="1:3" ht="12.75">
      <c r="A78" s="106"/>
      <c r="B78" s="106"/>
      <c r="C78" s="106"/>
    </row>
    <row r="79" spans="1:3" ht="12.75">
      <c r="A79" s="106"/>
      <c r="B79" s="106"/>
      <c r="C79" s="106"/>
    </row>
    <row r="80" spans="1:3" ht="12.75">
      <c r="A80" s="106"/>
      <c r="B80" s="106"/>
      <c r="C80" s="106"/>
    </row>
    <row r="81" spans="1:3" ht="12.75">
      <c r="A81" s="106"/>
      <c r="B81" s="106"/>
      <c r="C81" s="106"/>
    </row>
    <row r="82" spans="1:3" ht="12.75">
      <c r="A82" s="106"/>
      <c r="B82" s="106"/>
      <c r="C82" s="106"/>
    </row>
    <row r="83" spans="1:3" ht="12.75">
      <c r="A83" s="106"/>
      <c r="B83" s="106"/>
      <c r="C83" s="106"/>
    </row>
    <row r="84" spans="1:3" ht="12.75">
      <c r="A84" s="106"/>
      <c r="B84" s="106"/>
      <c r="C84" s="106"/>
    </row>
    <row r="85" spans="1:3" ht="12.75">
      <c r="A85" s="106"/>
      <c r="B85" s="106"/>
      <c r="C85" s="106"/>
    </row>
    <row r="86" spans="1:3" ht="12.75">
      <c r="A86" s="106"/>
      <c r="B86" s="106"/>
      <c r="C86" s="106"/>
    </row>
    <row r="87" spans="1:3" ht="12.75">
      <c r="A87" s="106"/>
      <c r="B87" s="106"/>
      <c r="C87" s="106"/>
    </row>
    <row r="88" spans="1:3" ht="12.75">
      <c r="A88" s="106"/>
      <c r="B88" s="106"/>
      <c r="C88" s="106"/>
    </row>
    <row r="89" spans="1:3" ht="12.75">
      <c r="A89" s="106"/>
      <c r="B89" s="106"/>
      <c r="C89" s="106"/>
    </row>
    <row r="90" spans="1:3" ht="12.75">
      <c r="A90" s="106"/>
      <c r="B90" s="106"/>
      <c r="C90" s="106"/>
    </row>
    <row r="91" spans="1:3" ht="12.75">
      <c r="A91" s="106"/>
      <c r="B91" s="106"/>
      <c r="C91" s="106"/>
    </row>
    <row r="92" spans="1:3" ht="12.75">
      <c r="A92" s="106"/>
      <c r="B92" s="106"/>
      <c r="C92" s="106"/>
    </row>
    <row r="93" spans="1:3" ht="12.75">
      <c r="A93" s="106"/>
      <c r="B93" s="106"/>
      <c r="C93" s="106"/>
    </row>
    <row r="94" spans="1:3" ht="12.75">
      <c r="A94" s="106"/>
      <c r="B94" s="106"/>
      <c r="C94" s="106"/>
    </row>
    <row r="95" spans="1:3" ht="12.75">
      <c r="A95" s="106"/>
      <c r="B95" s="106"/>
      <c r="C95" s="106"/>
    </row>
    <row r="96" spans="1:3" ht="12.75">
      <c r="A96" s="106"/>
      <c r="B96" s="106"/>
      <c r="C96" s="106"/>
    </row>
    <row r="97" spans="1:3" ht="12.75">
      <c r="A97" s="106"/>
      <c r="B97" s="106"/>
      <c r="C97" s="106"/>
    </row>
    <row r="98" spans="1:3" ht="12.75">
      <c r="A98" s="106"/>
      <c r="B98" s="106"/>
      <c r="C98" s="106"/>
    </row>
    <row r="99" spans="1:3" ht="12.75">
      <c r="A99" s="106"/>
      <c r="B99" s="106"/>
      <c r="C99" s="106"/>
    </row>
    <row r="100" spans="1:3" ht="12.75">
      <c r="A100" s="106"/>
      <c r="B100" s="106"/>
      <c r="C100" s="106"/>
    </row>
    <row r="101" spans="1:3" ht="12.75">
      <c r="A101" s="106"/>
      <c r="B101" s="106"/>
      <c r="C101" s="106"/>
    </row>
    <row r="102" spans="1:3" ht="12.75">
      <c r="A102" s="106"/>
      <c r="B102" s="106"/>
      <c r="C102" s="106"/>
    </row>
    <row r="103" spans="1:3" ht="12.75">
      <c r="A103" s="106"/>
      <c r="B103" s="106"/>
      <c r="C103" s="106"/>
    </row>
    <row r="104" spans="1:3" ht="12.75">
      <c r="A104" s="106"/>
      <c r="B104" s="106"/>
      <c r="C104" s="106"/>
    </row>
    <row r="105" spans="1:3" ht="12.75">
      <c r="A105" s="106"/>
      <c r="B105" s="106"/>
      <c r="C105" s="106"/>
    </row>
    <row r="106" spans="1:3" ht="12.75">
      <c r="A106" s="106"/>
      <c r="B106" s="106"/>
      <c r="C106" s="106"/>
    </row>
    <row r="107" spans="1:3" ht="12.75">
      <c r="A107" s="106"/>
      <c r="B107" s="106"/>
      <c r="C107" s="106"/>
    </row>
    <row r="108" spans="1:3" ht="12.75">
      <c r="A108" s="106"/>
      <c r="B108" s="106"/>
      <c r="C108" s="106"/>
    </row>
    <row r="109" spans="1:3" ht="12.75">
      <c r="A109" s="106"/>
      <c r="B109" s="106"/>
      <c r="C109" s="106"/>
    </row>
    <row r="110" spans="1:3" ht="12.75">
      <c r="A110" s="106"/>
      <c r="B110" s="106"/>
      <c r="C110" s="106"/>
    </row>
    <row r="111" spans="1:3" ht="12.75">
      <c r="A111" s="106"/>
      <c r="B111" s="106"/>
      <c r="C111" s="106"/>
    </row>
    <row r="112" spans="1:3" ht="12.75">
      <c r="A112" s="106"/>
      <c r="B112" s="106"/>
      <c r="C112" s="106"/>
    </row>
    <row r="113" spans="1:3" ht="12.75">
      <c r="A113" s="106"/>
      <c r="B113" s="106"/>
      <c r="C113" s="106"/>
    </row>
    <row r="114" spans="1:3" ht="12.75">
      <c r="A114" s="106"/>
      <c r="B114" s="106"/>
      <c r="C114" s="106"/>
    </row>
    <row r="115" spans="1:3" ht="12.75">
      <c r="A115" s="106"/>
      <c r="B115" s="106"/>
      <c r="C115" s="106"/>
    </row>
    <row r="116" spans="1:3" ht="12.75">
      <c r="A116" s="106"/>
      <c r="B116" s="106"/>
      <c r="C116" s="106"/>
    </row>
    <row r="117" spans="1:3" ht="12.75">
      <c r="A117" s="106"/>
      <c r="B117" s="106"/>
      <c r="C117" s="106"/>
    </row>
    <row r="118" spans="1:3" ht="12.75">
      <c r="A118" s="106"/>
      <c r="B118" s="106"/>
      <c r="C118" s="106"/>
    </row>
    <row r="119" spans="1:3" ht="12.75">
      <c r="A119" s="106"/>
      <c r="B119" s="106"/>
      <c r="C119" s="106"/>
    </row>
    <row r="120" spans="1:3" ht="12.75">
      <c r="A120" s="106"/>
      <c r="B120" s="106"/>
      <c r="C120" s="106"/>
    </row>
    <row r="121" spans="1:3" ht="12.75">
      <c r="A121" s="106"/>
      <c r="B121" s="106"/>
      <c r="C121" s="106"/>
    </row>
    <row r="122" spans="1:3" ht="12.75">
      <c r="A122" s="106"/>
      <c r="B122" s="106"/>
      <c r="C122" s="106"/>
    </row>
    <row r="123" spans="1:3" ht="12.75">
      <c r="A123" s="106"/>
      <c r="B123" s="106"/>
      <c r="C123" s="106"/>
    </row>
    <row r="124" spans="1:3" ht="12.75">
      <c r="A124" s="106"/>
      <c r="B124" s="106"/>
      <c r="C124" s="106"/>
    </row>
    <row r="125" spans="1:3" ht="12.75">
      <c r="A125" s="106"/>
      <c r="B125" s="106"/>
      <c r="C125" s="106"/>
    </row>
    <row r="126" spans="1:3" ht="12.75">
      <c r="A126" s="106"/>
      <c r="B126" s="106"/>
      <c r="C126" s="106"/>
    </row>
    <row r="127" spans="1:3" ht="12.75">
      <c r="A127" s="106"/>
      <c r="B127" s="106"/>
      <c r="C127" s="106"/>
    </row>
    <row r="128" spans="1:3" ht="12.75">
      <c r="A128" s="106"/>
      <c r="B128" s="106"/>
      <c r="C128" s="106"/>
    </row>
    <row r="129" spans="1:3" ht="12.75">
      <c r="A129" s="106"/>
      <c r="B129" s="106"/>
      <c r="C129" s="106"/>
    </row>
    <row r="130" spans="1:3" ht="12.75">
      <c r="A130" s="106"/>
      <c r="B130" s="106"/>
      <c r="C130" s="106"/>
    </row>
    <row r="131" spans="1:3" ht="12.75">
      <c r="A131" s="106"/>
      <c r="B131" s="106"/>
      <c r="C131" s="106"/>
    </row>
    <row r="132" spans="1:3" ht="12.75">
      <c r="A132" s="106"/>
      <c r="B132" s="106"/>
      <c r="C132" s="106"/>
    </row>
    <row r="133" spans="1:3" ht="12.75">
      <c r="A133" s="106"/>
      <c r="B133" s="106"/>
      <c r="C133" s="106"/>
    </row>
    <row r="134" spans="1:3" ht="12.75">
      <c r="A134" s="106"/>
      <c r="B134" s="106"/>
      <c r="C134" s="106"/>
    </row>
    <row r="135" spans="1:3" ht="12.75">
      <c r="A135" s="106"/>
      <c r="B135" s="106"/>
      <c r="C135" s="106"/>
    </row>
    <row r="136" spans="1:3" ht="12.75">
      <c r="A136" s="106"/>
      <c r="B136" s="106"/>
      <c r="C136" s="106"/>
    </row>
    <row r="137" spans="1:3" ht="12.75">
      <c r="A137" s="106"/>
      <c r="B137" s="106"/>
      <c r="C137" s="106"/>
    </row>
    <row r="138" spans="1:3" ht="12.75">
      <c r="A138" s="106"/>
      <c r="B138" s="106"/>
      <c r="C138" s="106"/>
    </row>
    <row r="139" spans="1:3" ht="12.75">
      <c r="A139" s="106"/>
      <c r="B139" s="106"/>
      <c r="C139" s="106"/>
    </row>
    <row r="140" spans="1:3" ht="12.75">
      <c r="A140" s="106"/>
      <c r="B140" s="106"/>
      <c r="C140" s="106"/>
    </row>
    <row r="141" spans="1:3" ht="12.75">
      <c r="A141" s="106"/>
      <c r="B141" s="106"/>
      <c r="C141" s="106"/>
    </row>
    <row r="142" spans="1:3" ht="12.75">
      <c r="A142" s="106"/>
      <c r="B142" s="106"/>
      <c r="C142" s="106"/>
    </row>
    <row r="143" spans="1:3" ht="12.75">
      <c r="A143" s="106"/>
      <c r="B143" s="106"/>
      <c r="C143" s="106"/>
    </row>
    <row r="144" spans="1:3" ht="12.75">
      <c r="A144" s="106"/>
      <c r="B144" s="106"/>
      <c r="C144" s="106"/>
    </row>
    <row r="145" spans="1:3" ht="12.75">
      <c r="A145" s="106"/>
      <c r="B145" s="106"/>
      <c r="C145" s="106"/>
    </row>
    <row r="146" spans="1:3" ht="12.75">
      <c r="A146" s="106"/>
      <c r="B146" s="106"/>
      <c r="C146" s="106"/>
    </row>
    <row r="147" spans="1:3" ht="12.75">
      <c r="A147" s="106"/>
      <c r="B147" s="106"/>
      <c r="C147" s="106"/>
    </row>
    <row r="148" spans="1:3" ht="12.75">
      <c r="A148" s="106"/>
      <c r="B148" s="106"/>
      <c r="C148" s="106"/>
    </row>
    <row r="149" spans="1:3" ht="12.75">
      <c r="A149" s="106"/>
      <c r="B149" s="106"/>
      <c r="C149" s="106"/>
    </row>
    <row r="150" spans="1:3" ht="12.75">
      <c r="A150" s="106"/>
      <c r="B150" s="106"/>
      <c r="C150" s="106"/>
    </row>
    <row r="151" spans="1:3" ht="12.75">
      <c r="A151" s="106"/>
      <c r="B151" s="106"/>
      <c r="C151" s="106"/>
    </row>
    <row r="152" spans="1:3" ht="12.75">
      <c r="A152" s="106"/>
      <c r="B152" s="106"/>
      <c r="C152" s="106"/>
    </row>
    <row r="153" spans="1:3" ht="12.75">
      <c r="A153" s="106"/>
      <c r="B153" s="106"/>
      <c r="C153" s="106"/>
    </row>
    <row r="154" spans="1:3" ht="12.75">
      <c r="A154" s="106"/>
      <c r="B154" s="106"/>
      <c r="C154" s="106"/>
    </row>
    <row r="155" spans="1:3" ht="12.75">
      <c r="A155" s="106"/>
      <c r="B155" s="106"/>
      <c r="C155" s="106"/>
    </row>
    <row r="156" spans="1:3" ht="12.75">
      <c r="A156" s="106"/>
      <c r="B156" s="106"/>
      <c r="C156" s="106"/>
    </row>
    <row r="157" spans="1:3" ht="12.75">
      <c r="A157" s="106"/>
      <c r="B157" s="106"/>
      <c r="C157" s="106"/>
    </row>
    <row r="158" spans="1:3" ht="12.75">
      <c r="A158" s="106"/>
      <c r="B158" s="106"/>
      <c r="C158" s="106"/>
    </row>
    <row r="159" spans="1:3" ht="12.75">
      <c r="A159" s="106"/>
      <c r="B159" s="106"/>
      <c r="C159" s="106"/>
    </row>
    <row r="160" spans="1:3" ht="12.75">
      <c r="A160" s="106"/>
      <c r="B160" s="106"/>
      <c r="C160" s="106"/>
    </row>
    <row r="161" spans="1:3" ht="12.75">
      <c r="A161" s="106"/>
      <c r="B161" s="106"/>
      <c r="C161" s="106"/>
    </row>
    <row r="162" spans="1:3" ht="12.75">
      <c r="A162" s="106"/>
      <c r="B162" s="106"/>
      <c r="C162" s="106"/>
    </row>
    <row r="163" spans="1:3" ht="12.75">
      <c r="A163" s="106"/>
      <c r="B163" s="106"/>
      <c r="C163" s="106"/>
    </row>
    <row r="164" spans="1:3" ht="12.75">
      <c r="A164" s="106"/>
      <c r="B164" s="106"/>
      <c r="C164" s="106"/>
    </row>
    <row r="165" spans="1:3" ht="12.75">
      <c r="A165" s="106"/>
      <c r="B165" s="106"/>
      <c r="C165" s="106"/>
    </row>
    <row r="166" spans="1:3" ht="12.75">
      <c r="A166" s="106"/>
      <c r="B166" s="106"/>
      <c r="C166" s="106"/>
    </row>
    <row r="167" spans="1:3" ht="12.75">
      <c r="A167" s="106"/>
      <c r="B167" s="106"/>
      <c r="C167" s="106"/>
    </row>
    <row r="168" spans="1:3" ht="12.75">
      <c r="A168" s="106"/>
      <c r="B168" s="106"/>
      <c r="C168" s="106"/>
    </row>
    <row r="169" spans="1:3" ht="12.75">
      <c r="A169" s="106"/>
      <c r="B169" s="106"/>
      <c r="C169" s="106"/>
    </row>
    <row r="170" spans="1:3" ht="12.75">
      <c r="A170" s="106"/>
      <c r="B170" s="106"/>
      <c r="C170" s="106"/>
    </row>
    <row r="171" spans="1:3" ht="12.75">
      <c r="A171" s="106"/>
      <c r="B171" s="106"/>
      <c r="C171" s="106"/>
    </row>
    <row r="172" spans="1:3" ht="12.75">
      <c r="A172" s="106"/>
      <c r="B172" s="106"/>
      <c r="C172" s="106"/>
    </row>
    <row r="173" spans="1:3" ht="12.75">
      <c r="A173" s="106"/>
      <c r="B173" s="106"/>
      <c r="C173" s="106"/>
    </row>
    <row r="174" spans="1:3" ht="12.75">
      <c r="A174" s="106"/>
      <c r="B174" s="106"/>
      <c r="C174" s="106"/>
    </row>
    <row r="175" spans="1:3" ht="12.75">
      <c r="A175" s="106"/>
      <c r="B175" s="106"/>
      <c r="C175" s="106"/>
    </row>
    <row r="176" spans="1:3" ht="12.75">
      <c r="A176" s="106"/>
      <c r="B176" s="106"/>
      <c r="C176" s="106"/>
    </row>
    <row r="177" spans="1:3" ht="12.75">
      <c r="A177" s="106"/>
      <c r="B177" s="106"/>
      <c r="C177" s="106"/>
    </row>
    <row r="178" spans="1:3" ht="12.75">
      <c r="A178" s="106"/>
      <c r="B178" s="106"/>
      <c r="C178" s="106"/>
    </row>
    <row r="179" spans="1:3" ht="12.75">
      <c r="A179" s="106"/>
      <c r="B179" s="106"/>
      <c r="C179" s="106"/>
    </row>
    <row r="180" spans="1:3" ht="12.75">
      <c r="A180" s="106"/>
      <c r="B180" s="106"/>
      <c r="C180" s="106"/>
    </row>
    <row r="181" spans="1:3" ht="12.75">
      <c r="A181" s="106"/>
      <c r="B181" s="106"/>
      <c r="C181" s="106"/>
    </row>
    <row r="182" spans="1:3" ht="12.75">
      <c r="A182" s="106"/>
      <c r="B182" s="106"/>
      <c r="C182" s="106"/>
    </row>
    <row r="183" spans="1:3" ht="12.75">
      <c r="A183" s="106"/>
      <c r="B183" s="106"/>
      <c r="C183" s="106"/>
    </row>
    <row r="184" spans="1:3" ht="12.75">
      <c r="A184" s="106"/>
      <c r="B184" s="106"/>
      <c r="C184" s="106"/>
    </row>
    <row r="185" spans="1:3" ht="12.75">
      <c r="A185" s="106"/>
      <c r="B185" s="106"/>
      <c r="C185" s="106"/>
    </row>
    <row r="186" spans="1:3" ht="12.75">
      <c r="A186" s="106"/>
      <c r="B186" s="106"/>
      <c r="C186" s="106"/>
    </row>
    <row r="187" spans="1:3" ht="12.75">
      <c r="A187" s="106"/>
      <c r="B187" s="106"/>
      <c r="C187" s="106"/>
    </row>
    <row r="188" spans="1:3" ht="12.75">
      <c r="A188" s="106"/>
      <c r="B188" s="106"/>
      <c r="C188" s="106"/>
    </row>
    <row r="189" spans="1:3" ht="12.75">
      <c r="A189" s="106"/>
      <c r="B189" s="106"/>
      <c r="C189" s="106"/>
    </row>
    <row r="190" spans="1:3" ht="12.75">
      <c r="A190" s="106"/>
      <c r="B190" s="106"/>
      <c r="C190" s="106"/>
    </row>
    <row r="191" spans="1:3" ht="12.75">
      <c r="A191" s="106"/>
      <c r="B191" s="106"/>
      <c r="C191" s="106"/>
    </row>
    <row r="192" spans="1:3" ht="12.75">
      <c r="A192" s="106"/>
      <c r="B192" s="106"/>
      <c r="C192" s="106"/>
    </row>
    <row r="193" spans="1:3" ht="12.75">
      <c r="A193" s="106"/>
      <c r="B193" s="106"/>
      <c r="C193" s="106"/>
    </row>
    <row r="194" spans="1:3" ht="12.75">
      <c r="A194" s="106"/>
      <c r="B194" s="106"/>
      <c r="C194" s="106"/>
    </row>
    <row r="195" spans="1:3" ht="12.75">
      <c r="A195" s="106"/>
      <c r="B195" s="106"/>
      <c r="C195" s="106"/>
    </row>
    <row r="196" spans="1:3" ht="12.75">
      <c r="A196" s="106"/>
      <c r="B196" s="106"/>
      <c r="C196" s="106"/>
    </row>
    <row r="197" spans="1:3" ht="12.75">
      <c r="A197" s="106"/>
      <c r="B197" s="106"/>
      <c r="C197" s="106"/>
    </row>
    <row r="198" spans="1:3" ht="12.75">
      <c r="A198" s="106"/>
      <c r="B198" s="106"/>
      <c r="C198" s="106"/>
    </row>
    <row r="199" spans="1:3" ht="12.75">
      <c r="A199" s="106"/>
      <c r="B199" s="106"/>
      <c r="C199" s="106"/>
    </row>
    <row r="200" spans="1:3" ht="12.75">
      <c r="A200" s="106"/>
      <c r="B200" s="106"/>
      <c r="C200" s="106"/>
    </row>
    <row r="201" spans="1:3" ht="12.75">
      <c r="A201" s="106"/>
      <c r="B201" s="106"/>
      <c r="C201" s="106"/>
    </row>
    <row r="202" spans="1:3" ht="12.75">
      <c r="A202" s="106"/>
      <c r="B202" s="106"/>
      <c r="C202" s="106"/>
    </row>
    <row r="203" spans="1:3" ht="12.75">
      <c r="A203" s="106"/>
      <c r="B203" s="106"/>
      <c r="C203" s="106"/>
    </row>
    <row r="204" spans="1:3" ht="12.75">
      <c r="A204" s="106"/>
      <c r="B204" s="106"/>
      <c r="C204" s="106"/>
    </row>
    <row r="205" spans="1:3" ht="12.75">
      <c r="A205" s="106"/>
      <c r="B205" s="106"/>
      <c r="C205" s="106"/>
    </row>
    <row r="206" spans="1:3" ht="12.75">
      <c r="A206" s="106"/>
      <c r="B206" s="106"/>
      <c r="C206" s="106"/>
    </row>
    <row r="207" spans="1:3" ht="12.75">
      <c r="A207" s="106"/>
      <c r="B207" s="106"/>
      <c r="C207" s="106"/>
    </row>
    <row r="208" spans="1:3" ht="12.75">
      <c r="A208" s="106"/>
      <c r="B208" s="106"/>
      <c r="C208" s="106"/>
    </row>
    <row r="209" spans="1:3" ht="12.75">
      <c r="A209" s="106"/>
      <c r="B209" s="106"/>
      <c r="C209" s="106"/>
    </row>
    <row r="210" spans="1:3" ht="12.75">
      <c r="A210" s="106"/>
      <c r="B210" s="106"/>
      <c r="C210" s="106"/>
    </row>
    <row r="211" spans="1:3" ht="12.75">
      <c r="A211" s="106"/>
      <c r="B211" s="106"/>
      <c r="C211" s="106"/>
    </row>
    <row r="212" spans="1:3" ht="12.75">
      <c r="A212" s="106"/>
      <c r="B212" s="106"/>
      <c r="C212" s="106"/>
    </row>
    <row r="213" spans="1:3" ht="12.75">
      <c r="A213" s="106"/>
      <c r="B213" s="106"/>
      <c r="C213" s="106"/>
    </row>
    <row r="214" spans="1:3" ht="12.75">
      <c r="A214" s="106"/>
      <c r="B214" s="106"/>
      <c r="C214" s="106"/>
    </row>
    <row r="215" spans="1:3" ht="12.75">
      <c r="A215" s="106"/>
      <c r="B215" s="106"/>
      <c r="C215" s="106"/>
    </row>
    <row r="216" spans="1:3" ht="12.75">
      <c r="A216" s="106"/>
      <c r="B216" s="106"/>
      <c r="C216" s="106"/>
    </row>
    <row r="217" spans="1:3" ht="12.75">
      <c r="A217" s="106"/>
      <c r="B217" s="106"/>
      <c r="C217" s="106"/>
    </row>
    <row r="218" spans="1:3" ht="12.75">
      <c r="A218" s="106"/>
      <c r="B218" s="106"/>
      <c r="C218" s="106"/>
    </row>
    <row r="219" spans="1:3" ht="12.75">
      <c r="A219" s="106"/>
      <c r="B219" s="106"/>
      <c r="C219" s="106"/>
    </row>
    <row r="220" spans="1:3" ht="12.75">
      <c r="A220" s="106"/>
      <c r="B220" s="106"/>
      <c r="C220" s="106"/>
    </row>
    <row r="221" spans="1:3" ht="12.75">
      <c r="A221" s="106"/>
      <c r="B221" s="106"/>
      <c r="C221" s="106"/>
    </row>
    <row r="222" spans="1:3" ht="12.75">
      <c r="A222" s="106"/>
      <c r="B222" s="106"/>
      <c r="C222" s="106"/>
    </row>
    <row r="223" spans="1:3" ht="12.75">
      <c r="A223" s="106"/>
      <c r="B223" s="106"/>
      <c r="C223" s="106"/>
    </row>
    <row r="224" spans="1:3" ht="12.75">
      <c r="A224" s="106"/>
      <c r="B224" s="106"/>
      <c r="C224" s="106"/>
    </row>
    <row r="225" spans="1:3" ht="12.75">
      <c r="A225" s="106"/>
      <c r="B225" s="106"/>
      <c r="C225" s="106"/>
    </row>
    <row r="226" spans="1:3" ht="12.75">
      <c r="A226" s="106"/>
      <c r="B226" s="106"/>
      <c r="C226" s="106"/>
    </row>
    <row r="227" spans="1:3" ht="12.75">
      <c r="A227" s="106"/>
      <c r="B227" s="106"/>
      <c r="C227" s="106"/>
    </row>
    <row r="228" spans="1:3" ht="12.75">
      <c r="A228" s="106"/>
      <c r="B228" s="106"/>
      <c r="C228" s="106"/>
    </row>
    <row r="229" spans="1:3" ht="12.75">
      <c r="A229" s="106"/>
      <c r="B229" s="106"/>
      <c r="C229" s="106"/>
    </row>
    <row r="230" spans="1:3" ht="12.75">
      <c r="A230" s="106"/>
      <c r="B230" s="106"/>
      <c r="C230" s="106"/>
    </row>
    <row r="231" spans="1:3" ht="12.75">
      <c r="A231" s="106"/>
      <c r="B231" s="106"/>
      <c r="C231" s="106"/>
    </row>
    <row r="232" spans="1:3" ht="12.75">
      <c r="A232" s="106"/>
      <c r="B232" s="106"/>
      <c r="C232" s="106"/>
    </row>
    <row r="233" spans="1:3" ht="12.75">
      <c r="A233" s="106"/>
      <c r="B233" s="106"/>
      <c r="C233" s="106"/>
    </row>
    <row r="234" spans="1:3" ht="12.75">
      <c r="A234" s="106"/>
      <c r="B234" s="106"/>
      <c r="C234" s="106"/>
    </row>
    <row r="235" spans="1:3" ht="12.75">
      <c r="A235" s="106"/>
      <c r="B235" s="106"/>
      <c r="C235" s="106"/>
    </row>
    <row r="236" spans="1:3" ht="12.75">
      <c r="A236" s="106"/>
      <c r="B236" s="106"/>
      <c r="C236" s="106"/>
    </row>
    <row r="237" spans="1:3" ht="12.75">
      <c r="A237" s="106"/>
      <c r="B237" s="106"/>
      <c r="C237" s="106"/>
    </row>
    <row r="238" spans="1:3" ht="12.75">
      <c r="A238" s="106"/>
      <c r="B238" s="106"/>
      <c r="C238" s="106"/>
    </row>
    <row r="239" spans="1:3" ht="12.75">
      <c r="A239" s="106"/>
      <c r="B239" s="106"/>
      <c r="C239" s="106"/>
    </row>
    <row r="240" spans="1:3" ht="12.75">
      <c r="A240" s="106"/>
      <c r="B240" s="106"/>
      <c r="C240" s="106"/>
    </row>
    <row r="241" spans="1:3" ht="12.75">
      <c r="A241" s="106"/>
      <c r="B241" s="106"/>
      <c r="C241" s="106"/>
    </row>
    <row r="242" spans="1:3" ht="12.75">
      <c r="A242" s="106"/>
      <c r="B242" s="106"/>
      <c r="C242" s="106"/>
    </row>
    <row r="243" spans="1:3" ht="12.75">
      <c r="A243" s="106"/>
      <c r="B243" s="106"/>
      <c r="C243" s="106"/>
    </row>
    <row r="244" spans="1:3" ht="12.75">
      <c r="A244" s="106"/>
      <c r="B244" s="106"/>
      <c r="C244" s="106"/>
    </row>
    <row r="245" spans="1:3" ht="12.75">
      <c r="A245" s="106"/>
      <c r="B245" s="106"/>
      <c r="C245" s="106"/>
    </row>
    <row r="246" spans="1:3" ht="12.75">
      <c r="A246" s="106"/>
      <c r="B246" s="106"/>
      <c r="C246" s="106"/>
    </row>
    <row r="247" spans="1:3" ht="12.75">
      <c r="A247" s="106"/>
      <c r="B247" s="106"/>
      <c r="C247" s="106"/>
    </row>
    <row r="248" spans="1:3" ht="12.75">
      <c r="A248" s="106"/>
      <c r="B248" s="106"/>
      <c r="C248" s="106"/>
    </row>
    <row r="249" spans="1:3" ht="12.75">
      <c r="A249" s="106"/>
      <c r="B249" s="106"/>
      <c r="C249" s="106"/>
    </row>
    <row r="250" spans="1:3" ht="12.75">
      <c r="A250" s="106"/>
      <c r="B250" s="106"/>
      <c r="C250" s="106"/>
    </row>
    <row r="251" spans="1:3" ht="12.75">
      <c r="A251" s="106"/>
      <c r="B251" s="106"/>
      <c r="C251" s="106"/>
    </row>
    <row r="252" spans="1:3" ht="12.75">
      <c r="A252" s="106"/>
      <c r="B252" s="106"/>
      <c r="C252" s="106"/>
    </row>
    <row r="253" spans="1:3" ht="12.75">
      <c r="A253" s="106"/>
      <c r="B253" s="106"/>
      <c r="C253" s="106"/>
    </row>
    <row r="254" spans="1:3" ht="12.75">
      <c r="A254" s="106"/>
      <c r="B254" s="106"/>
      <c r="C254" s="106"/>
    </row>
    <row r="255" spans="1:3" ht="12.75">
      <c r="A255" s="106"/>
      <c r="B255" s="106"/>
      <c r="C255" s="106"/>
    </row>
    <row r="256" spans="1:3" ht="12.75">
      <c r="A256" s="106"/>
      <c r="B256" s="106"/>
      <c r="C256" s="106"/>
    </row>
    <row r="257" spans="1:3" ht="12.75">
      <c r="A257" s="106"/>
      <c r="B257" s="106"/>
      <c r="C257" s="106"/>
    </row>
    <row r="258" spans="1:3" ht="12.75">
      <c r="A258" s="106"/>
      <c r="B258" s="106"/>
      <c r="C258" s="106"/>
    </row>
    <row r="259" spans="1:3" ht="12.75">
      <c r="A259" s="106"/>
      <c r="B259" s="106"/>
      <c r="C259" s="106"/>
    </row>
    <row r="260" spans="1:3" ht="12.75">
      <c r="A260" s="106"/>
      <c r="B260" s="106"/>
      <c r="C260" s="106"/>
    </row>
    <row r="261" spans="1:3" ht="12.75">
      <c r="A261" s="106"/>
      <c r="B261" s="106"/>
      <c r="C261" s="106"/>
    </row>
    <row r="262" spans="1:3" ht="12.75">
      <c r="A262" s="106"/>
      <c r="B262" s="106"/>
      <c r="C262" s="106"/>
    </row>
    <row r="263" spans="1:3" ht="12.75">
      <c r="A263" s="106"/>
      <c r="B263" s="106"/>
      <c r="C263" s="106"/>
    </row>
    <row r="264" spans="1:3" ht="12.75">
      <c r="A264" s="106"/>
      <c r="B264" s="106"/>
      <c r="C264" s="106"/>
    </row>
    <row r="265" spans="1:3" ht="12.75">
      <c r="A265" s="106"/>
      <c r="B265" s="106"/>
      <c r="C265" s="106"/>
    </row>
    <row r="266" spans="1:3" ht="12.75">
      <c r="A266" s="106"/>
      <c r="B266" s="106"/>
      <c r="C266" s="106"/>
    </row>
    <row r="267" spans="1:3" ht="12.75">
      <c r="A267" s="106"/>
      <c r="B267" s="106"/>
      <c r="C267" s="106"/>
    </row>
    <row r="268" spans="1:3" ht="12.75">
      <c r="A268" s="106"/>
      <c r="B268" s="106"/>
      <c r="C268" s="106"/>
    </row>
    <row r="269" spans="1:3" ht="12.75">
      <c r="A269" s="106"/>
      <c r="B269" s="106"/>
      <c r="C269" s="106"/>
    </row>
    <row r="270" spans="1:3" ht="12.75">
      <c r="A270" s="106"/>
      <c r="B270" s="106"/>
      <c r="C270" s="106"/>
    </row>
    <row r="271" spans="1:3" ht="12.75">
      <c r="A271" s="106"/>
      <c r="B271" s="106"/>
      <c r="C271" s="106"/>
    </row>
    <row r="272" spans="1:3" ht="12.75">
      <c r="A272" s="106"/>
      <c r="B272" s="106"/>
      <c r="C272" s="106"/>
    </row>
    <row r="273" spans="1:3" ht="12.75">
      <c r="A273" s="106"/>
      <c r="B273" s="106"/>
      <c r="C273" s="106"/>
    </row>
    <row r="274" spans="1:3" ht="12.75">
      <c r="A274" s="106"/>
      <c r="B274" s="106"/>
      <c r="C274" s="106"/>
    </row>
    <row r="275" spans="1:3" ht="12.75">
      <c r="A275" s="106"/>
      <c r="B275" s="106"/>
      <c r="C275" s="106"/>
    </row>
    <row r="276" spans="1:3" ht="12.75">
      <c r="A276" s="106"/>
      <c r="B276" s="106"/>
      <c r="C276" s="106"/>
    </row>
    <row r="277" spans="1:3" ht="12.75">
      <c r="A277" s="106"/>
      <c r="B277" s="106"/>
      <c r="C277" s="106"/>
    </row>
    <row r="278" spans="1:3" ht="12.75">
      <c r="A278" s="106"/>
      <c r="B278" s="106"/>
      <c r="C278" s="106"/>
    </row>
    <row r="279" spans="1:3" ht="12.75">
      <c r="A279" s="106"/>
      <c r="B279" s="106"/>
      <c r="C279" s="106"/>
    </row>
    <row r="280" spans="1:3" ht="12.75">
      <c r="A280" s="106"/>
      <c r="B280" s="106"/>
      <c r="C280" s="106"/>
    </row>
    <row r="281" spans="1:3" ht="12.75">
      <c r="A281" s="106"/>
      <c r="B281" s="106"/>
      <c r="C281" s="106"/>
    </row>
    <row r="282" spans="1:3" ht="12.75">
      <c r="A282" s="106"/>
      <c r="B282" s="106"/>
      <c r="C282" s="106"/>
    </row>
    <row r="283" spans="1:3" ht="12.75">
      <c r="A283" s="106"/>
      <c r="B283" s="106"/>
      <c r="C283" s="106"/>
    </row>
    <row r="284" spans="1:3" ht="12.75">
      <c r="A284" s="106"/>
      <c r="B284" s="106"/>
      <c r="C284" s="106"/>
    </row>
    <row r="285" spans="1:3" ht="12.75">
      <c r="A285" s="106"/>
      <c r="B285" s="106"/>
      <c r="C285" s="106"/>
    </row>
    <row r="286" spans="1:3" ht="12.75">
      <c r="A286" s="106"/>
      <c r="B286" s="106"/>
      <c r="C286" s="106"/>
    </row>
    <row r="287" spans="1:3" ht="12.75">
      <c r="A287" s="106"/>
      <c r="B287" s="106"/>
      <c r="C287" s="106"/>
    </row>
    <row r="288" spans="1:3" ht="12.75">
      <c r="A288" s="106"/>
      <c r="B288" s="106"/>
      <c r="C288" s="106"/>
    </row>
    <row r="289" spans="1:3" ht="12.75">
      <c r="A289" s="106"/>
      <c r="B289" s="106"/>
      <c r="C289" s="106"/>
    </row>
    <row r="290" spans="1:3" ht="12.75">
      <c r="A290" s="106"/>
      <c r="B290" s="106"/>
      <c r="C290" s="106"/>
    </row>
    <row r="291" spans="1:3" ht="12.75">
      <c r="A291" s="106"/>
      <c r="B291" s="106"/>
      <c r="C291" s="106"/>
    </row>
    <row r="292" spans="1:3" ht="12.75">
      <c r="A292" s="106"/>
      <c r="B292" s="106"/>
      <c r="C292" s="106"/>
    </row>
    <row r="293" spans="1:3" ht="12.75">
      <c r="A293" s="106"/>
      <c r="B293" s="106"/>
      <c r="C293" s="106"/>
    </row>
    <row r="294" spans="1:3" ht="12.75">
      <c r="A294" s="106"/>
      <c r="B294" s="106"/>
      <c r="C294" s="106"/>
    </row>
    <row r="295" spans="1:3" ht="12.75">
      <c r="A295" s="106"/>
      <c r="B295" s="106"/>
      <c r="C295" s="106"/>
    </row>
    <row r="296" spans="1:3" ht="12.75">
      <c r="A296" s="106"/>
      <c r="B296" s="106"/>
      <c r="C296" s="106"/>
    </row>
    <row r="297" spans="1:3" ht="12.75">
      <c r="A297" s="106"/>
      <c r="B297" s="106"/>
      <c r="C297" s="106"/>
    </row>
    <row r="298" spans="1:3" ht="12.75">
      <c r="A298" s="106"/>
      <c r="B298" s="106"/>
      <c r="C298" s="106"/>
    </row>
    <row r="299" spans="1:3" ht="12.75">
      <c r="A299" s="106"/>
      <c r="B299" s="106"/>
      <c r="C299" s="106"/>
    </row>
    <row r="300" spans="1:3" ht="12.75">
      <c r="A300" s="106"/>
      <c r="B300" s="106"/>
      <c r="C300" s="106"/>
    </row>
    <row r="301" spans="1:3" ht="12.75">
      <c r="A301" s="106"/>
      <c r="B301" s="106"/>
      <c r="C301" s="106"/>
    </row>
    <row r="302" spans="1:3" ht="12.75">
      <c r="A302" s="106"/>
      <c r="B302" s="106"/>
      <c r="C302" s="106"/>
    </row>
    <row r="303" spans="1:3" ht="12.75">
      <c r="A303" s="106"/>
      <c r="B303" s="106"/>
      <c r="C303" s="106"/>
    </row>
    <row r="304" spans="1:3" ht="12.75">
      <c r="A304" s="106"/>
      <c r="B304" s="106"/>
      <c r="C304" s="106"/>
    </row>
    <row r="305" spans="1:3" ht="12.75">
      <c r="A305" s="106"/>
      <c r="B305" s="106"/>
      <c r="C305" s="106"/>
    </row>
    <row r="306" spans="1:3" ht="12.75">
      <c r="A306" s="106"/>
      <c r="B306" s="106"/>
      <c r="C306" s="106"/>
    </row>
    <row r="307" spans="1:3" ht="12.75">
      <c r="A307" s="106"/>
      <c r="B307" s="106"/>
      <c r="C307" s="106"/>
    </row>
    <row r="308" spans="1:3" ht="12.75">
      <c r="A308" s="106"/>
      <c r="B308" s="106"/>
      <c r="C308" s="106"/>
    </row>
    <row r="309" spans="1:3" ht="12.75">
      <c r="A309" s="106"/>
      <c r="B309" s="106"/>
      <c r="C309" s="106"/>
    </row>
    <row r="310" spans="1:3" ht="12.75">
      <c r="A310" s="106"/>
      <c r="B310" s="106"/>
      <c r="C310" s="106"/>
    </row>
    <row r="311" spans="1:3" ht="12.75">
      <c r="A311" s="106"/>
      <c r="B311" s="106"/>
      <c r="C311" s="106"/>
    </row>
    <row r="312" spans="1:3" ht="12.75">
      <c r="A312" s="106"/>
      <c r="B312" s="106"/>
      <c r="C312" s="106"/>
    </row>
    <row r="313" spans="1:3" ht="12.75">
      <c r="A313" s="106"/>
      <c r="B313" s="106"/>
      <c r="C313" s="106"/>
    </row>
    <row r="314" spans="1:3" ht="12.75">
      <c r="A314" s="106"/>
      <c r="B314" s="106"/>
      <c r="C314" s="106"/>
    </row>
    <row r="315" spans="1:3" ht="12.75">
      <c r="A315" s="106"/>
      <c r="B315" s="106"/>
      <c r="C315" s="106"/>
    </row>
    <row r="316" spans="1:3" ht="12.75">
      <c r="A316" s="106"/>
      <c r="B316" s="106"/>
      <c r="C316" s="106"/>
    </row>
    <row r="317" spans="1:3" ht="12.75">
      <c r="A317" s="106"/>
      <c r="B317" s="106"/>
      <c r="C317" s="106"/>
    </row>
    <row r="318" spans="1:3" ht="12.75">
      <c r="A318" s="106"/>
      <c r="B318" s="106"/>
      <c r="C318" s="106"/>
    </row>
    <row r="319" spans="1:3" ht="12.75">
      <c r="A319" s="106"/>
      <c r="B319" s="106"/>
      <c r="C319" s="106"/>
    </row>
    <row r="320" spans="1:3" ht="12.75">
      <c r="A320" s="106"/>
      <c r="B320" s="106"/>
      <c r="C320" s="106"/>
    </row>
    <row r="321" spans="1:3" ht="12.75">
      <c r="A321" s="106"/>
      <c r="B321" s="106"/>
      <c r="C321" s="106"/>
    </row>
    <row r="322" spans="1:3" ht="12.75">
      <c r="A322" s="106"/>
      <c r="B322" s="106"/>
      <c r="C322" s="106"/>
    </row>
    <row r="323" spans="1:3" ht="12.75">
      <c r="A323" s="106"/>
      <c r="B323" s="106"/>
      <c r="C323" s="106"/>
    </row>
    <row r="324" spans="1:3" ht="12.75">
      <c r="A324" s="106"/>
      <c r="B324" s="106"/>
      <c r="C324" s="106"/>
    </row>
    <row r="325" spans="1:3" ht="12.75">
      <c r="A325" s="106"/>
      <c r="B325" s="106"/>
      <c r="C325" s="106"/>
    </row>
    <row r="326" spans="1:3" ht="12.75">
      <c r="A326" s="106"/>
      <c r="B326" s="106"/>
      <c r="C326" s="106"/>
    </row>
    <row r="327" spans="1:3" ht="12.75">
      <c r="A327" s="106"/>
      <c r="B327" s="106"/>
      <c r="C327" s="106"/>
    </row>
    <row r="328" spans="1:3" ht="12.75">
      <c r="A328" s="106"/>
      <c r="B328" s="106"/>
      <c r="C328" s="106"/>
    </row>
    <row r="329" spans="1:3" ht="12.75">
      <c r="A329" s="106"/>
      <c r="B329" s="106"/>
      <c r="C329" s="106"/>
    </row>
    <row r="330" spans="1:3" ht="12.75">
      <c r="A330" s="106"/>
      <c r="B330" s="106"/>
      <c r="C330" s="106"/>
    </row>
    <row r="331" spans="1:3" ht="12.75">
      <c r="A331" s="106"/>
      <c r="B331" s="106"/>
      <c r="C331" s="106"/>
    </row>
    <row r="332" spans="1:3" ht="12.75">
      <c r="A332" s="106"/>
      <c r="B332" s="106"/>
      <c r="C332" s="106"/>
    </row>
    <row r="333" spans="1:3" ht="12.75">
      <c r="A333" s="106"/>
      <c r="B333" s="106"/>
      <c r="C333" s="106"/>
    </row>
    <row r="334" spans="1:3" ht="12.75">
      <c r="A334" s="106"/>
      <c r="B334" s="106"/>
      <c r="C334" s="106"/>
    </row>
    <row r="335" spans="1:3" ht="12.75">
      <c r="A335" s="106"/>
      <c r="B335" s="106"/>
      <c r="C335" s="106"/>
    </row>
    <row r="336" spans="1:3" ht="12.75">
      <c r="A336" s="106"/>
      <c r="B336" s="106"/>
      <c r="C336" s="106"/>
    </row>
    <row r="337" spans="1:3" ht="12.75">
      <c r="A337" s="106"/>
      <c r="B337" s="106"/>
      <c r="C337" s="106"/>
    </row>
    <row r="338" spans="1:3" ht="12.75">
      <c r="A338" s="106"/>
      <c r="B338" s="106"/>
      <c r="C338" s="106"/>
    </row>
    <row r="339" spans="1:3" ht="12.75">
      <c r="A339" s="106"/>
      <c r="B339" s="106"/>
      <c r="C339" s="106"/>
    </row>
    <row r="340" spans="1:3" ht="12.75">
      <c r="A340" s="106"/>
      <c r="B340" s="106"/>
      <c r="C340" s="106"/>
    </row>
    <row r="341" spans="1:3" ht="12.75">
      <c r="A341" s="106"/>
      <c r="B341" s="106"/>
      <c r="C341" s="106"/>
    </row>
    <row r="342" spans="1:3" ht="12.75">
      <c r="A342" s="106"/>
      <c r="B342" s="106"/>
      <c r="C342" s="106"/>
    </row>
    <row r="343" spans="1:3" ht="12.75">
      <c r="A343" s="106"/>
      <c r="B343" s="106"/>
      <c r="C343" s="106"/>
    </row>
    <row r="344" spans="1:3" ht="12.75">
      <c r="A344" s="106"/>
      <c r="B344" s="106"/>
      <c r="C344" s="106"/>
    </row>
    <row r="345" spans="1:3" ht="12.75">
      <c r="A345" s="106"/>
      <c r="B345" s="106"/>
      <c r="C345" s="106"/>
    </row>
    <row r="346" spans="1:3" ht="12.75">
      <c r="A346" s="106"/>
      <c r="B346" s="106"/>
      <c r="C346" s="106"/>
    </row>
    <row r="347" spans="1:3" ht="12.75">
      <c r="A347" s="106"/>
      <c r="B347" s="106"/>
      <c r="C347" s="106"/>
    </row>
    <row r="348" spans="1:3" ht="12.75">
      <c r="A348" s="106"/>
      <c r="B348" s="106"/>
      <c r="C348" s="106"/>
    </row>
    <row r="349" spans="1:3" ht="12.75">
      <c r="A349" s="106"/>
      <c r="B349" s="106"/>
      <c r="C349" s="106"/>
    </row>
    <row r="350" spans="1:3" ht="12.75">
      <c r="A350" s="106"/>
      <c r="B350" s="106"/>
      <c r="C350" s="106"/>
    </row>
    <row r="351" spans="1:3" ht="12.75">
      <c r="A351" s="106"/>
      <c r="B351" s="106"/>
      <c r="C351" s="106"/>
    </row>
    <row r="352" spans="1:3" ht="12.75">
      <c r="A352" s="106"/>
      <c r="B352" s="106"/>
      <c r="C352" s="106"/>
    </row>
    <row r="353" spans="1:3" ht="12.75">
      <c r="A353" s="106"/>
      <c r="B353" s="106"/>
      <c r="C353" s="106"/>
    </row>
    <row r="354" spans="1:3" ht="12.75">
      <c r="A354" s="106"/>
      <c r="B354" s="106"/>
      <c r="C354" s="106"/>
    </row>
    <row r="355" spans="1:3" ht="12.75">
      <c r="A355" s="106"/>
      <c r="B355" s="106"/>
      <c r="C355" s="106"/>
    </row>
    <row r="356" spans="1:3" ht="12.75">
      <c r="A356" s="106"/>
      <c r="B356" s="106"/>
      <c r="C356" s="106"/>
    </row>
    <row r="357" spans="1:3" ht="12.75">
      <c r="A357" s="106"/>
      <c r="B357" s="106"/>
      <c r="C357" s="106"/>
    </row>
    <row r="358" spans="1:3" ht="12.75">
      <c r="A358" s="106"/>
      <c r="B358" s="106"/>
      <c r="C358" s="106"/>
    </row>
    <row r="359" spans="1:3" ht="12.75">
      <c r="A359" s="106"/>
      <c r="B359" s="106"/>
      <c r="C359" s="106"/>
    </row>
    <row r="360" spans="1:3" ht="12.75">
      <c r="A360" s="106"/>
      <c r="B360" s="106"/>
      <c r="C360" s="106"/>
    </row>
    <row r="361" spans="1:3" ht="12.75">
      <c r="A361" s="106"/>
      <c r="B361" s="106"/>
      <c r="C361" s="106"/>
    </row>
    <row r="362" spans="1:3" ht="12.75">
      <c r="A362" s="106"/>
      <c r="B362" s="106"/>
      <c r="C362" s="106"/>
    </row>
    <row r="363" spans="1:3" ht="12.75">
      <c r="A363" s="106"/>
      <c r="B363" s="106"/>
      <c r="C363" s="106"/>
    </row>
    <row r="364" spans="1:3" ht="12.75">
      <c r="A364" s="106"/>
      <c r="B364" s="106"/>
      <c r="C364" s="106"/>
    </row>
    <row r="365" spans="1:3" ht="12.75">
      <c r="A365" s="106"/>
      <c r="B365" s="106"/>
      <c r="C365" s="106"/>
    </row>
    <row r="366" spans="1:3" ht="12.75">
      <c r="A366" s="106"/>
      <c r="B366" s="106"/>
      <c r="C366" s="106"/>
    </row>
    <row r="367" spans="1:3" ht="12.75">
      <c r="A367" s="106"/>
      <c r="B367" s="106"/>
      <c r="C367" s="106"/>
    </row>
    <row r="368" spans="1:3" ht="12.75">
      <c r="A368" s="106"/>
      <c r="B368" s="106"/>
      <c r="C368" s="106"/>
    </row>
    <row r="369" spans="1:3" ht="12.75">
      <c r="A369" s="106"/>
      <c r="B369" s="106"/>
      <c r="C369" s="106"/>
    </row>
    <row r="370" spans="1:3" ht="12.75">
      <c r="A370" s="106"/>
      <c r="B370" s="106"/>
      <c r="C370" s="106"/>
    </row>
    <row r="371" spans="1:3" ht="12.75">
      <c r="A371" s="106"/>
      <c r="B371" s="106"/>
      <c r="C371" s="106"/>
    </row>
    <row r="372" spans="1:3" ht="12.75">
      <c r="A372" s="106"/>
      <c r="B372" s="106"/>
      <c r="C372" s="106"/>
    </row>
    <row r="373" spans="1:3" ht="12.75">
      <c r="A373" s="106"/>
      <c r="B373" s="106"/>
      <c r="C373" s="106"/>
    </row>
    <row r="374" spans="1:3" ht="12.75">
      <c r="A374" s="106"/>
      <c r="B374" s="106"/>
      <c r="C374" s="106"/>
    </row>
    <row r="375" spans="1:3" ht="12.75">
      <c r="A375" s="106"/>
      <c r="B375" s="106"/>
      <c r="C375" s="106"/>
    </row>
    <row r="376" spans="1:3" ht="12.75">
      <c r="A376" s="106"/>
      <c r="B376" s="106"/>
      <c r="C376" s="106"/>
    </row>
    <row r="377" spans="1:3" ht="12.75">
      <c r="A377" s="106"/>
      <c r="B377" s="106"/>
      <c r="C377" s="106"/>
    </row>
    <row r="378" spans="1:3" ht="12.75">
      <c r="A378" s="106"/>
      <c r="B378" s="106"/>
      <c r="C378" s="106"/>
    </row>
    <row r="379" spans="1:3" ht="12.75">
      <c r="A379" s="106"/>
      <c r="B379" s="106"/>
      <c r="C379" s="106"/>
    </row>
    <row r="380" spans="1:3" ht="12.75">
      <c r="A380" s="106"/>
      <c r="B380" s="106"/>
      <c r="C380" s="106"/>
    </row>
    <row r="381" spans="1:3" ht="12.75">
      <c r="A381" s="106"/>
      <c r="B381" s="106"/>
      <c r="C381" s="106"/>
    </row>
    <row r="382" spans="1:3" ht="12.75">
      <c r="A382" s="106"/>
      <c r="B382" s="106"/>
      <c r="C382" s="106"/>
    </row>
    <row r="383" spans="1:3" ht="12.75">
      <c r="A383" s="106"/>
      <c r="B383" s="106"/>
      <c r="C383" s="106"/>
    </row>
    <row r="384" spans="1:3" ht="12.75">
      <c r="A384" s="106"/>
      <c r="B384" s="106"/>
      <c r="C384" s="106"/>
    </row>
    <row r="385" spans="1:3" ht="12.75">
      <c r="A385" s="106"/>
      <c r="B385" s="106"/>
      <c r="C385" s="106"/>
    </row>
    <row r="386" spans="1:3" ht="12.75">
      <c r="A386" s="106"/>
      <c r="B386" s="106"/>
      <c r="C386" s="106"/>
    </row>
    <row r="387" spans="1:3" ht="12.75">
      <c r="A387" s="106"/>
      <c r="B387" s="106"/>
      <c r="C387" s="106"/>
    </row>
    <row r="388" spans="1:3" ht="12.75">
      <c r="A388" s="106"/>
      <c r="B388" s="106"/>
      <c r="C388" s="106"/>
    </row>
    <row r="389" spans="1:3" ht="12.75">
      <c r="A389" s="106"/>
      <c r="B389" s="106"/>
      <c r="C389" s="106"/>
    </row>
    <row r="390" spans="1:3" ht="12.75">
      <c r="A390" s="106"/>
      <c r="B390" s="106"/>
      <c r="C390" s="106"/>
    </row>
    <row r="391" spans="1:3" ht="12.75">
      <c r="A391" s="106"/>
      <c r="B391" s="106"/>
      <c r="C391" s="106"/>
    </row>
    <row r="392" spans="1:3" ht="12.75">
      <c r="A392" s="106"/>
      <c r="B392" s="106"/>
      <c r="C392" s="106"/>
    </row>
    <row r="393" spans="1:3" ht="12.75">
      <c r="A393" s="106"/>
      <c r="B393" s="106"/>
      <c r="C393" s="106"/>
    </row>
    <row r="394" spans="1:3" ht="12.75">
      <c r="A394" s="106"/>
      <c r="B394" s="106"/>
      <c r="C394" s="106"/>
    </row>
    <row r="395" spans="1:3" ht="12.75">
      <c r="A395" s="106"/>
      <c r="B395" s="106"/>
      <c r="C395" s="106"/>
    </row>
    <row r="396" spans="1:3" ht="12.75">
      <c r="A396" s="106"/>
      <c r="B396" s="106"/>
      <c r="C396" s="106"/>
    </row>
    <row r="397" spans="1:3" ht="12.75">
      <c r="A397" s="106"/>
      <c r="B397" s="106"/>
      <c r="C397" s="106"/>
    </row>
    <row r="398" spans="1:3" ht="12.75">
      <c r="A398" s="106"/>
      <c r="B398" s="106"/>
      <c r="C398" s="106"/>
    </row>
    <row r="399" spans="1:3" ht="12.75">
      <c r="A399" s="106"/>
      <c r="B399" s="106"/>
      <c r="C399" s="106"/>
    </row>
    <row r="400" spans="1:3" ht="12.75">
      <c r="A400" s="106"/>
      <c r="B400" s="106"/>
      <c r="C400" s="106"/>
    </row>
    <row r="401" spans="1:3" ht="12.75">
      <c r="A401" s="106"/>
      <c r="B401" s="106"/>
      <c r="C401" s="106"/>
    </row>
    <row r="402" spans="1:3" ht="12.75">
      <c r="A402" s="106"/>
      <c r="B402" s="106"/>
      <c r="C402" s="106"/>
    </row>
    <row r="403" spans="1:3" ht="12.75">
      <c r="A403" s="106"/>
      <c r="B403" s="106"/>
      <c r="C403" s="106"/>
    </row>
    <row r="404" spans="1:3" ht="12.75">
      <c r="A404" s="106"/>
      <c r="B404" s="106"/>
      <c r="C404" s="106"/>
    </row>
    <row r="405" spans="1:3" ht="12.75">
      <c r="A405" s="106"/>
      <c r="B405" s="106"/>
      <c r="C405" s="106"/>
    </row>
    <row r="406" spans="1:3" ht="12.75">
      <c r="A406" s="106"/>
      <c r="B406" s="106"/>
      <c r="C406" s="106"/>
    </row>
    <row r="407" spans="1:3" ht="12.75">
      <c r="A407" s="106"/>
      <c r="B407" s="106"/>
      <c r="C407" s="106"/>
    </row>
    <row r="408" spans="1:3" ht="12.75">
      <c r="A408" s="106"/>
      <c r="B408" s="106"/>
      <c r="C408" s="106"/>
    </row>
    <row r="409" spans="1:3" ht="12.75">
      <c r="A409" s="106"/>
      <c r="B409" s="106"/>
      <c r="C409" s="106"/>
    </row>
    <row r="410" spans="1:3" ht="12.75">
      <c r="A410" s="106"/>
      <c r="B410" s="106"/>
      <c r="C410" s="106"/>
    </row>
    <row r="411" spans="1:3" ht="12.75">
      <c r="A411" s="106"/>
      <c r="B411" s="106"/>
      <c r="C411" s="106"/>
    </row>
    <row r="412" spans="1:3" ht="12.75">
      <c r="A412" s="106"/>
      <c r="B412" s="106"/>
      <c r="C412" s="106"/>
    </row>
    <row r="413" spans="1:3" ht="12.75">
      <c r="A413" s="106"/>
      <c r="B413" s="106"/>
      <c r="C413" s="106"/>
    </row>
    <row r="414" spans="1:3" ht="12.75">
      <c r="A414" s="106"/>
      <c r="B414" s="106"/>
      <c r="C414" s="106"/>
    </row>
    <row r="415" spans="1:3" ht="12.75">
      <c r="A415" s="106"/>
      <c r="B415" s="106"/>
      <c r="C415" s="106"/>
    </row>
    <row r="416" spans="1:3" ht="12.75">
      <c r="A416" s="106"/>
      <c r="B416" s="106"/>
      <c r="C416" s="106"/>
    </row>
    <row r="417" spans="1:3" ht="12.75">
      <c r="A417" s="106"/>
      <c r="B417" s="106"/>
      <c r="C417" s="106"/>
    </row>
    <row r="418" spans="1:3" ht="12.75">
      <c r="A418" s="106"/>
      <c r="B418" s="106"/>
      <c r="C418" s="106"/>
    </row>
    <row r="419" spans="1:3" ht="12.75">
      <c r="A419" s="106"/>
      <c r="B419" s="106"/>
      <c r="C419" s="106"/>
    </row>
    <row r="420" spans="1:3" ht="12.75">
      <c r="A420" s="106"/>
      <c r="B420" s="106"/>
      <c r="C420" s="106"/>
    </row>
    <row r="421" spans="1:3" ht="12.75">
      <c r="A421" s="106"/>
      <c r="B421" s="106"/>
      <c r="C421" s="106"/>
    </row>
    <row r="422" spans="1:3" ht="12.75">
      <c r="A422" s="106"/>
      <c r="B422" s="106"/>
      <c r="C422" s="106"/>
    </row>
    <row r="423" spans="1:3" ht="12.75">
      <c r="A423" s="106"/>
      <c r="B423" s="106"/>
      <c r="C423" s="106"/>
    </row>
    <row r="424" spans="1:3" ht="12.75">
      <c r="A424" s="106"/>
      <c r="B424" s="106"/>
      <c r="C424" s="106"/>
    </row>
    <row r="425" spans="1:3" ht="12.75">
      <c r="A425" s="106"/>
      <c r="B425" s="106"/>
      <c r="C425" s="106"/>
    </row>
    <row r="426" spans="1:3" ht="12.75">
      <c r="A426" s="106"/>
      <c r="B426" s="106"/>
      <c r="C426" s="106"/>
    </row>
    <row r="427" spans="1:3" ht="12.75">
      <c r="A427" s="106"/>
      <c r="B427" s="106"/>
      <c r="C427" s="106"/>
    </row>
    <row r="428" spans="1:3" ht="12.75">
      <c r="A428" s="106"/>
      <c r="B428" s="106"/>
      <c r="C428" s="106"/>
    </row>
    <row r="429" spans="1:3" ht="12.75">
      <c r="A429" s="106"/>
      <c r="B429" s="106"/>
      <c r="C429" s="106"/>
    </row>
    <row r="430" spans="1:3" ht="12.75">
      <c r="A430" s="106"/>
      <c r="B430" s="106"/>
      <c r="C430" s="106"/>
    </row>
    <row r="431" spans="1:3" ht="12.75">
      <c r="A431" s="106"/>
      <c r="B431" s="106"/>
      <c r="C431" s="106"/>
    </row>
    <row r="432" spans="1:3" ht="12.75">
      <c r="A432" s="106"/>
      <c r="B432" s="106"/>
      <c r="C432" s="106"/>
    </row>
    <row r="433" spans="1:3" ht="12.75">
      <c r="A433" s="106"/>
      <c r="B433" s="106"/>
      <c r="C433" s="106"/>
    </row>
    <row r="434" spans="1:3" ht="12.75">
      <c r="A434" s="106"/>
      <c r="B434" s="106"/>
      <c r="C434" s="106"/>
    </row>
    <row r="435" spans="1:3" ht="12.75">
      <c r="A435" s="106"/>
      <c r="B435" s="106"/>
      <c r="C435" s="106"/>
    </row>
    <row r="436" spans="1:3" ht="12.75">
      <c r="A436" s="106"/>
      <c r="B436" s="106"/>
      <c r="C436" s="106"/>
    </row>
    <row r="437" spans="1:3" ht="12.75">
      <c r="A437" s="106"/>
      <c r="B437" s="106"/>
      <c r="C437" s="106"/>
    </row>
    <row r="438" spans="1:3" ht="12.75">
      <c r="A438" s="106"/>
      <c r="B438" s="106"/>
      <c r="C438" s="106"/>
    </row>
    <row r="439" spans="1:3" ht="12.75">
      <c r="A439" s="106"/>
      <c r="B439" s="106"/>
      <c r="C439" s="106"/>
    </row>
    <row r="440" spans="1:3" ht="12.75">
      <c r="A440" s="106"/>
      <c r="B440" s="106"/>
      <c r="C440" s="106"/>
    </row>
    <row r="441" spans="1:3" ht="12.75">
      <c r="A441" s="106"/>
      <c r="B441" s="106"/>
      <c r="C441" s="106"/>
    </row>
    <row r="442" spans="1:3" ht="12.75">
      <c r="A442" s="106"/>
      <c r="B442" s="106"/>
      <c r="C442" s="106"/>
    </row>
    <row r="443" spans="1:3" ht="12.75">
      <c r="A443" s="106"/>
      <c r="B443" s="106"/>
      <c r="C443" s="106"/>
    </row>
    <row r="444" spans="1:3" ht="12.75">
      <c r="A444" s="106"/>
      <c r="B444" s="106"/>
      <c r="C444" s="106"/>
    </row>
    <row r="445" spans="1:3" ht="12.75">
      <c r="A445" s="106"/>
      <c r="B445" s="106"/>
      <c r="C445" s="106"/>
    </row>
    <row r="446" spans="1:3" ht="12.75">
      <c r="A446" s="106"/>
      <c r="B446" s="106"/>
      <c r="C446" s="106"/>
    </row>
    <row r="447" spans="1:3" ht="12.75">
      <c r="A447" s="106"/>
      <c r="B447" s="106"/>
      <c r="C447" s="106"/>
    </row>
    <row r="448" spans="1:3" ht="12.75">
      <c r="A448" s="106"/>
      <c r="B448" s="106"/>
      <c r="C448" s="106"/>
    </row>
    <row r="449" spans="1:3" ht="12.75">
      <c r="A449" s="106"/>
      <c r="B449" s="106"/>
      <c r="C449" s="106"/>
    </row>
    <row r="450" spans="1:3" ht="12.75">
      <c r="A450" s="106"/>
      <c r="B450" s="106"/>
      <c r="C450" s="106"/>
    </row>
    <row r="451" spans="1:3" ht="12.75">
      <c r="A451" s="106"/>
      <c r="B451" s="106"/>
      <c r="C451" s="106"/>
    </row>
    <row r="452" spans="1:3" ht="12.75">
      <c r="A452" s="106"/>
      <c r="B452" s="106"/>
      <c r="C452" s="106"/>
    </row>
    <row r="453" spans="1:3" ht="12.75">
      <c r="A453" s="106"/>
      <c r="B453" s="106"/>
      <c r="C453" s="106"/>
    </row>
    <row r="454" spans="1:3" ht="12.75">
      <c r="A454" s="106"/>
      <c r="B454" s="106"/>
      <c r="C454" s="106"/>
    </row>
    <row r="455" spans="1:3" ht="12.75">
      <c r="A455" s="106"/>
      <c r="B455" s="106"/>
      <c r="C455" s="106"/>
    </row>
    <row r="456" spans="1:3" ht="12.75">
      <c r="A456" s="106"/>
      <c r="B456" s="106"/>
      <c r="C456" s="106"/>
    </row>
    <row r="457" spans="1:3" ht="12.75">
      <c r="A457" s="106"/>
      <c r="B457" s="106"/>
      <c r="C457" s="106"/>
    </row>
    <row r="458" spans="1:3" ht="12.75">
      <c r="A458" s="106"/>
      <c r="B458" s="106"/>
      <c r="C458" s="106"/>
    </row>
    <row r="459" spans="1:3" ht="12.75">
      <c r="A459" s="106"/>
      <c r="B459" s="106"/>
      <c r="C459" s="106"/>
    </row>
    <row r="460" spans="1:3" ht="12.75">
      <c r="A460" s="106"/>
      <c r="B460" s="106"/>
      <c r="C460" s="106"/>
    </row>
    <row r="461" spans="1:3" ht="12.75">
      <c r="A461" s="106"/>
      <c r="B461" s="106"/>
      <c r="C461" s="106"/>
    </row>
    <row r="462" spans="1:3" ht="12.75">
      <c r="A462" s="106"/>
      <c r="B462" s="106"/>
      <c r="C462" s="106"/>
    </row>
    <row r="463" spans="1:3" ht="12.75">
      <c r="A463" s="106"/>
      <c r="B463" s="106"/>
      <c r="C463" s="106"/>
    </row>
    <row r="464" spans="1:3" ht="12.75">
      <c r="A464" s="106"/>
      <c r="B464" s="106"/>
      <c r="C464" s="106"/>
    </row>
    <row r="465" spans="1:3" ht="12.75">
      <c r="A465" s="106"/>
      <c r="B465" s="106"/>
      <c r="C465" s="106"/>
    </row>
    <row r="466" spans="1:3" ht="12.75">
      <c r="A466" s="106"/>
      <c r="B466" s="106"/>
      <c r="C466" s="106"/>
    </row>
    <row r="467" spans="1:3" ht="12.75">
      <c r="A467" s="106"/>
      <c r="B467" s="106"/>
      <c r="C467" s="106"/>
    </row>
    <row r="468" spans="1:3" ht="12.75">
      <c r="A468" s="106"/>
      <c r="B468" s="106"/>
      <c r="C468" s="106"/>
    </row>
    <row r="469" spans="1:3" ht="12.75">
      <c r="A469" s="106"/>
      <c r="B469" s="106"/>
      <c r="C469" s="106"/>
    </row>
    <row r="470" spans="1:3" ht="12.75">
      <c r="A470" s="106"/>
      <c r="B470" s="106"/>
      <c r="C470" s="106"/>
    </row>
    <row r="471" spans="1:3" ht="12.75">
      <c r="A471" s="106"/>
      <c r="B471" s="106"/>
      <c r="C471" s="106"/>
    </row>
    <row r="472" spans="1:3" ht="12.75">
      <c r="A472" s="106"/>
      <c r="B472" s="106"/>
      <c r="C472" s="106"/>
    </row>
    <row r="473" spans="1:3" ht="12.75">
      <c r="A473" s="106"/>
      <c r="B473" s="106"/>
      <c r="C473" s="106"/>
    </row>
    <row r="474" spans="1:3" ht="12.75">
      <c r="A474" s="106"/>
      <c r="B474" s="106"/>
      <c r="C474" s="106"/>
    </row>
    <row r="475" spans="1:3" ht="12.75">
      <c r="A475" s="106"/>
      <c r="B475" s="106"/>
      <c r="C475" s="106"/>
    </row>
    <row r="476" spans="1:3" ht="12.75">
      <c r="A476" s="106"/>
      <c r="B476" s="106"/>
      <c r="C476" s="106"/>
    </row>
    <row r="477" spans="1:3" ht="12.75">
      <c r="A477" s="106"/>
      <c r="B477" s="106"/>
      <c r="C477" s="106"/>
    </row>
    <row r="478" spans="1:3" ht="12.75">
      <c r="A478" s="106"/>
      <c r="B478" s="106"/>
      <c r="C478" s="106"/>
    </row>
    <row r="479" spans="1:3" ht="12.75">
      <c r="A479" s="106"/>
      <c r="B479" s="106"/>
      <c r="C479" s="106"/>
    </row>
    <row r="480" spans="1:3" ht="12.75">
      <c r="A480" s="106"/>
      <c r="B480" s="106"/>
      <c r="C480" s="106"/>
    </row>
    <row r="481" spans="1:3" ht="12.75">
      <c r="A481" s="106"/>
      <c r="B481" s="106"/>
      <c r="C481" s="106"/>
    </row>
    <row r="482" spans="1:3" ht="12.75">
      <c r="A482" s="106"/>
      <c r="B482" s="106"/>
      <c r="C482" s="106"/>
    </row>
    <row r="483" spans="1:3" ht="12.75">
      <c r="A483" s="106"/>
      <c r="B483" s="106"/>
      <c r="C483" s="106"/>
    </row>
    <row r="484" spans="1:3" ht="12.75">
      <c r="A484" s="106"/>
      <c r="B484" s="106"/>
      <c r="C484" s="106"/>
    </row>
    <row r="485" spans="1:3" ht="12.75">
      <c r="A485" s="106"/>
      <c r="B485" s="106"/>
      <c r="C485" s="106"/>
    </row>
    <row r="486" spans="1:3" ht="12.75">
      <c r="A486" s="106"/>
      <c r="B486" s="106"/>
      <c r="C486" s="106"/>
    </row>
    <row r="487" spans="1:3" ht="12.75">
      <c r="A487" s="106"/>
      <c r="B487" s="106"/>
      <c r="C487" s="106"/>
    </row>
    <row r="488" spans="1:3" ht="12.75">
      <c r="A488" s="106"/>
      <c r="B488" s="106"/>
      <c r="C488" s="106"/>
    </row>
    <row r="489" spans="1:3" ht="12.75">
      <c r="A489" s="106"/>
      <c r="B489" s="106"/>
      <c r="C489" s="106"/>
    </row>
    <row r="490" spans="1:3" ht="12.75">
      <c r="A490" s="106"/>
      <c r="B490" s="106"/>
      <c r="C490" s="106"/>
    </row>
    <row r="491" spans="1:3" ht="12.75">
      <c r="A491" s="106"/>
      <c r="B491" s="106"/>
      <c r="C491" s="106"/>
    </row>
    <row r="492" spans="1:3" ht="12.75">
      <c r="A492" s="106"/>
      <c r="B492" s="106"/>
      <c r="C492" s="106"/>
    </row>
    <row r="493" spans="1:3" ht="12.75">
      <c r="A493" s="106"/>
      <c r="B493" s="106"/>
      <c r="C493" s="106"/>
    </row>
    <row r="494" spans="1:3" ht="12.75">
      <c r="A494" s="106"/>
      <c r="B494" s="106"/>
      <c r="C494" s="106"/>
    </row>
    <row r="495" spans="1:3" ht="12.75">
      <c r="A495" s="106"/>
      <c r="B495" s="106"/>
      <c r="C495" s="106"/>
    </row>
    <row r="496" spans="1:3" ht="12.75">
      <c r="A496" s="106"/>
      <c r="B496" s="106"/>
      <c r="C496" s="106"/>
    </row>
    <row r="497" spans="1:3" ht="12.75">
      <c r="A497" s="106"/>
      <c r="B497" s="106"/>
      <c r="C497" s="106"/>
    </row>
    <row r="498" spans="1:3" ht="12.75">
      <c r="A498" s="106"/>
      <c r="B498" s="106"/>
      <c r="C498" s="106"/>
    </row>
    <row r="499" spans="1:3" ht="12.75">
      <c r="A499" s="106"/>
      <c r="B499" s="106"/>
      <c r="C499" s="106"/>
    </row>
    <row r="500" spans="1:3" ht="12.75">
      <c r="A500" s="106"/>
      <c r="B500" s="106"/>
      <c r="C500" s="106"/>
    </row>
    <row r="501" spans="1:3" ht="12.75">
      <c r="A501" s="106"/>
      <c r="B501" s="106"/>
      <c r="C501" s="106"/>
    </row>
    <row r="502" spans="1:3" ht="12.75">
      <c r="A502" s="106"/>
      <c r="B502" s="106"/>
      <c r="C502" s="106"/>
    </row>
    <row r="503" spans="1:3" ht="12.75">
      <c r="A503" s="106"/>
      <c r="B503" s="106"/>
      <c r="C503" s="106"/>
    </row>
    <row r="504" spans="1:3" ht="12.75">
      <c r="A504" s="106"/>
      <c r="B504" s="106"/>
      <c r="C504" s="106"/>
    </row>
    <row r="505" spans="1:3" ht="12.75">
      <c r="A505" s="106"/>
      <c r="B505" s="106"/>
      <c r="C505" s="106"/>
    </row>
    <row r="506" spans="1:3" ht="12.75">
      <c r="A506" s="106"/>
      <c r="B506" s="106"/>
      <c r="C506" s="106"/>
    </row>
    <row r="507" spans="1:3" ht="12.75">
      <c r="A507" s="106"/>
      <c r="B507" s="106"/>
      <c r="C507" s="106"/>
    </row>
    <row r="508" spans="1:3" ht="12.75">
      <c r="A508" s="106"/>
      <c r="B508" s="106"/>
      <c r="C508" s="106"/>
    </row>
    <row r="509" spans="1:3" ht="12.75">
      <c r="A509" s="106"/>
      <c r="B509" s="106"/>
      <c r="C509" s="106"/>
    </row>
    <row r="510" spans="1:3" ht="12.75">
      <c r="A510" s="106"/>
      <c r="B510" s="106"/>
      <c r="C510" s="106"/>
    </row>
    <row r="511" spans="1:3" ht="12.75">
      <c r="A511" s="106"/>
      <c r="B511" s="106"/>
      <c r="C511" s="106"/>
    </row>
    <row r="512" spans="1:3" ht="12.75">
      <c r="A512" s="106"/>
      <c r="B512" s="106"/>
      <c r="C512" s="106"/>
    </row>
    <row r="513" spans="1:3" ht="12.75">
      <c r="A513" s="106"/>
      <c r="B513" s="106"/>
      <c r="C513" s="106"/>
    </row>
    <row r="514" spans="1:3" ht="12.75">
      <c r="A514" s="106"/>
      <c r="B514" s="106"/>
      <c r="C514" s="106"/>
    </row>
    <row r="515" spans="1:3" ht="12.75">
      <c r="A515" s="106"/>
      <c r="B515" s="106"/>
      <c r="C515" s="106"/>
    </row>
    <row r="516" spans="1:3" ht="12.75">
      <c r="A516" s="106"/>
      <c r="B516" s="106"/>
      <c r="C516" s="106"/>
    </row>
    <row r="517" spans="1:3" ht="12.75">
      <c r="A517" s="106"/>
      <c r="B517" s="106"/>
      <c r="C517" s="106"/>
    </row>
    <row r="518" spans="1:3" ht="12.75">
      <c r="A518" s="106"/>
      <c r="B518" s="106"/>
      <c r="C518" s="106"/>
    </row>
    <row r="519" spans="1:3" ht="12.75">
      <c r="A519" s="106"/>
      <c r="B519" s="106"/>
      <c r="C519" s="106"/>
    </row>
    <row r="520" spans="1:3" ht="12.75">
      <c r="A520" s="106"/>
      <c r="B520" s="106"/>
      <c r="C520" s="106"/>
    </row>
    <row r="521" spans="1:3" ht="12.75">
      <c r="A521" s="106"/>
      <c r="B521" s="106"/>
      <c r="C521" s="106"/>
    </row>
    <row r="522" spans="1:3" ht="12.75">
      <c r="A522" s="106"/>
      <c r="B522" s="106"/>
      <c r="C522" s="106"/>
    </row>
    <row r="523" spans="1:3" ht="12.75">
      <c r="A523" s="106"/>
      <c r="B523" s="106"/>
      <c r="C523" s="106"/>
    </row>
    <row r="524" spans="1:3" ht="12.75">
      <c r="A524" s="106"/>
      <c r="B524" s="106"/>
      <c r="C524" s="106"/>
    </row>
    <row r="525" spans="1:3" ht="12.75">
      <c r="A525" s="106"/>
      <c r="B525" s="106"/>
      <c r="C525" s="106"/>
    </row>
    <row r="526" spans="1:3" ht="12.75">
      <c r="A526" s="106"/>
      <c r="B526" s="106"/>
      <c r="C526" s="106"/>
    </row>
    <row r="527" spans="1:3" ht="12.75">
      <c r="A527" s="106"/>
      <c r="B527" s="106"/>
      <c r="C527" s="106"/>
    </row>
    <row r="528" spans="1:3" ht="12.75">
      <c r="A528" s="106"/>
      <c r="B528" s="106"/>
      <c r="C528" s="106"/>
    </row>
    <row r="529" spans="1:3" ht="12.75">
      <c r="A529" s="106"/>
      <c r="B529" s="106"/>
      <c r="C529" s="106"/>
    </row>
    <row r="530" spans="1:3" ht="12.75">
      <c r="A530" s="106"/>
      <c r="B530" s="106"/>
      <c r="C530" s="106"/>
    </row>
    <row r="531" spans="1:3" ht="12.75">
      <c r="A531" s="106"/>
      <c r="B531" s="106"/>
      <c r="C531" s="106"/>
    </row>
    <row r="532" spans="1:3" ht="12.75">
      <c r="A532" s="106"/>
      <c r="B532" s="106"/>
      <c r="C532" s="106"/>
    </row>
    <row r="533" spans="1:3" ht="12.75">
      <c r="A533" s="106"/>
      <c r="B533" s="106"/>
      <c r="C533" s="106"/>
    </row>
    <row r="534" spans="1:3" ht="12.75">
      <c r="A534" s="106"/>
      <c r="B534" s="106"/>
      <c r="C534" s="106"/>
    </row>
    <row r="535" spans="1:3" ht="12.75">
      <c r="A535" s="106"/>
      <c r="B535" s="106"/>
      <c r="C535" s="106"/>
    </row>
    <row r="536" spans="1:3" ht="12.75">
      <c r="A536" s="106"/>
      <c r="B536" s="106"/>
      <c r="C536" s="106"/>
    </row>
    <row r="537" spans="1:3" ht="12.75">
      <c r="A537" s="106"/>
      <c r="B537" s="106"/>
      <c r="C537" s="106"/>
    </row>
    <row r="538" spans="1:3" ht="12.75">
      <c r="A538" s="106"/>
      <c r="B538" s="106"/>
      <c r="C538" s="106"/>
    </row>
    <row r="539" spans="1:3" ht="12.75">
      <c r="A539" s="106"/>
      <c r="B539" s="106"/>
      <c r="C539" s="106"/>
    </row>
    <row r="540" spans="1:3" ht="12.75">
      <c r="A540" s="106"/>
      <c r="B540" s="106"/>
      <c r="C540" s="106"/>
    </row>
    <row r="541" spans="1:3" ht="12.75">
      <c r="A541" s="106"/>
      <c r="B541" s="106"/>
      <c r="C541" s="106"/>
    </row>
    <row r="542" spans="1:3" ht="12.75">
      <c r="A542" s="106"/>
      <c r="B542" s="106"/>
      <c r="C542" s="106"/>
    </row>
    <row r="543" spans="1:3" ht="12.75">
      <c r="A543" s="106"/>
      <c r="B543" s="106"/>
      <c r="C543" s="106"/>
    </row>
    <row r="544" spans="1:3" ht="12.75">
      <c r="A544" s="106"/>
      <c r="B544" s="106"/>
      <c r="C544" s="106"/>
    </row>
    <row r="545" spans="1:3" ht="12.75">
      <c r="A545" s="106"/>
      <c r="B545" s="106"/>
      <c r="C545" s="106"/>
    </row>
    <row r="546" spans="1:3" ht="12.75">
      <c r="A546" s="106"/>
      <c r="B546" s="106"/>
      <c r="C546" s="106"/>
    </row>
    <row r="547" spans="1:3" ht="12.75">
      <c r="A547" s="106"/>
      <c r="B547" s="106"/>
      <c r="C547" s="106"/>
    </row>
    <row r="548" spans="1:3" ht="12.75">
      <c r="A548" s="106"/>
      <c r="B548" s="106"/>
      <c r="C548" s="106"/>
    </row>
    <row r="549" spans="1:3" ht="12.75">
      <c r="A549" s="106"/>
      <c r="B549" s="106"/>
      <c r="C549" s="106"/>
    </row>
    <row r="550" spans="1:3" ht="12.75">
      <c r="A550" s="106"/>
      <c r="B550" s="106"/>
      <c r="C550" s="106"/>
    </row>
    <row r="551" spans="1:3" ht="12.75">
      <c r="A551" s="106"/>
      <c r="B551" s="106"/>
      <c r="C551" s="106"/>
    </row>
    <row r="552" spans="1:3" ht="12.75">
      <c r="A552" s="106"/>
      <c r="B552" s="106"/>
      <c r="C552" s="106"/>
    </row>
    <row r="553" spans="1:3" ht="12.75">
      <c r="A553" s="106"/>
      <c r="B553" s="106"/>
      <c r="C553" s="106"/>
    </row>
    <row r="554" spans="1:3" ht="12.75">
      <c r="A554" s="106"/>
      <c r="B554" s="106"/>
      <c r="C554" s="106"/>
    </row>
    <row r="555" spans="1:3" ht="12.75">
      <c r="A555" s="106"/>
      <c r="B555" s="106"/>
      <c r="C555" s="106"/>
    </row>
    <row r="556" spans="1:3" ht="12.75">
      <c r="A556" s="106"/>
      <c r="B556" s="106"/>
      <c r="C556" s="106"/>
    </row>
    <row r="557" spans="1:3" ht="12.75">
      <c r="A557" s="106"/>
      <c r="B557" s="106"/>
      <c r="C557" s="106"/>
    </row>
    <row r="558" spans="1:3" ht="12.75">
      <c r="A558" s="106"/>
      <c r="B558" s="106"/>
      <c r="C558" s="106"/>
    </row>
    <row r="559" spans="1:3" ht="12.75">
      <c r="A559" s="106"/>
      <c r="B559" s="106"/>
      <c r="C559" s="106"/>
    </row>
    <row r="560" spans="1:3" ht="12.75">
      <c r="A560" s="106"/>
      <c r="B560" s="106"/>
      <c r="C560" s="106"/>
    </row>
    <row r="561" spans="1:3" ht="12.75">
      <c r="A561" s="106"/>
      <c r="B561" s="106"/>
      <c r="C561" s="106"/>
    </row>
    <row r="562" spans="1:3" ht="12.75">
      <c r="A562" s="106"/>
      <c r="B562" s="106"/>
      <c r="C562" s="106"/>
    </row>
    <row r="563" spans="1:3" ht="12.75">
      <c r="A563" s="106"/>
      <c r="B563" s="106"/>
      <c r="C563" s="106"/>
    </row>
    <row r="564" spans="1:3" ht="12.75">
      <c r="A564" s="106"/>
      <c r="B564" s="106"/>
      <c r="C564" s="106"/>
    </row>
    <row r="565" spans="1:3" ht="12.75">
      <c r="A565" s="106"/>
      <c r="B565" s="106"/>
      <c r="C565" s="106"/>
    </row>
    <row r="566" spans="1:3" ht="12.75">
      <c r="A566" s="106"/>
      <c r="B566" s="106"/>
      <c r="C566" s="106"/>
    </row>
    <row r="567" spans="1:3" ht="12.75">
      <c r="A567" s="106"/>
      <c r="B567" s="106"/>
      <c r="C567" s="106"/>
    </row>
    <row r="568" spans="1:3" ht="12.75">
      <c r="A568" s="106"/>
      <c r="B568" s="106"/>
      <c r="C568" s="106"/>
    </row>
    <row r="569" spans="1:3" ht="12.75">
      <c r="A569" s="106"/>
      <c r="B569" s="106"/>
      <c r="C569" s="106"/>
    </row>
    <row r="570" spans="1:3" ht="12.75">
      <c r="A570" s="106"/>
      <c r="B570" s="106"/>
      <c r="C570" s="106"/>
    </row>
    <row r="571" spans="1:3" ht="12.75">
      <c r="A571" s="106"/>
      <c r="B571" s="106"/>
      <c r="C571" s="106"/>
    </row>
    <row r="572" spans="1:3" ht="12.75">
      <c r="A572" s="106"/>
      <c r="B572" s="106"/>
      <c r="C572" s="106"/>
    </row>
    <row r="573" spans="1:3" ht="12.75">
      <c r="A573" s="106"/>
      <c r="B573" s="106"/>
      <c r="C573" s="106"/>
    </row>
    <row r="574" spans="1:3" ht="12.75">
      <c r="A574" s="106"/>
      <c r="B574" s="106"/>
      <c r="C574" s="106"/>
    </row>
    <row r="575" spans="1:3" ht="12.75">
      <c r="A575" s="106"/>
      <c r="B575" s="106"/>
      <c r="C575" s="106"/>
    </row>
    <row r="576" spans="1:3" ht="12.75">
      <c r="A576" s="106"/>
      <c r="B576" s="106"/>
      <c r="C576" s="106"/>
    </row>
    <row r="577" spans="1:3" ht="12.75">
      <c r="A577" s="106"/>
      <c r="B577" s="106"/>
      <c r="C577" s="106"/>
    </row>
    <row r="578" spans="1:3" ht="12.75">
      <c r="A578" s="106"/>
      <c r="B578" s="106"/>
      <c r="C578" s="106"/>
    </row>
    <row r="579" spans="1:3" ht="12.75">
      <c r="A579" s="106"/>
      <c r="B579" s="106"/>
      <c r="C579" s="106"/>
    </row>
    <row r="580" spans="1:3" ht="12.75">
      <c r="A580" s="106"/>
      <c r="B580" s="106"/>
      <c r="C580" s="106"/>
    </row>
    <row r="581" spans="1:3" ht="12.75">
      <c r="A581" s="106"/>
      <c r="B581" s="106"/>
      <c r="C581" s="106"/>
    </row>
    <row r="582" spans="1:3" ht="12.75">
      <c r="A582" s="106"/>
      <c r="B582" s="106"/>
      <c r="C582" s="106"/>
    </row>
    <row r="583" spans="1:3" ht="12.75">
      <c r="A583" s="106"/>
      <c r="B583" s="106"/>
      <c r="C583" s="106"/>
    </row>
    <row r="584" spans="1:3" ht="12.75">
      <c r="A584" s="106"/>
      <c r="B584" s="106"/>
      <c r="C584" s="106"/>
    </row>
    <row r="585" spans="1:3" ht="12.75">
      <c r="A585" s="106"/>
      <c r="B585" s="106"/>
      <c r="C585" s="106"/>
    </row>
    <row r="586" spans="1:3" ht="12.75">
      <c r="A586" s="106"/>
      <c r="B586" s="106"/>
      <c r="C586" s="106"/>
    </row>
    <row r="587" spans="1:3" ht="12.75">
      <c r="A587" s="106"/>
      <c r="B587" s="106"/>
      <c r="C587" s="106"/>
    </row>
    <row r="588" spans="1:3" ht="12.75">
      <c r="A588" s="106"/>
      <c r="B588" s="106"/>
      <c r="C588" s="106"/>
    </row>
    <row r="589" spans="1:3" ht="12.75">
      <c r="A589" s="106"/>
      <c r="B589" s="106"/>
      <c r="C589" s="106"/>
    </row>
    <row r="590" spans="1:3" ht="12.75">
      <c r="A590" s="106"/>
      <c r="B590" s="106"/>
      <c r="C590" s="106"/>
    </row>
    <row r="591" spans="1:3" ht="12.75">
      <c r="A591" s="106"/>
      <c r="B591" s="106"/>
      <c r="C591" s="106"/>
    </row>
    <row r="592" spans="1:3" ht="12.75">
      <c r="A592" s="106"/>
      <c r="B592" s="106"/>
      <c r="C592" s="106"/>
    </row>
    <row r="593" spans="1:3" ht="12.75">
      <c r="A593" s="106"/>
      <c r="B593" s="106"/>
      <c r="C593" s="106"/>
    </row>
    <row r="594" spans="1:3" ht="12.75">
      <c r="A594" s="106"/>
      <c r="B594" s="106"/>
      <c r="C594" s="106"/>
    </row>
    <row r="595" spans="1:3" ht="12.75">
      <c r="A595" s="106"/>
      <c r="B595" s="106"/>
      <c r="C595" s="106"/>
    </row>
    <row r="596" spans="1:3" ht="12.75">
      <c r="A596" s="106"/>
      <c r="B596" s="106"/>
      <c r="C596" s="106"/>
    </row>
    <row r="597" spans="1:3" ht="12.75">
      <c r="A597" s="106"/>
      <c r="B597" s="106"/>
      <c r="C597" s="106"/>
    </row>
    <row r="598" spans="1:3" ht="12.75">
      <c r="A598" s="106"/>
      <c r="B598" s="106"/>
      <c r="C598" s="106"/>
    </row>
    <row r="599" spans="1:3" ht="12.75">
      <c r="A599" s="106"/>
      <c r="B599" s="106"/>
      <c r="C599" s="106"/>
    </row>
    <row r="600" spans="1:3" ht="12.75">
      <c r="A600" s="106"/>
      <c r="B600" s="106"/>
      <c r="C600" s="106"/>
    </row>
    <row r="601" spans="1:3" ht="12.75">
      <c r="A601" s="106"/>
      <c r="B601" s="106"/>
      <c r="C601" s="106"/>
    </row>
    <row r="602" spans="1:3" ht="12.75">
      <c r="A602" s="106"/>
      <c r="B602" s="106"/>
      <c r="C602" s="106"/>
    </row>
    <row r="603" spans="1:3" ht="12.75">
      <c r="A603" s="106"/>
      <c r="B603" s="106"/>
      <c r="C603" s="106"/>
    </row>
    <row r="604" spans="1:3" ht="12.75">
      <c r="A604" s="106"/>
      <c r="B604" s="106"/>
      <c r="C604" s="106"/>
    </row>
    <row r="605" spans="1:3" ht="12.75">
      <c r="A605" s="106"/>
      <c r="B605" s="106"/>
      <c r="C605" s="106"/>
    </row>
    <row r="606" spans="1:3" ht="12.75">
      <c r="A606" s="106"/>
      <c r="B606" s="106"/>
      <c r="C606" s="106"/>
    </row>
    <row r="607" spans="1:3" ht="12.75">
      <c r="A607" s="106"/>
      <c r="B607" s="106"/>
      <c r="C607" s="106"/>
    </row>
    <row r="608" spans="1:3" ht="12.75">
      <c r="A608" s="106"/>
      <c r="B608" s="106"/>
      <c r="C608" s="106"/>
    </row>
    <row r="609" spans="1:3" ht="12.75">
      <c r="A609" s="106"/>
      <c r="B609" s="106"/>
      <c r="C609" s="106"/>
    </row>
    <row r="610" spans="1:3" ht="12.75">
      <c r="A610" s="106"/>
      <c r="B610" s="106"/>
      <c r="C610" s="106"/>
    </row>
    <row r="611" spans="1:3" ht="12.75">
      <c r="A611" s="106"/>
      <c r="B611" s="106"/>
      <c r="C611" s="106"/>
    </row>
    <row r="612" spans="1:3" ht="12.75">
      <c r="A612" s="106"/>
      <c r="B612" s="106"/>
      <c r="C612" s="106"/>
    </row>
    <row r="613" spans="1:3" ht="12.75">
      <c r="A613" s="106"/>
      <c r="B613" s="106"/>
      <c r="C613" s="106"/>
    </row>
    <row r="614" spans="1:3" ht="12.75">
      <c r="A614" s="106"/>
      <c r="B614" s="106"/>
      <c r="C614" s="106"/>
    </row>
    <row r="615" spans="1:3" ht="12.75">
      <c r="A615" s="106"/>
      <c r="B615" s="106"/>
      <c r="C615" s="106"/>
    </row>
    <row r="616" spans="1:3" ht="12.75">
      <c r="A616" s="106"/>
      <c r="B616" s="106"/>
      <c r="C616" s="106"/>
    </row>
    <row r="617" spans="1:3" ht="12.75">
      <c r="A617" s="106"/>
      <c r="B617" s="106"/>
      <c r="C617" s="106"/>
    </row>
    <row r="618" spans="1:3" ht="12.75">
      <c r="A618" s="106"/>
      <c r="B618" s="106"/>
      <c r="C618" s="106"/>
    </row>
    <row r="619" spans="1:3" ht="12.75">
      <c r="A619" s="106"/>
      <c r="B619" s="106"/>
      <c r="C619" s="106"/>
    </row>
    <row r="620" spans="1:3" ht="12.75">
      <c r="A620" s="106"/>
      <c r="B620" s="106"/>
      <c r="C620" s="106"/>
    </row>
    <row r="621" spans="1:3" ht="12.75">
      <c r="A621" s="106"/>
      <c r="B621" s="106"/>
      <c r="C621" s="106"/>
    </row>
    <row r="622" spans="1:3" ht="12.75">
      <c r="A622" s="106"/>
      <c r="B622" s="106"/>
      <c r="C622" s="106"/>
    </row>
    <row r="623" spans="1:3" ht="12.75">
      <c r="A623" s="106"/>
      <c r="B623" s="106"/>
      <c r="C623" s="106"/>
    </row>
    <row r="624" spans="1:3" ht="12.75">
      <c r="A624" s="106"/>
      <c r="B624" s="106"/>
      <c r="C624" s="106"/>
    </row>
    <row r="625" spans="1:3" ht="12.75">
      <c r="A625" s="106"/>
      <c r="B625" s="106"/>
      <c r="C625" s="106"/>
    </row>
    <row r="626" spans="1:3" ht="12.75">
      <c r="A626" s="106"/>
      <c r="B626" s="106"/>
      <c r="C626" s="106"/>
    </row>
    <row r="627" spans="1:3" ht="12.75">
      <c r="A627" s="106"/>
      <c r="B627" s="106"/>
      <c r="C627" s="106"/>
    </row>
    <row r="628" spans="1:3" ht="12.75">
      <c r="A628" s="106"/>
      <c r="B628" s="106"/>
      <c r="C628" s="106"/>
    </row>
    <row r="629" spans="1:3" ht="12.75">
      <c r="A629" s="106"/>
      <c r="B629" s="106"/>
      <c r="C629" s="106"/>
    </row>
    <row r="630" spans="1:3" ht="12.75">
      <c r="A630" s="106"/>
      <c r="B630" s="106"/>
      <c r="C630" s="106"/>
    </row>
    <row r="631" spans="1:3" ht="12.75">
      <c r="A631" s="106"/>
      <c r="B631" s="106"/>
      <c r="C631" s="106"/>
    </row>
    <row r="632" spans="1:3" ht="12.75">
      <c r="A632" s="106"/>
      <c r="B632" s="106"/>
      <c r="C632" s="106"/>
    </row>
    <row r="633" spans="1:3" ht="12.75">
      <c r="A633" s="106"/>
      <c r="B633" s="106"/>
      <c r="C633" s="106"/>
    </row>
    <row r="634" spans="1:3" ht="12.75">
      <c r="A634" s="106"/>
      <c r="B634" s="106"/>
      <c r="C634" s="106"/>
    </row>
    <row r="635" spans="1:3" ht="12.75">
      <c r="A635" s="106"/>
      <c r="B635" s="106"/>
      <c r="C635" s="106"/>
    </row>
    <row r="636" spans="1:3" ht="12.75">
      <c r="A636" s="106"/>
      <c r="B636" s="106"/>
      <c r="C636" s="106"/>
    </row>
    <row r="637" spans="1:3" ht="12.75">
      <c r="A637" s="106"/>
      <c r="B637" s="106"/>
      <c r="C637" s="106"/>
    </row>
    <row r="638" spans="1:3" ht="12.75">
      <c r="A638" s="106"/>
      <c r="B638" s="106"/>
      <c r="C638" s="106"/>
    </row>
    <row r="639" spans="1:3" ht="12.75">
      <c r="A639" s="106"/>
      <c r="B639" s="106"/>
      <c r="C639" s="106"/>
    </row>
    <row r="640" spans="1:3" ht="12.75">
      <c r="A640" s="106"/>
      <c r="B640" s="106"/>
      <c r="C640" s="106"/>
    </row>
    <row r="641" spans="1:3" ht="12.75">
      <c r="A641" s="106"/>
      <c r="B641" s="106"/>
      <c r="C641" s="106"/>
    </row>
    <row r="642" spans="1:3" ht="12.75">
      <c r="A642" s="106"/>
      <c r="B642" s="106"/>
      <c r="C642" s="106"/>
    </row>
    <row r="643" spans="1:3" ht="12.75">
      <c r="A643" s="106"/>
      <c r="B643" s="106"/>
      <c r="C643" s="106"/>
    </row>
    <row r="644" spans="1:3" ht="12.75">
      <c r="A644" s="106"/>
      <c r="B644" s="106"/>
      <c r="C644" s="106"/>
    </row>
    <row r="645" spans="1:3" ht="12.75">
      <c r="A645" s="106"/>
      <c r="B645" s="106"/>
      <c r="C645" s="106"/>
    </row>
    <row r="646" spans="1:3" ht="12.75">
      <c r="A646" s="106"/>
      <c r="B646" s="106"/>
      <c r="C646" s="106"/>
    </row>
    <row r="647" spans="1:3" ht="12.75">
      <c r="A647" s="106"/>
      <c r="B647" s="106"/>
      <c r="C647" s="106"/>
    </row>
    <row r="648" spans="1:3" ht="12.75">
      <c r="A648" s="106"/>
      <c r="B648" s="106"/>
      <c r="C648" s="106"/>
    </row>
    <row r="649" spans="1:3" ht="12.75">
      <c r="A649" s="106"/>
      <c r="B649" s="106"/>
      <c r="C649" s="106"/>
    </row>
    <row r="650" spans="1:3" ht="12.75">
      <c r="A650" s="106"/>
      <c r="B650" s="106"/>
      <c r="C650" s="106"/>
    </row>
    <row r="651" spans="1:3" ht="12.75">
      <c r="A651" s="106"/>
      <c r="B651" s="106"/>
      <c r="C651" s="106"/>
    </row>
    <row r="652" spans="1:3" ht="12.75">
      <c r="A652" s="106"/>
      <c r="B652" s="106"/>
      <c r="C652" s="106"/>
    </row>
    <row r="653" spans="1:3" ht="12.75">
      <c r="A653" s="106"/>
      <c r="B653" s="106"/>
      <c r="C653" s="106"/>
    </row>
    <row r="654" spans="1:3" ht="12.75">
      <c r="A654" s="106"/>
      <c r="B654" s="106"/>
      <c r="C654" s="106"/>
    </row>
    <row r="655" spans="1:3" ht="12.75">
      <c r="A655" s="106"/>
      <c r="B655" s="106"/>
      <c r="C655" s="106"/>
    </row>
    <row r="656" spans="1:3" ht="12.75">
      <c r="A656" s="106"/>
      <c r="B656" s="106"/>
      <c r="C656" s="106"/>
    </row>
    <row r="657" spans="1:3" ht="12.75">
      <c r="A657" s="106"/>
      <c r="B657" s="106"/>
      <c r="C657" s="106"/>
    </row>
    <row r="658" spans="1:3" ht="12.75">
      <c r="A658" s="106"/>
      <c r="B658" s="106"/>
      <c r="C658" s="106"/>
    </row>
    <row r="659" spans="1:3" ht="12.75">
      <c r="A659" s="106"/>
      <c r="B659" s="106"/>
      <c r="C659" s="106"/>
    </row>
    <row r="660" spans="1:3" ht="12.75">
      <c r="A660" s="106"/>
      <c r="B660" s="106"/>
      <c r="C660" s="106"/>
    </row>
    <row r="661" spans="1:3" ht="12.75">
      <c r="A661" s="106"/>
      <c r="B661" s="106"/>
      <c r="C661" s="106"/>
    </row>
    <row r="662" spans="1:3" ht="12.75">
      <c r="A662" s="106"/>
      <c r="B662" s="106"/>
      <c r="C662" s="106"/>
    </row>
    <row r="663" spans="1:3" ht="12.75">
      <c r="A663" s="106"/>
      <c r="B663" s="106"/>
      <c r="C663" s="106"/>
    </row>
    <row r="664" spans="1:3" ht="12.75">
      <c r="A664" s="106"/>
      <c r="B664" s="106"/>
      <c r="C664" s="106"/>
    </row>
    <row r="665" spans="1:3" ht="12.75">
      <c r="A665" s="106"/>
      <c r="B665" s="106"/>
      <c r="C665" s="106"/>
    </row>
    <row r="666" spans="1:3" ht="12.75">
      <c r="A666" s="106"/>
      <c r="B666" s="106"/>
      <c r="C666" s="106"/>
    </row>
    <row r="667" spans="1:3" ht="12.75">
      <c r="A667" s="106"/>
      <c r="B667" s="106"/>
      <c r="C667" s="106"/>
    </row>
    <row r="668" spans="1:3" ht="12.75">
      <c r="A668" s="106"/>
      <c r="B668" s="106"/>
      <c r="C668" s="106"/>
    </row>
    <row r="669" spans="1:3" ht="12.75">
      <c r="A669" s="106"/>
      <c r="B669" s="106"/>
      <c r="C669" s="106"/>
    </row>
    <row r="670" spans="1:3" ht="12.75">
      <c r="A670" s="106"/>
      <c r="B670" s="106"/>
      <c r="C670" s="106"/>
    </row>
    <row r="671" spans="1:3" ht="12.75">
      <c r="A671" s="106"/>
      <c r="B671" s="106"/>
      <c r="C671" s="106"/>
    </row>
    <row r="672" spans="1:3" ht="12.75">
      <c r="A672" s="106"/>
      <c r="B672" s="106"/>
      <c r="C672" s="106"/>
    </row>
    <row r="673" spans="1:3" ht="12.75">
      <c r="A673" s="106"/>
      <c r="B673" s="106"/>
      <c r="C673" s="106"/>
    </row>
    <row r="674" spans="1:3" ht="12.75">
      <c r="A674" s="106"/>
      <c r="B674" s="106"/>
      <c r="C674" s="106"/>
    </row>
    <row r="675" spans="1:3" ht="12.75">
      <c r="A675" s="106"/>
      <c r="B675" s="106"/>
      <c r="C675" s="106"/>
    </row>
    <row r="676" spans="1:3" ht="12.75">
      <c r="A676" s="106"/>
      <c r="B676" s="106"/>
      <c r="C676" s="106"/>
    </row>
    <row r="677" spans="1:3" ht="12.75">
      <c r="A677" s="106"/>
      <c r="B677" s="106"/>
      <c r="C677" s="106"/>
    </row>
    <row r="678" spans="1:3" ht="12.75">
      <c r="A678" s="106"/>
      <c r="B678" s="106"/>
      <c r="C678" s="106"/>
    </row>
    <row r="679" spans="1:3" ht="12.75">
      <c r="A679" s="106"/>
      <c r="B679" s="106"/>
      <c r="C679" s="106"/>
    </row>
    <row r="680" spans="1:3" ht="12.75">
      <c r="A680" s="106"/>
      <c r="B680" s="106"/>
      <c r="C680" s="106"/>
    </row>
    <row r="681" spans="1:3" ht="12.75">
      <c r="A681" s="106"/>
      <c r="B681" s="106"/>
      <c r="C681" s="106"/>
    </row>
    <row r="682" spans="1:3" ht="12.75">
      <c r="A682" s="106"/>
      <c r="B682" s="106"/>
      <c r="C682" s="106"/>
    </row>
    <row r="683" spans="1:3" ht="12.75">
      <c r="A683" s="106"/>
      <c r="B683" s="106"/>
      <c r="C683" s="106"/>
    </row>
    <row r="684" spans="1:3" ht="12.75">
      <c r="A684" s="106"/>
      <c r="B684" s="106"/>
      <c r="C684" s="106"/>
    </row>
    <row r="685" spans="1:3" ht="12.75">
      <c r="A685" s="106"/>
      <c r="B685" s="106"/>
      <c r="C685" s="106"/>
    </row>
    <row r="686" spans="1:3" ht="12.75">
      <c r="A686" s="106"/>
      <c r="B686" s="106"/>
      <c r="C686" s="106"/>
    </row>
    <row r="687" spans="1:3" ht="12.75">
      <c r="A687" s="106"/>
      <c r="B687" s="106"/>
      <c r="C687" s="106"/>
    </row>
    <row r="688" spans="1:3" ht="12.75">
      <c r="A688" s="106"/>
      <c r="B688" s="106"/>
      <c r="C688" s="106"/>
    </row>
    <row r="689" spans="1:3" ht="12.75">
      <c r="A689" s="106"/>
      <c r="B689" s="106"/>
      <c r="C689" s="106"/>
    </row>
    <row r="690" spans="1:3" ht="12.75">
      <c r="A690" s="106"/>
      <c r="B690" s="106"/>
      <c r="C690" s="106"/>
    </row>
    <row r="691" spans="1:3" ht="12.75">
      <c r="A691" s="106"/>
      <c r="B691" s="106"/>
      <c r="C691" s="106"/>
    </row>
    <row r="692" spans="1:3" ht="12.75">
      <c r="A692" s="106"/>
      <c r="B692" s="106"/>
      <c r="C692" s="106"/>
    </row>
    <row r="693" spans="1:3" ht="12.75">
      <c r="A693" s="106"/>
      <c r="B693" s="106"/>
      <c r="C693" s="106"/>
    </row>
    <row r="694" spans="1:3" ht="12.75">
      <c r="A694" s="106"/>
      <c r="B694" s="106"/>
      <c r="C694" s="106"/>
    </row>
    <row r="695" spans="1:3" ht="12.75">
      <c r="A695" s="106"/>
      <c r="B695" s="106"/>
      <c r="C695" s="106"/>
    </row>
    <row r="696" spans="1:3" ht="12.75">
      <c r="A696" s="106"/>
      <c r="B696" s="106"/>
      <c r="C696" s="106"/>
    </row>
    <row r="697" spans="1:3" ht="12.75">
      <c r="A697" s="106"/>
      <c r="B697" s="106"/>
      <c r="C697" s="106"/>
    </row>
    <row r="698" spans="1:3" ht="12.75">
      <c r="A698" s="106"/>
      <c r="B698" s="106"/>
      <c r="C698" s="106"/>
    </row>
    <row r="699" spans="1:3" ht="12.75">
      <c r="A699" s="106"/>
      <c r="B699" s="106"/>
      <c r="C699" s="106"/>
    </row>
    <row r="700" spans="1:3" ht="12.75">
      <c r="A700" s="106"/>
      <c r="B700" s="106"/>
      <c r="C700" s="106"/>
    </row>
    <row r="701" spans="1:3" ht="12.75">
      <c r="A701" s="106"/>
      <c r="B701" s="106"/>
      <c r="C701" s="106"/>
    </row>
    <row r="702" spans="1:3" ht="12.75">
      <c r="A702" s="106"/>
      <c r="B702" s="106"/>
      <c r="C702" s="106"/>
    </row>
    <row r="703" spans="1:3" ht="12.75">
      <c r="A703" s="106"/>
      <c r="B703" s="106"/>
      <c r="C703" s="106"/>
    </row>
    <row r="704" spans="1:3" ht="12.75">
      <c r="A704" s="106"/>
      <c r="B704" s="106"/>
      <c r="C704" s="106"/>
    </row>
    <row r="705" spans="1:3" ht="12.75">
      <c r="A705" s="106"/>
      <c r="B705" s="106"/>
      <c r="C705" s="106"/>
    </row>
    <row r="706" spans="1:3" ht="12.75">
      <c r="A706" s="106"/>
      <c r="B706" s="106"/>
      <c r="C706" s="106"/>
    </row>
    <row r="707" spans="1:3" ht="12.75">
      <c r="A707" s="106"/>
      <c r="B707" s="106"/>
      <c r="C707" s="106"/>
    </row>
    <row r="708" spans="1:3" ht="12.75">
      <c r="A708" s="106"/>
      <c r="B708" s="106"/>
      <c r="C708" s="106"/>
    </row>
    <row r="709" spans="1:3" ht="12.75">
      <c r="A709" s="106"/>
      <c r="B709" s="106"/>
      <c r="C709" s="106"/>
    </row>
    <row r="710" spans="1:3" ht="12.75">
      <c r="A710" s="106"/>
      <c r="B710" s="106"/>
      <c r="C710" s="106"/>
    </row>
    <row r="711" spans="1:3" ht="12.75">
      <c r="A711" s="106"/>
      <c r="B711" s="106"/>
      <c r="C711" s="106"/>
    </row>
    <row r="712" spans="1:3" ht="12.75">
      <c r="A712" s="106"/>
      <c r="B712" s="106"/>
      <c r="C712" s="106"/>
    </row>
    <row r="713" spans="1:3" ht="12.75">
      <c r="A713" s="106"/>
      <c r="B713" s="106"/>
      <c r="C713" s="106"/>
    </row>
    <row r="714" spans="1:3" ht="12.75">
      <c r="A714" s="106"/>
      <c r="B714" s="106"/>
      <c r="C714" s="106"/>
    </row>
    <row r="715" spans="1:3" ht="12.75">
      <c r="A715" s="106"/>
      <c r="B715" s="106"/>
      <c r="C715" s="106"/>
    </row>
    <row r="716" spans="1:3" ht="12.75">
      <c r="A716" s="106"/>
      <c r="B716" s="106"/>
      <c r="C716" s="106"/>
    </row>
    <row r="717" spans="1:3" ht="12.75">
      <c r="A717" s="106"/>
      <c r="B717" s="106"/>
      <c r="C717" s="106"/>
    </row>
    <row r="718" spans="1:3" ht="12.75">
      <c r="A718" s="106"/>
      <c r="B718" s="106"/>
      <c r="C718" s="106"/>
    </row>
    <row r="719" spans="1:3" ht="12.75">
      <c r="A719" s="106"/>
      <c r="B719" s="106"/>
      <c r="C719" s="106"/>
    </row>
    <row r="720" spans="1:3" ht="12.75">
      <c r="A720" s="106"/>
      <c r="B720" s="106"/>
      <c r="C720" s="106"/>
    </row>
    <row r="721" spans="1:3" ht="12.75">
      <c r="A721" s="106"/>
      <c r="B721" s="106"/>
      <c r="C721" s="106"/>
    </row>
    <row r="722" spans="1:3" ht="12.75">
      <c r="A722" s="106"/>
      <c r="B722" s="106"/>
      <c r="C722" s="106"/>
    </row>
    <row r="723" spans="1:3" ht="12.75">
      <c r="A723" s="106"/>
      <c r="B723" s="106"/>
      <c r="C723" s="106"/>
    </row>
    <row r="724" spans="1:3" ht="12.75">
      <c r="A724" s="106"/>
      <c r="B724" s="106"/>
      <c r="C724" s="106"/>
    </row>
    <row r="725" spans="1:3" ht="12.75">
      <c r="A725" s="106"/>
      <c r="B725" s="106"/>
      <c r="C725" s="106"/>
    </row>
    <row r="726" spans="1:3" ht="12.75">
      <c r="A726" s="106"/>
      <c r="B726" s="106"/>
      <c r="C726" s="106"/>
    </row>
    <row r="727" spans="1:3" ht="12.75">
      <c r="A727" s="106"/>
      <c r="B727" s="106"/>
      <c r="C727" s="106"/>
    </row>
    <row r="728" spans="1:3" ht="12.75">
      <c r="A728" s="106"/>
      <c r="B728" s="106"/>
      <c r="C728" s="106"/>
    </row>
    <row r="729" spans="1:3" ht="12.75">
      <c r="A729" s="106"/>
      <c r="B729" s="106"/>
      <c r="C729" s="106"/>
    </row>
    <row r="730" spans="1:3" ht="12.75">
      <c r="A730" s="106"/>
      <c r="B730" s="106"/>
      <c r="C730" s="106"/>
    </row>
    <row r="731" spans="1:3" ht="12.75">
      <c r="A731" s="106"/>
      <c r="B731" s="106"/>
      <c r="C731" s="106"/>
    </row>
    <row r="732" spans="1:3" ht="12.75">
      <c r="A732" s="106"/>
      <c r="B732" s="106"/>
      <c r="C732" s="106"/>
    </row>
    <row r="733" spans="1:3" ht="12.75">
      <c r="A733" s="106"/>
      <c r="B733" s="106"/>
      <c r="C733" s="106"/>
    </row>
    <row r="734" spans="1:3" ht="12.75">
      <c r="A734" s="106"/>
      <c r="B734" s="106"/>
      <c r="C734" s="106"/>
    </row>
    <row r="735" spans="1:3" ht="12.75">
      <c r="A735" s="106"/>
      <c r="B735" s="106"/>
      <c r="C735" s="106"/>
    </row>
    <row r="736" spans="1:3" ht="12.75">
      <c r="A736" s="106"/>
      <c r="B736" s="106"/>
      <c r="C736" s="106"/>
    </row>
    <row r="737" spans="1:3" ht="12.75">
      <c r="A737" s="106"/>
      <c r="B737" s="106"/>
      <c r="C737" s="106"/>
    </row>
    <row r="738" spans="1:3" ht="12.75">
      <c r="A738" s="106"/>
      <c r="B738" s="106"/>
      <c r="C738" s="106"/>
    </row>
    <row r="739" spans="1:3" ht="12.75">
      <c r="A739" s="106"/>
      <c r="B739" s="106"/>
      <c r="C739" s="106"/>
    </row>
    <row r="740" spans="1:3" ht="12.75">
      <c r="A740" s="106"/>
      <c r="B740" s="106"/>
      <c r="C740" s="106"/>
    </row>
    <row r="741" spans="1:3" ht="12.75">
      <c r="A741" s="106"/>
      <c r="B741" s="106"/>
      <c r="C741" s="106"/>
    </row>
    <row r="742" spans="1:3" ht="12.75">
      <c r="A742" s="106"/>
      <c r="B742" s="106"/>
      <c r="C742" s="106"/>
    </row>
    <row r="743" spans="1:3" ht="12.75">
      <c r="A743" s="106"/>
      <c r="B743" s="106"/>
      <c r="C743" s="106"/>
    </row>
    <row r="744" spans="1:3" ht="12.75">
      <c r="A744" s="106"/>
      <c r="B744" s="106"/>
      <c r="C744" s="106"/>
    </row>
    <row r="745" spans="1:3" ht="12.75">
      <c r="A745" s="106"/>
      <c r="B745" s="106"/>
      <c r="C745" s="106"/>
    </row>
    <row r="746" spans="1:3" ht="12.75">
      <c r="A746" s="106"/>
      <c r="B746" s="106"/>
      <c r="C746" s="106"/>
    </row>
    <row r="747" spans="1:3" ht="12.75">
      <c r="A747" s="106"/>
      <c r="B747" s="106"/>
      <c r="C747" s="106"/>
    </row>
    <row r="748" spans="1:3" ht="12.75">
      <c r="A748" s="106"/>
      <c r="B748" s="106"/>
      <c r="C748" s="106"/>
    </row>
    <row r="749" spans="1:3" ht="12.75">
      <c r="A749" s="106"/>
      <c r="B749" s="106"/>
      <c r="C749" s="106"/>
    </row>
    <row r="750" spans="1:3" ht="12.75">
      <c r="A750" s="106"/>
      <c r="B750" s="106"/>
      <c r="C750" s="106"/>
    </row>
    <row r="751" spans="1:3" ht="12.75">
      <c r="A751" s="106"/>
      <c r="B751" s="106"/>
      <c r="C751" s="106"/>
    </row>
    <row r="752" spans="1:3" ht="12.75">
      <c r="A752" s="106"/>
      <c r="B752" s="106"/>
      <c r="C752" s="106"/>
    </row>
    <row r="753" spans="1:3" ht="12.75">
      <c r="A753" s="106"/>
      <c r="B753" s="106"/>
      <c r="C753" s="106"/>
    </row>
    <row r="754" spans="1:3" ht="12.75">
      <c r="A754" s="106"/>
      <c r="B754" s="106"/>
      <c r="C754" s="106"/>
    </row>
    <row r="755" spans="1:3" ht="12.75">
      <c r="A755" s="106"/>
      <c r="B755" s="106"/>
      <c r="C755" s="106"/>
    </row>
    <row r="756" spans="1:3" ht="12.75">
      <c r="A756" s="106"/>
      <c r="B756" s="106"/>
      <c r="C756" s="106"/>
    </row>
    <row r="757" spans="1:3" ht="12.75">
      <c r="A757" s="106"/>
      <c r="B757" s="106"/>
      <c r="C757" s="106"/>
    </row>
    <row r="758" spans="1:3" ht="12.75">
      <c r="A758" s="106"/>
      <c r="B758" s="106"/>
      <c r="C758" s="106"/>
    </row>
    <row r="759" spans="1:3" ht="12.75">
      <c r="A759" s="106"/>
      <c r="B759" s="106"/>
      <c r="C759" s="106"/>
    </row>
    <row r="760" spans="1:3" ht="12.75">
      <c r="A760" s="106"/>
      <c r="B760" s="106"/>
      <c r="C760" s="106"/>
    </row>
    <row r="761" spans="1:3" ht="12.75">
      <c r="A761" s="106"/>
      <c r="B761" s="106"/>
      <c r="C761" s="106"/>
    </row>
    <row r="762" spans="1:3" ht="12.75">
      <c r="A762" s="106"/>
      <c r="B762" s="106"/>
      <c r="C762" s="106"/>
    </row>
    <row r="763" spans="1:3" ht="12.75">
      <c r="A763" s="106"/>
      <c r="B763" s="106"/>
      <c r="C763" s="106"/>
    </row>
    <row r="764" spans="1:3" ht="12.75">
      <c r="A764" s="106"/>
      <c r="B764" s="106"/>
      <c r="C764" s="106"/>
    </row>
    <row r="765" spans="1:3" ht="12.75">
      <c r="A765" s="106"/>
      <c r="B765" s="106"/>
      <c r="C765" s="106"/>
    </row>
    <row r="766" spans="1:3" ht="12.75">
      <c r="A766" s="106"/>
      <c r="B766" s="106"/>
      <c r="C766" s="106"/>
    </row>
    <row r="767" spans="1:3" ht="12.75">
      <c r="A767" s="106"/>
      <c r="B767" s="106"/>
      <c r="C767" s="106"/>
    </row>
    <row r="768" spans="1:3" ht="12.75">
      <c r="A768" s="106"/>
      <c r="B768" s="106"/>
      <c r="C768" s="106"/>
    </row>
    <row r="769" spans="1:3" ht="12.75">
      <c r="A769" s="106"/>
      <c r="B769" s="106"/>
      <c r="C769" s="106"/>
    </row>
    <row r="770" spans="1:3" ht="12.75">
      <c r="A770" s="106"/>
      <c r="B770" s="106"/>
      <c r="C770" s="106"/>
    </row>
    <row r="771" spans="1:3" ht="12.75">
      <c r="A771" s="106"/>
      <c r="B771" s="106"/>
      <c r="C771" s="106"/>
    </row>
    <row r="772" spans="1:3" ht="12.75">
      <c r="A772" s="106"/>
      <c r="B772" s="106"/>
      <c r="C772" s="106"/>
    </row>
    <row r="773" spans="1:3" ht="12.75">
      <c r="A773" s="106"/>
      <c r="B773" s="106"/>
      <c r="C773" s="106"/>
    </row>
    <row r="774" spans="1:3" ht="12.75">
      <c r="A774" s="106"/>
      <c r="B774" s="106"/>
      <c r="C774" s="106"/>
    </row>
    <row r="775" spans="1:3" ht="12.75">
      <c r="A775" s="106"/>
      <c r="B775" s="106"/>
      <c r="C775" s="106"/>
    </row>
    <row r="776" spans="1:3" ht="12.75">
      <c r="A776" s="106"/>
      <c r="B776" s="106"/>
      <c r="C776" s="106"/>
    </row>
    <row r="777" spans="1:3" ht="12.75">
      <c r="A777" s="106"/>
      <c r="B777" s="106"/>
      <c r="C777" s="106"/>
    </row>
    <row r="778" spans="1:3" ht="12.75">
      <c r="A778" s="106"/>
      <c r="B778" s="106"/>
      <c r="C778" s="106"/>
    </row>
    <row r="779" spans="1:3" ht="12.75">
      <c r="A779" s="106"/>
      <c r="B779" s="106"/>
      <c r="C779" s="106"/>
    </row>
    <row r="780" spans="1:3" ht="12.75">
      <c r="A780" s="106"/>
      <c r="B780" s="106"/>
      <c r="C780" s="106"/>
    </row>
    <row r="781" spans="1:3" ht="12.75">
      <c r="A781" s="106"/>
      <c r="B781" s="106"/>
      <c r="C781" s="106"/>
    </row>
    <row r="782" spans="1:3" ht="12.75">
      <c r="A782" s="106"/>
      <c r="B782" s="106"/>
      <c r="C782" s="106"/>
    </row>
    <row r="783" spans="1:3" ht="12.75">
      <c r="A783" s="106"/>
      <c r="B783" s="106"/>
      <c r="C783" s="106"/>
    </row>
    <row r="784" spans="1:3" ht="12.75">
      <c r="A784" s="106"/>
      <c r="B784" s="106"/>
      <c r="C784" s="106"/>
    </row>
    <row r="785" spans="1:3" ht="12.75">
      <c r="A785" s="106"/>
      <c r="B785" s="106"/>
      <c r="C785" s="106"/>
    </row>
    <row r="786" spans="1:3" ht="12.75">
      <c r="A786" s="106"/>
      <c r="B786" s="106"/>
      <c r="C786" s="106"/>
    </row>
    <row r="787" spans="1:3" ht="12.75">
      <c r="A787" s="106"/>
      <c r="B787" s="106"/>
      <c r="C787" s="106"/>
    </row>
    <row r="788" spans="1:3" ht="12.75">
      <c r="A788" s="106"/>
      <c r="B788" s="106"/>
      <c r="C788" s="106"/>
    </row>
    <row r="789" spans="1:3" ht="12.75">
      <c r="A789" s="106"/>
      <c r="B789" s="106"/>
      <c r="C789" s="106"/>
    </row>
    <row r="790" spans="1:3" ht="12.75">
      <c r="A790" s="106"/>
      <c r="B790" s="106"/>
      <c r="C790" s="106"/>
    </row>
    <row r="791" spans="1:3" ht="12.75">
      <c r="A791" s="106"/>
      <c r="B791" s="106"/>
      <c r="C791" s="106"/>
    </row>
    <row r="792" spans="1:3" ht="12.75">
      <c r="A792" s="106"/>
      <c r="B792" s="106"/>
      <c r="C792" s="106"/>
    </row>
    <row r="793" spans="1:3" ht="12.75">
      <c r="A793" s="106"/>
      <c r="B793" s="106"/>
      <c r="C793" s="106"/>
    </row>
    <row r="794" spans="1:3" ht="12.75">
      <c r="A794" s="106"/>
      <c r="B794" s="106"/>
      <c r="C794" s="106"/>
    </row>
    <row r="795" spans="1:3" ht="12.75">
      <c r="A795" s="106"/>
      <c r="B795" s="106"/>
      <c r="C795" s="106"/>
    </row>
    <row r="796" spans="1:3" ht="12.75">
      <c r="A796" s="106"/>
      <c r="B796" s="106"/>
      <c r="C796" s="106"/>
    </row>
    <row r="797" spans="1:3" ht="12.75">
      <c r="A797" s="106"/>
      <c r="B797" s="106"/>
      <c r="C797" s="106"/>
    </row>
    <row r="798" spans="1:3" ht="12.75">
      <c r="A798" s="106"/>
      <c r="B798" s="106"/>
      <c r="C798" s="106"/>
    </row>
    <row r="799" spans="1:3" ht="12.75">
      <c r="A799" s="106"/>
      <c r="B799" s="106"/>
      <c r="C799" s="106"/>
    </row>
    <row r="800" spans="1:3" ht="12.75">
      <c r="A800" s="106"/>
      <c r="B800" s="106"/>
      <c r="C800" s="106"/>
    </row>
    <row r="801" spans="1:3" ht="12.75">
      <c r="A801" s="106"/>
      <c r="B801" s="106"/>
      <c r="C801" s="106"/>
    </row>
    <row r="802" spans="1:3" ht="12.75">
      <c r="A802" s="106"/>
      <c r="B802" s="106"/>
      <c r="C802" s="106"/>
    </row>
    <row r="803" spans="1:3" ht="12.75">
      <c r="A803" s="106"/>
      <c r="B803" s="106"/>
      <c r="C803" s="106"/>
    </row>
    <row r="804" spans="1:3" ht="12.75">
      <c r="A804" s="106"/>
      <c r="B804" s="106"/>
      <c r="C804" s="106"/>
    </row>
    <row r="805" spans="1:3" ht="12.75">
      <c r="A805" s="106"/>
      <c r="B805" s="106"/>
      <c r="C805" s="106"/>
    </row>
    <row r="806" spans="1:3" ht="12.75">
      <c r="A806" s="106"/>
      <c r="B806" s="106"/>
      <c r="C806" s="106"/>
    </row>
    <row r="807" spans="1:3" ht="12.75">
      <c r="A807" s="106"/>
      <c r="B807" s="106"/>
      <c r="C807" s="106"/>
    </row>
    <row r="808" spans="1:3" ht="12.75">
      <c r="A808" s="106"/>
      <c r="B808" s="106"/>
      <c r="C808" s="106"/>
    </row>
    <row r="809" spans="1:3" ht="12.75">
      <c r="A809" s="106"/>
      <c r="B809" s="106"/>
      <c r="C809" s="106"/>
    </row>
    <row r="810" spans="1:3" ht="12.75">
      <c r="A810" s="106"/>
      <c r="B810" s="106"/>
      <c r="C810" s="106"/>
    </row>
    <row r="811" spans="1:3" ht="12.75">
      <c r="A811" s="106"/>
      <c r="B811" s="106"/>
      <c r="C811" s="106"/>
    </row>
    <row r="812" spans="1:3" ht="12.75">
      <c r="A812" s="106"/>
      <c r="B812" s="106"/>
      <c r="C812" s="106"/>
    </row>
    <row r="813" spans="1:3" ht="12.75">
      <c r="A813" s="106"/>
      <c r="B813" s="106"/>
      <c r="C813" s="106"/>
    </row>
    <row r="814" spans="1:3" ht="12.75">
      <c r="A814" s="106"/>
      <c r="B814" s="106"/>
      <c r="C814" s="106"/>
    </row>
    <row r="815" spans="1:3" ht="12.75">
      <c r="A815" s="106"/>
      <c r="B815" s="106"/>
      <c r="C815" s="106"/>
    </row>
    <row r="816" spans="1:3" ht="12.75">
      <c r="A816" s="106"/>
      <c r="B816" s="106"/>
      <c r="C816" s="106"/>
    </row>
    <row r="817" spans="1:3" ht="12.75">
      <c r="A817" s="106"/>
      <c r="B817" s="106"/>
      <c r="C817" s="106"/>
    </row>
    <row r="818" spans="1:3" ht="12.75">
      <c r="A818" s="106"/>
      <c r="B818" s="106"/>
      <c r="C818" s="106"/>
    </row>
    <row r="819" spans="1:3" ht="12.75">
      <c r="A819" s="106"/>
      <c r="B819" s="106"/>
      <c r="C819" s="106"/>
    </row>
    <row r="820" spans="1:3" ht="12.75">
      <c r="A820" s="106"/>
      <c r="B820" s="106"/>
      <c r="C820" s="106"/>
    </row>
    <row r="821" spans="1:3" ht="12.75">
      <c r="A821" s="106"/>
      <c r="B821" s="106"/>
      <c r="C821" s="106"/>
    </row>
    <row r="822" spans="1:3" ht="12.75">
      <c r="A822" s="106"/>
      <c r="B822" s="106"/>
      <c r="C822" s="106"/>
    </row>
    <row r="823" spans="1:3" ht="12.75">
      <c r="A823" s="106"/>
      <c r="B823" s="106"/>
      <c r="C823" s="106"/>
    </row>
    <row r="824" spans="1:3" ht="12.75">
      <c r="A824" s="106"/>
      <c r="B824" s="106"/>
      <c r="C824" s="106"/>
    </row>
    <row r="825" spans="1:3" ht="12.75">
      <c r="A825" s="106"/>
      <c r="B825" s="106"/>
      <c r="C825" s="106"/>
    </row>
    <row r="826" spans="1:3" ht="12.75">
      <c r="A826" s="106"/>
      <c r="B826" s="106"/>
      <c r="C826" s="106"/>
    </row>
    <row r="827" spans="1:3" ht="12.75">
      <c r="A827" s="106"/>
      <c r="B827" s="106"/>
      <c r="C827" s="106"/>
    </row>
    <row r="828" spans="1:3" ht="12.75">
      <c r="A828" s="106"/>
      <c r="B828" s="106"/>
      <c r="C828" s="106"/>
    </row>
    <row r="829" spans="1:3" ht="12.75">
      <c r="A829" s="106"/>
      <c r="B829" s="106"/>
      <c r="C829" s="106"/>
    </row>
    <row r="830" spans="1:3" ht="12.75">
      <c r="A830" s="106"/>
      <c r="B830" s="106"/>
      <c r="C830" s="106"/>
    </row>
    <row r="831" spans="1:3" ht="12.75">
      <c r="A831" s="106"/>
      <c r="B831" s="106"/>
      <c r="C831" s="106"/>
    </row>
    <row r="832" spans="1:3" ht="12.75">
      <c r="A832" s="106"/>
      <c r="B832" s="106"/>
      <c r="C832" s="106"/>
    </row>
    <row r="833" spans="1:3" ht="12.75">
      <c r="A833" s="106"/>
      <c r="B833" s="106"/>
      <c r="C833" s="106"/>
    </row>
    <row r="834" spans="1:3" ht="12.75">
      <c r="A834" s="106"/>
      <c r="B834" s="106"/>
      <c r="C834" s="106"/>
    </row>
    <row r="835" spans="1:3" ht="12.75">
      <c r="A835" s="106"/>
      <c r="B835" s="106"/>
      <c r="C835" s="106"/>
    </row>
    <row r="836" spans="1:3" ht="12.75">
      <c r="A836" s="106"/>
      <c r="B836" s="106"/>
      <c r="C836" s="106"/>
    </row>
    <row r="837" spans="1:3" ht="12.75">
      <c r="A837" s="106"/>
      <c r="B837" s="106"/>
      <c r="C837" s="106"/>
    </row>
    <row r="838" spans="1:3" ht="12.75">
      <c r="A838" s="106"/>
      <c r="B838" s="106"/>
      <c r="C838" s="106"/>
    </row>
    <row r="839" spans="1:3" ht="12.75">
      <c r="A839" s="106"/>
      <c r="B839" s="106"/>
      <c r="C839" s="106"/>
    </row>
    <row r="840" spans="1:3" ht="12.75">
      <c r="A840" s="106"/>
      <c r="B840" s="106"/>
      <c r="C840" s="106"/>
    </row>
    <row r="841" spans="1:3" ht="12.75">
      <c r="A841" s="106"/>
      <c r="B841" s="106"/>
      <c r="C841" s="106"/>
    </row>
    <row r="842" spans="1:3" ht="12.75">
      <c r="A842" s="106"/>
      <c r="B842" s="106"/>
      <c r="C842" s="106"/>
    </row>
    <row r="843" spans="1:3" ht="12.75">
      <c r="A843" s="106"/>
      <c r="B843" s="106"/>
      <c r="C843" s="106"/>
    </row>
    <row r="844" spans="1:3" ht="12.75">
      <c r="A844" s="106"/>
      <c r="B844" s="106"/>
      <c r="C844" s="106"/>
    </row>
    <row r="845" spans="1:3" ht="12.75">
      <c r="A845" s="106"/>
      <c r="B845" s="106"/>
      <c r="C845" s="106"/>
    </row>
    <row r="846" spans="1:3" ht="12.75">
      <c r="A846" s="106"/>
      <c r="B846" s="106"/>
      <c r="C846" s="106"/>
    </row>
    <row r="847" spans="1:3" ht="12.75">
      <c r="A847" s="106"/>
      <c r="B847" s="106"/>
      <c r="C847" s="106"/>
    </row>
    <row r="848" spans="1:3" ht="12.75">
      <c r="A848" s="106"/>
      <c r="B848" s="106"/>
      <c r="C848" s="106"/>
    </row>
    <row r="849" spans="1:3" ht="12.75">
      <c r="A849" s="106"/>
      <c r="B849" s="106"/>
      <c r="C849" s="106"/>
    </row>
    <row r="850" spans="1:3" ht="12.75">
      <c r="A850" s="106"/>
      <c r="B850" s="106"/>
      <c r="C850" s="106"/>
    </row>
    <row r="851" spans="1:3" ht="12.75">
      <c r="A851" s="106"/>
      <c r="B851" s="106"/>
      <c r="C851" s="106"/>
    </row>
    <row r="852" spans="1:3" ht="12.75">
      <c r="A852" s="106"/>
      <c r="B852" s="106"/>
      <c r="C852" s="106"/>
    </row>
    <row r="853" spans="1:3" ht="12.75">
      <c r="A853" s="106"/>
      <c r="B853" s="106"/>
      <c r="C853" s="106"/>
    </row>
    <row r="854" spans="1:3" ht="12.75">
      <c r="A854" s="106"/>
      <c r="B854" s="106"/>
      <c r="C854" s="106"/>
    </row>
    <row r="855" spans="1:3" ht="12.75">
      <c r="A855" s="106"/>
      <c r="B855" s="106"/>
      <c r="C855" s="106"/>
    </row>
    <row r="856" spans="1:3" ht="12.75">
      <c r="A856" s="106"/>
      <c r="B856" s="106"/>
      <c r="C856" s="106"/>
    </row>
    <row r="857" spans="1:3" ht="12.75">
      <c r="A857" s="106"/>
      <c r="B857" s="106"/>
      <c r="C857" s="106"/>
    </row>
    <row r="858" spans="1:3" ht="12.75">
      <c r="A858" s="106"/>
      <c r="B858" s="106"/>
      <c r="C858" s="106"/>
    </row>
    <row r="859" spans="1:3" ht="12.75">
      <c r="A859" s="106"/>
      <c r="B859" s="106"/>
      <c r="C859" s="106"/>
    </row>
    <row r="860" spans="1:3" ht="12.75">
      <c r="A860" s="106"/>
      <c r="B860" s="106"/>
      <c r="C860" s="106"/>
    </row>
    <row r="861" spans="1:3" ht="12.75">
      <c r="A861" s="106"/>
      <c r="B861" s="106"/>
      <c r="C861" s="106"/>
    </row>
    <row r="862" spans="1:3" ht="12.75">
      <c r="A862" s="106"/>
      <c r="B862" s="106"/>
      <c r="C862" s="106"/>
    </row>
    <row r="863" spans="1:3" ht="12.75">
      <c r="A863" s="106"/>
      <c r="B863" s="106"/>
      <c r="C863" s="106"/>
    </row>
    <row r="864" spans="1:3" ht="12.75">
      <c r="A864" s="106"/>
      <c r="B864" s="106"/>
      <c r="C864" s="106"/>
    </row>
    <row r="865" spans="1:3" ht="12.75">
      <c r="A865" s="106"/>
      <c r="B865" s="106"/>
      <c r="C865" s="106"/>
    </row>
    <row r="866" spans="1:3" ht="12.75">
      <c r="A866" s="106"/>
      <c r="B866" s="106"/>
      <c r="C866" s="106"/>
    </row>
    <row r="867" spans="1:3" ht="12.75">
      <c r="A867" s="106"/>
      <c r="B867" s="106"/>
      <c r="C867" s="106"/>
    </row>
    <row r="868" spans="1:3" ht="12.75">
      <c r="A868" s="106"/>
      <c r="B868" s="106"/>
      <c r="C868" s="106"/>
    </row>
    <row r="869" spans="1:3" ht="12.75">
      <c r="A869" s="106"/>
      <c r="B869" s="106"/>
      <c r="C869" s="106"/>
    </row>
    <row r="870" spans="1:3" ht="12.75">
      <c r="A870" s="106"/>
      <c r="B870" s="106"/>
      <c r="C870" s="106"/>
    </row>
    <row r="871" spans="1:3" ht="12.75">
      <c r="A871" s="106"/>
      <c r="B871" s="106"/>
      <c r="C871" s="106"/>
    </row>
    <row r="872" spans="1:3" ht="12.75">
      <c r="A872" s="106"/>
      <c r="B872" s="106"/>
      <c r="C872" s="106"/>
    </row>
    <row r="873" spans="1:3" ht="12.75">
      <c r="A873" s="106"/>
      <c r="B873" s="106"/>
      <c r="C873" s="106"/>
    </row>
    <row r="874" spans="1:3" ht="12.75">
      <c r="A874" s="106"/>
      <c r="B874" s="106"/>
      <c r="C874" s="106"/>
    </row>
    <row r="875" spans="1:3" ht="12.75">
      <c r="A875" s="106"/>
      <c r="B875" s="106"/>
      <c r="C875" s="106"/>
    </row>
    <row r="876" spans="1:3" ht="12.75">
      <c r="A876" s="106"/>
      <c r="B876" s="106"/>
      <c r="C876" s="106"/>
    </row>
    <row r="877" spans="1:3" ht="12.75">
      <c r="A877" s="106"/>
      <c r="B877" s="106"/>
      <c r="C877" s="106"/>
    </row>
    <row r="878" spans="1:3" ht="12.75">
      <c r="A878" s="106"/>
      <c r="B878" s="106"/>
      <c r="C878" s="106"/>
    </row>
    <row r="879" spans="1:3" ht="12.75">
      <c r="A879" s="106"/>
      <c r="B879" s="106"/>
      <c r="C879" s="106"/>
    </row>
    <row r="880" spans="1:3" ht="12.75">
      <c r="A880" s="106"/>
      <c r="B880" s="106"/>
      <c r="C880" s="106"/>
    </row>
    <row r="881" spans="1:3" ht="12.75">
      <c r="A881" s="106"/>
      <c r="B881" s="106"/>
      <c r="C881" s="106"/>
    </row>
    <row r="882" spans="1:3" ht="12.75">
      <c r="A882" s="106"/>
      <c r="B882" s="106"/>
      <c r="C882" s="106"/>
    </row>
    <row r="883" spans="1:3" ht="12.75">
      <c r="A883" s="106"/>
      <c r="B883" s="106"/>
      <c r="C883" s="106"/>
    </row>
    <row r="884" spans="1:3" ht="12.75">
      <c r="A884" s="106"/>
      <c r="B884" s="106"/>
      <c r="C884" s="106"/>
    </row>
    <row r="885" spans="1:3" ht="12.75">
      <c r="A885" s="106"/>
      <c r="B885" s="106"/>
      <c r="C885" s="106"/>
    </row>
    <row r="886" spans="1:3" ht="12.75">
      <c r="A886" s="106"/>
      <c r="B886" s="106"/>
      <c r="C886" s="106"/>
    </row>
    <row r="887" spans="1:3" ht="12.75">
      <c r="A887" s="106"/>
      <c r="B887" s="106"/>
      <c r="C887" s="106"/>
    </row>
    <row r="888" spans="1:3" ht="12.75">
      <c r="A888" s="106"/>
      <c r="B888" s="106"/>
      <c r="C888" s="106"/>
    </row>
    <row r="889" spans="1:3" ht="12.75">
      <c r="A889" s="106"/>
      <c r="B889" s="106"/>
      <c r="C889" s="106"/>
    </row>
    <row r="890" spans="1:3" ht="12.75">
      <c r="A890" s="106"/>
      <c r="B890" s="106"/>
      <c r="C890" s="106"/>
    </row>
    <row r="891" spans="1:3" ht="12.75">
      <c r="A891" s="106"/>
      <c r="B891" s="106"/>
      <c r="C891" s="106"/>
    </row>
    <row r="892" spans="1:3" ht="12.75">
      <c r="A892" s="106"/>
      <c r="B892" s="106"/>
      <c r="C892" s="106"/>
    </row>
    <row r="893" spans="1:3" ht="12.75">
      <c r="A893" s="106"/>
      <c r="B893" s="106"/>
      <c r="C893" s="106"/>
    </row>
    <row r="894" spans="1:3" ht="12.75">
      <c r="A894" s="106"/>
      <c r="B894" s="106"/>
      <c r="C894" s="106"/>
    </row>
    <row r="895" spans="1:3" ht="12.75">
      <c r="A895" s="106"/>
      <c r="B895" s="106"/>
      <c r="C895" s="106"/>
    </row>
    <row r="896" spans="1:3" ht="12.75">
      <c r="A896" s="106"/>
      <c r="B896" s="106"/>
      <c r="C896" s="106"/>
    </row>
    <row r="897" spans="1:3" ht="12.75">
      <c r="A897" s="106"/>
      <c r="B897" s="106"/>
      <c r="C897" s="106"/>
    </row>
    <row r="898" spans="1:3" ht="12.75">
      <c r="A898" s="106"/>
      <c r="B898" s="106"/>
      <c r="C898" s="106"/>
    </row>
    <row r="899" spans="1:3" ht="12.75">
      <c r="A899" s="106"/>
      <c r="B899" s="106"/>
      <c r="C899" s="106"/>
    </row>
    <row r="900" spans="1:3" ht="12.75">
      <c r="A900" s="106"/>
      <c r="B900" s="106"/>
      <c r="C900" s="106"/>
    </row>
    <row r="901" spans="1:3" ht="12.75">
      <c r="A901" s="106"/>
      <c r="B901" s="106"/>
      <c r="C901" s="106"/>
    </row>
    <row r="902" spans="1:3" ht="12.75">
      <c r="A902" s="106"/>
      <c r="B902" s="106"/>
      <c r="C902" s="106"/>
    </row>
    <row r="903" spans="1:3" ht="12.75">
      <c r="A903" s="106"/>
      <c r="B903" s="106"/>
      <c r="C903" s="106"/>
    </row>
    <row r="904" spans="1:3" ht="12.75">
      <c r="A904" s="106"/>
      <c r="B904" s="106"/>
      <c r="C904" s="106"/>
    </row>
    <row r="905" spans="1:3" ht="12.75">
      <c r="A905" s="106"/>
      <c r="B905" s="106"/>
      <c r="C905" s="106"/>
    </row>
    <row r="906" spans="1:3" ht="12.75">
      <c r="A906" s="106"/>
      <c r="B906" s="106"/>
      <c r="C906" s="106"/>
    </row>
    <row r="907" spans="1:3" ht="12.75">
      <c r="A907" s="106"/>
      <c r="B907" s="106"/>
      <c r="C907" s="106"/>
    </row>
    <row r="908" spans="1:3" ht="12.75">
      <c r="A908" s="106"/>
      <c r="B908" s="106"/>
      <c r="C908" s="106"/>
    </row>
    <row r="909" spans="1:3" ht="12.75">
      <c r="A909" s="106"/>
      <c r="B909" s="106"/>
      <c r="C909" s="106"/>
    </row>
    <row r="910" spans="1:3" ht="12.75">
      <c r="A910" s="106"/>
      <c r="B910" s="106"/>
      <c r="C910" s="106"/>
    </row>
    <row r="911" spans="1:3" ht="12.75">
      <c r="A911" s="106"/>
      <c r="B911" s="106"/>
      <c r="C911" s="106"/>
    </row>
    <row r="912" spans="1:3" ht="12.75">
      <c r="A912" s="106"/>
      <c r="B912" s="106"/>
      <c r="C912" s="106"/>
    </row>
    <row r="913" spans="1:3" ht="12.75">
      <c r="A913" s="106"/>
      <c r="B913" s="106"/>
      <c r="C913" s="106"/>
    </row>
    <row r="914" spans="1:3" ht="12.75">
      <c r="A914" s="106"/>
      <c r="B914" s="106"/>
      <c r="C914" s="106"/>
    </row>
    <row r="915" spans="1:3" ht="12.75">
      <c r="A915" s="106"/>
      <c r="B915" s="106"/>
      <c r="C915" s="106"/>
    </row>
    <row r="916" spans="1:3" ht="12.75">
      <c r="A916" s="106"/>
      <c r="B916" s="106"/>
      <c r="C916" s="106"/>
    </row>
    <row r="917" spans="1:3" ht="12.75">
      <c r="A917" s="106"/>
      <c r="B917" s="106"/>
      <c r="C917" s="106"/>
    </row>
    <row r="918" spans="1:3" ht="12.75">
      <c r="A918" s="106"/>
      <c r="B918" s="106"/>
      <c r="C918" s="106"/>
    </row>
    <row r="919" spans="1:3" ht="12.75">
      <c r="A919" s="106"/>
      <c r="B919" s="106"/>
      <c r="C919" s="106"/>
    </row>
    <row r="920" spans="1:3" ht="12.75">
      <c r="A920" s="106"/>
      <c r="B920" s="106"/>
      <c r="C920" s="106"/>
    </row>
    <row r="921" spans="1:3" ht="12.75">
      <c r="A921" s="106"/>
      <c r="B921" s="106"/>
      <c r="C921" s="106"/>
    </row>
    <row r="922" spans="1:3" ht="12.75">
      <c r="A922" s="106"/>
      <c r="B922" s="106"/>
      <c r="C922" s="106"/>
    </row>
    <row r="923" spans="1:3" ht="12.75">
      <c r="A923" s="106"/>
      <c r="B923" s="106"/>
      <c r="C923" s="106"/>
    </row>
    <row r="924" spans="1:3" ht="12.75">
      <c r="A924" s="106"/>
      <c r="B924" s="106"/>
      <c r="C924" s="106"/>
    </row>
    <row r="925" spans="1:3" ht="12.75">
      <c r="A925" s="106"/>
      <c r="B925" s="106"/>
      <c r="C925" s="106"/>
    </row>
    <row r="926" spans="1:3" ht="12.75">
      <c r="A926" s="106"/>
      <c r="B926" s="106"/>
      <c r="C926" s="106"/>
    </row>
    <row r="927" spans="1:3" ht="12.75">
      <c r="A927" s="106"/>
      <c r="B927" s="106"/>
      <c r="C927" s="106"/>
    </row>
    <row r="928" spans="1:3" ht="12.75">
      <c r="A928" s="106"/>
      <c r="B928" s="106"/>
      <c r="C928" s="106"/>
    </row>
    <row r="929" spans="1:3" ht="12.75">
      <c r="A929" s="106"/>
      <c r="B929" s="106"/>
      <c r="C929" s="106"/>
    </row>
    <row r="930" spans="1:3" ht="12.75">
      <c r="A930" s="106"/>
      <c r="B930" s="106"/>
      <c r="C930" s="106"/>
    </row>
    <row r="931" spans="1:3" ht="12.75">
      <c r="A931" s="106"/>
      <c r="B931" s="106"/>
      <c r="C931" s="106"/>
    </row>
    <row r="932" spans="1:3" ht="12.75">
      <c r="A932" s="106"/>
      <c r="B932" s="106"/>
      <c r="C932" s="106"/>
    </row>
    <row r="933" spans="1:3" ht="12.75">
      <c r="A933" s="106"/>
      <c r="B933" s="106"/>
      <c r="C933" s="106"/>
    </row>
    <row r="934" spans="1:3" ht="12.75">
      <c r="A934" s="106"/>
      <c r="B934" s="106"/>
      <c r="C934" s="106"/>
    </row>
    <row r="935" spans="1:3" ht="12.75">
      <c r="A935" s="106"/>
      <c r="B935" s="106"/>
      <c r="C935" s="106"/>
    </row>
    <row r="936" spans="1:3" ht="12.75">
      <c r="A936" s="106"/>
      <c r="B936" s="106"/>
      <c r="C936" s="106"/>
    </row>
    <row r="937" spans="1:3" ht="12.75">
      <c r="A937" s="106"/>
      <c r="B937" s="106"/>
      <c r="C937" s="106"/>
    </row>
    <row r="938" spans="1:3" ht="12.75">
      <c r="A938" s="106"/>
      <c r="B938" s="106"/>
      <c r="C938" s="106"/>
    </row>
    <row r="939" spans="1:3" ht="12.75">
      <c r="A939" s="106"/>
      <c r="B939" s="106"/>
      <c r="C939" s="106"/>
    </row>
    <row r="940" spans="1:3" ht="12.75">
      <c r="A940" s="106"/>
      <c r="B940" s="106"/>
      <c r="C940" s="106"/>
    </row>
    <row r="941" spans="1:3" ht="12.75">
      <c r="A941" s="106"/>
      <c r="B941" s="106"/>
      <c r="C941" s="106"/>
    </row>
    <row r="942" spans="1:3" ht="12.75">
      <c r="A942" s="106"/>
      <c r="B942" s="106"/>
      <c r="C942" s="106"/>
    </row>
    <row r="943" spans="1:3" ht="12.75">
      <c r="A943" s="106"/>
      <c r="B943" s="106"/>
      <c r="C943" s="106"/>
    </row>
    <row r="944" spans="1:3" ht="12.75">
      <c r="A944" s="106"/>
      <c r="B944" s="106"/>
      <c r="C944" s="106"/>
    </row>
    <row r="945" spans="1:3" ht="12.75">
      <c r="A945" s="106"/>
      <c r="B945" s="106"/>
      <c r="C945" s="106"/>
    </row>
    <row r="946" spans="1:3" ht="12.75">
      <c r="A946" s="106"/>
      <c r="B946" s="106"/>
      <c r="C946" s="106"/>
    </row>
    <row r="947" spans="1:3" ht="12.75">
      <c r="A947" s="106"/>
      <c r="B947" s="106"/>
      <c r="C947" s="106"/>
    </row>
    <row r="948" spans="1:3" ht="12.75">
      <c r="A948" s="106"/>
      <c r="B948" s="106"/>
      <c r="C948" s="106"/>
    </row>
    <row r="949" spans="1:3" ht="12.75">
      <c r="A949" s="106"/>
      <c r="B949" s="106"/>
      <c r="C949" s="106"/>
    </row>
    <row r="950" spans="1:3" ht="12.75">
      <c r="A950" s="106"/>
      <c r="B950" s="106"/>
      <c r="C950" s="106"/>
    </row>
    <row r="951" spans="1:3" ht="12.75">
      <c r="A951" s="106"/>
      <c r="B951" s="106"/>
      <c r="C951" s="106"/>
    </row>
    <row r="952" spans="1:3" ht="12.75">
      <c r="A952" s="106"/>
      <c r="B952" s="106"/>
      <c r="C952" s="106"/>
    </row>
    <row r="953" spans="1:3" ht="12.75">
      <c r="A953" s="106"/>
      <c r="B953" s="106"/>
      <c r="C953" s="106"/>
    </row>
    <row r="954" spans="1:3" ht="12.75">
      <c r="A954" s="106"/>
      <c r="B954" s="106"/>
      <c r="C954" s="106"/>
    </row>
    <row r="955" spans="1:3" ht="12.75">
      <c r="A955" s="106"/>
      <c r="B955" s="106"/>
      <c r="C955" s="106"/>
    </row>
    <row r="956" spans="1:3" ht="12.75">
      <c r="A956" s="106"/>
      <c r="B956" s="106"/>
      <c r="C956" s="106"/>
    </row>
    <row r="957" spans="1:3" ht="12.75">
      <c r="A957" s="106"/>
      <c r="B957" s="106"/>
      <c r="C957" s="106"/>
    </row>
    <row r="958" spans="1:3" ht="12.75">
      <c r="A958" s="106"/>
      <c r="B958" s="106"/>
      <c r="C958" s="106"/>
    </row>
    <row r="959" spans="1:3" ht="12.75">
      <c r="A959" s="106"/>
      <c r="B959" s="106"/>
      <c r="C959" s="106"/>
    </row>
    <row r="960" spans="1:3" ht="12.75">
      <c r="A960" s="106"/>
      <c r="B960" s="106"/>
      <c r="C960" s="106"/>
    </row>
    <row r="961" spans="1:3" ht="12.75">
      <c r="A961" s="106"/>
      <c r="B961" s="106"/>
      <c r="C961" s="106"/>
    </row>
    <row r="962" spans="1:3" ht="12.75">
      <c r="A962" s="106"/>
      <c r="B962" s="106"/>
      <c r="C962" s="106"/>
    </row>
    <row r="963" spans="1:3" ht="12.75">
      <c r="A963" s="106"/>
      <c r="B963" s="106"/>
      <c r="C963" s="106"/>
    </row>
    <row r="964" spans="1:3" ht="12.75">
      <c r="A964" s="106"/>
      <c r="B964" s="106"/>
      <c r="C964" s="106"/>
    </row>
    <row r="965" spans="1:3" ht="12.75">
      <c r="A965" s="106"/>
      <c r="B965" s="106"/>
      <c r="C965" s="106"/>
    </row>
    <row r="966" spans="1:3" ht="12.75">
      <c r="A966" s="106"/>
      <c r="B966" s="106"/>
      <c r="C966" s="106"/>
    </row>
    <row r="967" spans="1:3" ht="12.75">
      <c r="A967" s="106"/>
      <c r="B967" s="106"/>
      <c r="C967" s="106"/>
    </row>
    <row r="968" spans="1:3" ht="12.75">
      <c r="A968" s="106"/>
      <c r="B968" s="106"/>
      <c r="C968" s="106"/>
    </row>
    <row r="969" spans="1:3" ht="12.75">
      <c r="A969" s="106"/>
      <c r="B969" s="106"/>
      <c r="C969" s="106"/>
    </row>
    <row r="970" spans="1:3" ht="12.75">
      <c r="A970" s="106"/>
      <c r="B970" s="106"/>
      <c r="C970" s="106"/>
    </row>
    <row r="971" spans="1:3" ht="12.75">
      <c r="A971" s="106"/>
      <c r="B971" s="106"/>
      <c r="C971" s="106"/>
    </row>
    <row r="972" spans="1:3" ht="12.75">
      <c r="A972" s="106"/>
      <c r="B972" s="106"/>
      <c r="C972" s="106"/>
    </row>
    <row r="973" spans="1:3" ht="12.75">
      <c r="A973" s="106"/>
      <c r="B973" s="106"/>
      <c r="C973" s="106"/>
    </row>
    <row r="974" spans="1:3" ht="12.75">
      <c r="A974" s="106"/>
      <c r="B974" s="106"/>
      <c r="C974" s="106"/>
    </row>
    <row r="975" spans="1:3" ht="12.75">
      <c r="A975" s="106"/>
      <c r="B975" s="106"/>
      <c r="C975" s="106"/>
    </row>
    <row r="976" spans="1:3" ht="12.75">
      <c r="A976" s="106"/>
      <c r="B976" s="106"/>
      <c r="C976" s="106"/>
    </row>
    <row r="977" spans="1:3" ht="12.75">
      <c r="A977" s="106"/>
      <c r="B977" s="106"/>
      <c r="C977" s="106"/>
    </row>
    <row r="978" spans="1:3" ht="12.75">
      <c r="A978" s="106"/>
      <c r="B978" s="106"/>
      <c r="C978" s="106"/>
    </row>
    <row r="979" spans="1:3" ht="12.75">
      <c r="A979" s="106"/>
      <c r="B979" s="106"/>
      <c r="C979" s="106"/>
    </row>
    <row r="980" spans="1:3" ht="12.75">
      <c r="A980" s="106"/>
      <c r="B980" s="106"/>
      <c r="C980" s="106"/>
    </row>
    <row r="981" spans="1:3" ht="12.75">
      <c r="A981" s="106"/>
      <c r="B981" s="106"/>
      <c r="C981" s="106"/>
    </row>
    <row r="982" spans="1:3" ht="12.75">
      <c r="A982" s="106"/>
      <c r="B982" s="106"/>
      <c r="C982" s="106"/>
    </row>
    <row r="983" spans="1:3" ht="12.75">
      <c r="A983" s="106"/>
      <c r="B983" s="106"/>
      <c r="C983" s="106"/>
    </row>
    <row r="984" spans="1:3" ht="12.75">
      <c r="A984" s="106"/>
      <c r="B984" s="106"/>
      <c r="C984" s="106"/>
    </row>
    <row r="985" spans="1:3" ht="12.75">
      <c r="A985" s="106"/>
      <c r="B985" s="106"/>
      <c r="C985" s="106"/>
    </row>
    <row r="986" spans="1:3" ht="12.75">
      <c r="A986" s="106"/>
      <c r="B986" s="106"/>
      <c r="C986" s="106"/>
    </row>
    <row r="987" spans="1:3" ht="12.75">
      <c r="A987" s="106"/>
      <c r="B987" s="106"/>
      <c r="C987" s="106"/>
    </row>
    <row r="988" spans="1:3" ht="12.75">
      <c r="A988" s="106"/>
      <c r="B988" s="106"/>
      <c r="C988" s="106"/>
    </row>
    <row r="989" spans="1:3" ht="12.75">
      <c r="A989" s="106"/>
      <c r="B989" s="106"/>
      <c r="C989" s="106"/>
    </row>
    <row r="990" spans="1:3" ht="12.75">
      <c r="A990" s="106"/>
      <c r="B990" s="106"/>
      <c r="C990" s="106"/>
    </row>
    <row r="991" spans="1:3" ht="12.75">
      <c r="A991" s="106"/>
      <c r="B991" s="106"/>
      <c r="C991" s="106"/>
    </row>
    <row r="992" spans="1:3" ht="12.75">
      <c r="A992" s="106"/>
      <c r="B992" s="106"/>
      <c r="C992" s="106"/>
    </row>
    <row r="993" spans="1:3" ht="12.75">
      <c r="A993" s="106"/>
      <c r="B993" s="106"/>
      <c r="C993" s="106"/>
    </row>
    <row r="994" spans="1:3" ht="12.75">
      <c r="A994" s="106"/>
      <c r="B994" s="106"/>
      <c r="C994" s="106"/>
    </row>
    <row r="995" spans="1:3" ht="12.75">
      <c r="A995" s="106"/>
      <c r="B995" s="106"/>
      <c r="C995" s="106"/>
    </row>
    <row r="996" spans="1:3" ht="12.75">
      <c r="A996" s="106"/>
      <c r="B996" s="106"/>
      <c r="C996" s="106"/>
    </row>
    <row r="997" spans="1:3" ht="12.75">
      <c r="A997" s="106"/>
      <c r="B997" s="106"/>
      <c r="C997" s="106"/>
    </row>
    <row r="998" spans="1:3" ht="12.75">
      <c r="A998" s="106"/>
      <c r="B998" s="106"/>
      <c r="C998" s="106"/>
    </row>
    <row r="999" spans="1:3" ht="12.75">
      <c r="A999" s="106"/>
      <c r="B999" s="106"/>
      <c r="C999" s="106"/>
    </row>
    <row r="1000" spans="1:3" ht="12.75">
      <c r="A1000" s="106"/>
      <c r="B1000" s="106"/>
      <c r="C1000" s="106"/>
    </row>
    <row r="1001" spans="1:3" ht="12.75">
      <c r="A1001" s="106"/>
      <c r="B1001" s="106"/>
      <c r="C1001" s="106"/>
    </row>
    <row r="1002" spans="1:3" ht="12.75">
      <c r="A1002" s="106"/>
      <c r="B1002" s="106"/>
      <c r="C1002" s="106"/>
    </row>
    <row r="1003" spans="1:3" ht="12.75">
      <c r="A1003" s="106"/>
      <c r="B1003" s="106"/>
      <c r="C1003" s="106"/>
    </row>
    <row r="1004" spans="1:3" ht="12.75">
      <c r="A1004" s="106"/>
      <c r="B1004" s="106"/>
      <c r="C1004" s="106"/>
    </row>
    <row r="1005" spans="1:3" ht="12.75">
      <c r="A1005" s="106"/>
      <c r="B1005" s="106"/>
      <c r="C1005" s="106"/>
    </row>
    <row r="1006" spans="1:3" ht="12.75">
      <c r="A1006" s="106"/>
      <c r="B1006" s="106"/>
      <c r="C1006" s="106"/>
    </row>
    <row r="1007" spans="1:3" ht="12.75">
      <c r="A1007" s="106"/>
      <c r="B1007" s="106"/>
      <c r="C1007" s="106"/>
    </row>
    <row r="1008" spans="1:3" ht="12.75">
      <c r="A1008" s="106"/>
      <c r="B1008" s="106"/>
      <c r="C1008" s="106"/>
    </row>
    <row r="1009" spans="1:3" ht="12.75">
      <c r="A1009" s="106"/>
      <c r="B1009" s="106"/>
      <c r="C1009" s="106"/>
    </row>
    <row r="1010" spans="1:3" ht="12.75">
      <c r="A1010" s="106"/>
      <c r="B1010" s="106"/>
      <c r="C1010" s="106"/>
    </row>
    <row r="1011" spans="1:3" ht="12.75">
      <c r="A1011" s="106"/>
      <c r="B1011" s="106"/>
      <c r="C1011" s="106"/>
    </row>
    <row r="1012" spans="1:3" ht="12.75">
      <c r="A1012" s="106"/>
      <c r="B1012" s="106"/>
      <c r="C1012" s="106"/>
    </row>
    <row r="1013" spans="1:3" ht="12.75">
      <c r="A1013" s="106"/>
      <c r="B1013" s="106"/>
      <c r="C1013" s="106"/>
    </row>
    <row r="1014" spans="1:3" ht="12.75">
      <c r="A1014" s="106"/>
      <c r="B1014" s="106"/>
      <c r="C1014" s="106"/>
    </row>
    <row r="1015" spans="1:3" ht="12.75">
      <c r="A1015" s="106"/>
      <c r="B1015" s="106"/>
      <c r="C1015" s="106"/>
    </row>
    <row r="1016" spans="1:3" ht="12.75">
      <c r="A1016" s="106"/>
      <c r="B1016" s="106"/>
      <c r="C1016" s="106"/>
    </row>
    <row r="1017" spans="1:3" ht="12.75">
      <c r="A1017" s="106"/>
      <c r="B1017" s="106"/>
      <c r="C1017" s="106"/>
    </row>
    <row r="1018" spans="1:3" ht="12.75">
      <c r="A1018" s="106"/>
      <c r="B1018" s="106"/>
      <c r="C1018" s="106"/>
    </row>
    <row r="1019" spans="1:3" ht="12.75">
      <c r="A1019" s="106"/>
      <c r="B1019" s="106"/>
      <c r="C1019" s="106"/>
    </row>
    <row r="1020" spans="1:3" ht="12.75">
      <c r="A1020" s="106"/>
      <c r="B1020" s="106"/>
      <c r="C1020" s="106"/>
    </row>
    <row r="1021" spans="1:3" ht="12.75">
      <c r="A1021" s="106"/>
      <c r="B1021" s="106"/>
      <c r="C1021" s="106"/>
    </row>
    <row r="1022" spans="1:3" ht="12.75">
      <c r="A1022" s="106"/>
      <c r="B1022" s="106"/>
      <c r="C1022" s="106"/>
    </row>
    <row r="1023" spans="1:3" ht="12.75">
      <c r="A1023" s="106"/>
      <c r="B1023" s="106"/>
      <c r="C1023" s="106"/>
    </row>
    <row r="1024" spans="1:3" ht="12.75">
      <c r="A1024" s="106"/>
      <c r="B1024" s="106"/>
      <c r="C1024" s="106"/>
    </row>
    <row r="1025" spans="1:3" ht="12.75">
      <c r="A1025" s="106"/>
      <c r="B1025" s="106"/>
      <c r="C1025" s="106"/>
    </row>
    <row r="1026" spans="1:3" ht="12.75">
      <c r="A1026" s="106"/>
      <c r="B1026" s="106"/>
      <c r="C1026" s="106"/>
    </row>
    <row r="1027" spans="1:3" ht="12.75">
      <c r="A1027" s="106"/>
      <c r="B1027" s="106"/>
      <c r="C1027" s="106"/>
    </row>
    <row r="1028" spans="1:3" ht="12.75">
      <c r="A1028" s="106"/>
      <c r="B1028" s="106"/>
      <c r="C1028" s="106"/>
    </row>
    <row r="1029" spans="1:3" ht="12.75">
      <c r="A1029" s="106"/>
      <c r="B1029" s="106"/>
      <c r="C1029" s="106"/>
    </row>
    <row r="1030" spans="1:3" ht="12.75">
      <c r="A1030" s="106"/>
      <c r="B1030" s="106"/>
      <c r="C1030" s="106"/>
    </row>
    <row r="1031" spans="1:3" ht="12.75">
      <c r="A1031" s="106"/>
      <c r="B1031" s="106"/>
      <c r="C1031" s="106"/>
    </row>
    <row r="1032" spans="1:3" ht="12.75">
      <c r="A1032" s="106"/>
      <c r="B1032" s="106"/>
      <c r="C1032" s="106"/>
    </row>
    <row r="1033" spans="1:3" ht="12.75">
      <c r="A1033" s="106"/>
      <c r="B1033" s="106"/>
      <c r="C1033" s="106"/>
    </row>
    <row r="1034" spans="1:3" ht="12.75">
      <c r="A1034" s="106"/>
      <c r="B1034" s="106"/>
      <c r="C1034" s="106"/>
    </row>
    <row r="1035" spans="1:3" ht="12.75">
      <c r="A1035" s="106"/>
      <c r="B1035" s="106"/>
      <c r="C1035" s="106"/>
    </row>
    <row r="1036" spans="1:3" ht="12.75">
      <c r="A1036" s="106"/>
      <c r="B1036" s="106"/>
      <c r="C1036" s="106"/>
    </row>
  </sheetData>
  <hyperlinks>
    <hyperlink ref="D11" r:id="rId1" xr:uid="{00000000-0004-0000-0900-000000000000}"/>
    <hyperlink ref="D12" r:id="rId2" xr:uid="{00000000-0004-0000-0900-000001000000}"/>
    <hyperlink ref="D13" r:id="rId3" xr:uid="{00000000-0004-0000-0900-000002000000}"/>
    <hyperlink ref="D14" r:id="rId4" xr:uid="{00000000-0004-0000-0900-000003000000}"/>
  </hyperlinks>
  <pageMargins left="0.7" right="0.7" top="0.75" bottom="0.75" header="0.3" footer="0.3"/>
  <legacyDrawing r:id="rId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U19"/>
  <sheetViews>
    <sheetView workbookViewId="0">
      <selection activeCell="L16" sqref="L16"/>
    </sheetView>
  </sheetViews>
  <sheetFormatPr defaultColWidth="14.42578125" defaultRowHeight="15" customHeight="1"/>
  <sheetData>
    <row r="1" spans="1:21" ht="15" customHeight="1">
      <c r="A1" s="107" t="s">
        <v>2282</v>
      </c>
      <c r="B1" s="108"/>
      <c r="C1" s="108"/>
      <c r="D1" s="108"/>
      <c r="E1" s="108"/>
      <c r="F1" s="108"/>
      <c r="G1" s="108"/>
      <c r="H1" s="108"/>
      <c r="I1" s="108"/>
      <c r="J1" s="108"/>
      <c r="K1" s="108"/>
      <c r="L1" s="108"/>
      <c r="M1" s="108"/>
    </row>
    <row r="2" spans="1:21" ht="12.75">
      <c r="A2" s="9"/>
      <c r="B2" s="108"/>
      <c r="C2" s="108"/>
      <c r="D2" s="108"/>
      <c r="E2" s="108"/>
      <c r="F2" s="108"/>
      <c r="G2" s="108"/>
      <c r="H2" s="108"/>
      <c r="I2" s="108"/>
      <c r="J2" s="108"/>
      <c r="K2" s="108"/>
      <c r="L2" s="108"/>
      <c r="M2" s="108"/>
    </row>
    <row r="3" spans="1:21" ht="12.75">
      <c r="A3" s="109" t="s">
        <v>2283</v>
      </c>
      <c r="B3" s="108"/>
      <c r="C3" s="108"/>
      <c r="D3" s="108"/>
      <c r="E3" s="108"/>
      <c r="F3" s="108"/>
      <c r="G3" s="108"/>
      <c r="H3" s="108"/>
      <c r="I3" s="108"/>
      <c r="J3" s="108"/>
      <c r="K3" s="108"/>
      <c r="L3" s="108"/>
      <c r="M3" s="108"/>
    </row>
    <row r="4" spans="1:21" ht="13.5" thickBot="1">
      <c r="A4" s="9"/>
      <c r="B4" s="108"/>
      <c r="C4" s="108"/>
      <c r="D4" s="108"/>
      <c r="E4" s="108"/>
      <c r="F4" s="108"/>
      <c r="G4" s="108"/>
      <c r="H4" s="108"/>
      <c r="I4" s="108"/>
      <c r="J4" s="108"/>
      <c r="K4" s="108"/>
      <c r="L4" s="108"/>
      <c r="M4" s="108"/>
    </row>
    <row r="5" spans="1:21" ht="13.5" thickBot="1">
      <c r="A5" s="394"/>
      <c r="B5" s="391"/>
      <c r="C5" s="391"/>
      <c r="D5" s="391"/>
      <c r="E5" s="391"/>
      <c r="F5" s="391"/>
      <c r="G5" s="395"/>
      <c r="H5" s="418" t="s">
        <v>2284</v>
      </c>
      <c r="I5" s="419"/>
      <c r="J5" s="420"/>
      <c r="K5" s="390"/>
      <c r="L5" s="391"/>
      <c r="M5" s="391"/>
      <c r="N5" s="392"/>
      <c r="O5" s="392"/>
    </row>
    <row r="6" spans="1:21" ht="65.25" thickTop="1" thickBot="1">
      <c r="A6" s="393" t="s">
        <v>7</v>
      </c>
      <c r="B6" s="387" t="s">
        <v>274</v>
      </c>
      <c r="C6" s="387" t="s">
        <v>2285</v>
      </c>
      <c r="D6" s="387" t="s">
        <v>2286</v>
      </c>
      <c r="E6" s="387" t="s">
        <v>2287</v>
      </c>
      <c r="F6" s="387" t="s">
        <v>2288</v>
      </c>
      <c r="G6" s="387" t="s">
        <v>2289</v>
      </c>
      <c r="H6" s="110" t="s">
        <v>2290</v>
      </c>
      <c r="I6" s="110" t="s">
        <v>2291</v>
      </c>
      <c r="J6" s="364" t="s">
        <v>2292</v>
      </c>
      <c r="K6" s="385" t="s">
        <v>2293</v>
      </c>
      <c r="L6" s="386" t="s">
        <v>2294</v>
      </c>
      <c r="M6" s="387" t="s">
        <v>2294</v>
      </c>
      <c r="N6" s="388" t="s">
        <v>2295</v>
      </c>
      <c r="O6" s="389" t="s">
        <v>2296</v>
      </c>
      <c r="P6" s="111"/>
      <c r="Q6" s="111"/>
      <c r="R6" s="111"/>
      <c r="S6" s="111"/>
      <c r="T6" s="111"/>
      <c r="U6" s="111"/>
    </row>
    <row r="7" spans="1:21" ht="13.5" thickBot="1">
      <c r="A7" s="112"/>
      <c r="B7" s="371"/>
      <c r="C7" s="365" t="s">
        <v>2297</v>
      </c>
      <c r="D7" s="365" t="s">
        <v>2298</v>
      </c>
      <c r="E7" s="365" t="s">
        <v>2297</v>
      </c>
      <c r="F7" s="365" t="s">
        <v>2298</v>
      </c>
      <c r="G7" s="365" t="s">
        <v>2297</v>
      </c>
      <c r="H7" s="113" t="s">
        <v>2298</v>
      </c>
      <c r="I7" s="113" t="s">
        <v>2297</v>
      </c>
      <c r="J7" s="365" t="s">
        <v>2298</v>
      </c>
      <c r="K7" s="367" t="s">
        <v>2298</v>
      </c>
      <c r="L7" s="113" t="s">
        <v>2297</v>
      </c>
      <c r="M7" s="365" t="s">
        <v>2299</v>
      </c>
      <c r="N7" s="114"/>
      <c r="O7" s="382"/>
    </row>
    <row r="8" spans="1:21" ht="12.75">
      <c r="A8" s="115" t="s">
        <v>18</v>
      </c>
      <c r="B8" s="372">
        <v>2017</v>
      </c>
      <c r="C8" s="366">
        <v>81.2</v>
      </c>
      <c r="D8" s="366">
        <v>33.1</v>
      </c>
      <c r="E8" s="366">
        <v>54.3</v>
      </c>
      <c r="F8" s="366">
        <v>4.3</v>
      </c>
      <c r="G8" s="366">
        <v>52</v>
      </c>
      <c r="H8" s="116">
        <v>0</v>
      </c>
      <c r="I8" s="117">
        <v>52</v>
      </c>
      <c r="J8" s="366">
        <v>20</v>
      </c>
      <c r="K8" s="368">
        <v>48.8</v>
      </c>
      <c r="L8" s="117">
        <v>41.6</v>
      </c>
      <c r="M8" s="366">
        <v>1.8</v>
      </c>
      <c r="N8" s="118">
        <f t="shared" ref="N8:N13" si="0">I8/C8</f>
        <v>0.64039408866995073</v>
      </c>
      <c r="O8" s="383">
        <f t="shared" ref="O8:O15" si="1">1-(K8/100)</f>
        <v>0.51200000000000001</v>
      </c>
    </row>
    <row r="9" spans="1:21" ht="12.75">
      <c r="A9" s="115" t="s">
        <v>21</v>
      </c>
      <c r="B9" s="372">
        <v>2017</v>
      </c>
      <c r="C9" s="366">
        <v>106.4</v>
      </c>
      <c r="D9" s="366">
        <v>39.799999999999997</v>
      </c>
      <c r="E9" s="366">
        <v>64.099999999999994</v>
      </c>
      <c r="F9" s="366">
        <v>4</v>
      </c>
      <c r="G9" s="366">
        <v>61.5</v>
      </c>
      <c r="H9" s="116">
        <v>0</v>
      </c>
      <c r="I9" s="117">
        <v>61.5</v>
      </c>
      <c r="J9" s="366">
        <v>15</v>
      </c>
      <c r="K9" s="368">
        <v>50.9</v>
      </c>
      <c r="L9" s="117">
        <v>52.3</v>
      </c>
      <c r="M9" s="366">
        <v>2.2999999999999998</v>
      </c>
      <c r="N9" s="118">
        <f t="shared" si="0"/>
        <v>0.57800751879699241</v>
      </c>
      <c r="O9" s="383">
        <f t="shared" si="1"/>
        <v>0.49099999999999999</v>
      </c>
    </row>
    <row r="10" spans="1:21" ht="12.75">
      <c r="A10" s="10" t="s">
        <v>23</v>
      </c>
      <c r="B10" s="372">
        <v>2017</v>
      </c>
      <c r="C10" s="366">
        <v>236.3</v>
      </c>
      <c r="D10" s="369">
        <f>100 - (E10/C10*100)</f>
        <v>1.6081252644942907</v>
      </c>
      <c r="E10" s="366">
        <v>232.5</v>
      </c>
      <c r="F10" s="369">
        <f>100 - (G10/E10*100)</f>
        <v>10.967741935483872</v>
      </c>
      <c r="G10" s="366">
        <v>207</v>
      </c>
      <c r="H10" s="10">
        <v>0</v>
      </c>
      <c r="I10" s="117">
        <v>207</v>
      </c>
      <c r="J10" s="396">
        <f>100*(1-(((1-K10*0.01)/((1-D10*0.01)*(1-F10*0.01)*(1-H10*0.01)))))</f>
        <v>22.945652173913032</v>
      </c>
      <c r="K10" s="368">
        <v>32.5</v>
      </c>
      <c r="L10" s="116">
        <v>159.6</v>
      </c>
      <c r="M10" s="366">
        <v>7</v>
      </c>
      <c r="N10" s="118">
        <f t="shared" si="0"/>
        <v>0.87600507829030894</v>
      </c>
      <c r="O10" s="383">
        <f t="shared" si="1"/>
        <v>0.67500000000000004</v>
      </c>
    </row>
    <row r="11" spans="1:21" ht="12.75">
      <c r="A11" s="115" t="s">
        <v>25</v>
      </c>
      <c r="B11" s="372">
        <v>2017</v>
      </c>
      <c r="C11" s="366">
        <v>64.099999999999994</v>
      </c>
      <c r="D11" s="366">
        <v>27.1</v>
      </c>
      <c r="E11" s="366">
        <v>46.7</v>
      </c>
      <c r="F11" s="366">
        <v>4.4000000000000004</v>
      </c>
      <c r="G11" s="366">
        <v>44.7</v>
      </c>
      <c r="H11" s="116">
        <v>0</v>
      </c>
      <c r="I11" s="117">
        <v>44.7</v>
      </c>
      <c r="J11" s="366">
        <v>29</v>
      </c>
      <c r="K11" s="368">
        <v>50.5</v>
      </c>
      <c r="L11" s="117">
        <v>31.7</v>
      </c>
      <c r="M11" s="366">
        <v>1.4</v>
      </c>
      <c r="N11" s="118">
        <f t="shared" si="0"/>
        <v>0.69734789391575669</v>
      </c>
      <c r="O11" s="383">
        <f t="shared" si="1"/>
        <v>0.495</v>
      </c>
    </row>
    <row r="12" spans="1:21" ht="12.75">
      <c r="A12" s="115" t="s">
        <v>27</v>
      </c>
      <c r="B12" s="372">
        <v>2017</v>
      </c>
      <c r="C12" s="366">
        <v>36.200000000000003</v>
      </c>
      <c r="D12" s="366">
        <v>1.5</v>
      </c>
      <c r="E12" s="366">
        <v>35.700000000000003</v>
      </c>
      <c r="F12" s="366">
        <v>9</v>
      </c>
      <c r="G12" s="366">
        <v>32.5</v>
      </c>
      <c r="H12" s="116">
        <v>12</v>
      </c>
      <c r="I12" s="117">
        <v>28.6</v>
      </c>
      <c r="J12" s="366">
        <v>23</v>
      </c>
      <c r="K12" s="368">
        <v>39.299999999999997</v>
      </c>
      <c r="L12" s="117">
        <v>22</v>
      </c>
      <c r="M12" s="366">
        <v>1</v>
      </c>
      <c r="N12" s="118">
        <f t="shared" si="0"/>
        <v>0.79005524861878451</v>
      </c>
      <c r="O12" s="383">
        <f t="shared" si="1"/>
        <v>0.60699999999999998</v>
      </c>
    </row>
    <row r="13" spans="1:21" ht="12.75">
      <c r="A13" s="115" t="s">
        <v>29</v>
      </c>
      <c r="B13" s="372">
        <v>2017</v>
      </c>
      <c r="C13" s="366">
        <v>16.399999999999999</v>
      </c>
      <c r="D13" s="366">
        <v>21</v>
      </c>
      <c r="E13" s="366">
        <v>13</v>
      </c>
      <c r="F13" s="366">
        <v>3.5</v>
      </c>
      <c r="G13" s="366">
        <v>12.5</v>
      </c>
      <c r="H13" s="116">
        <v>0</v>
      </c>
      <c r="I13" s="117">
        <v>12.5</v>
      </c>
      <c r="J13" s="366">
        <v>35</v>
      </c>
      <c r="K13" s="368">
        <v>50.4</v>
      </c>
      <c r="L13" s="117">
        <v>8.1</v>
      </c>
      <c r="M13" s="366">
        <v>0.4</v>
      </c>
      <c r="N13" s="118">
        <f t="shared" si="0"/>
        <v>0.76219512195121952</v>
      </c>
      <c r="O13" s="383">
        <f t="shared" si="1"/>
        <v>0.496</v>
      </c>
    </row>
    <row r="14" spans="1:21" ht="12.75">
      <c r="A14" s="115" t="s">
        <v>32</v>
      </c>
      <c r="B14" s="372">
        <v>2017</v>
      </c>
      <c r="C14" s="370">
        <v>6.2</v>
      </c>
      <c r="D14" s="366">
        <v>0</v>
      </c>
      <c r="E14" s="366">
        <v>6.2</v>
      </c>
      <c r="F14" s="366">
        <v>8.6999999999999993</v>
      </c>
      <c r="G14" s="366">
        <v>5.7</v>
      </c>
      <c r="H14" s="116">
        <v>0</v>
      </c>
      <c r="I14" s="117">
        <v>5.7</v>
      </c>
      <c r="J14" s="366">
        <v>40</v>
      </c>
      <c r="K14" s="368">
        <v>45.2</v>
      </c>
      <c r="L14" s="117">
        <v>3.4</v>
      </c>
      <c r="M14" s="366">
        <v>0.1</v>
      </c>
      <c r="N14" s="118"/>
      <c r="O14" s="383">
        <f t="shared" si="1"/>
        <v>0.54800000000000004</v>
      </c>
    </row>
    <row r="15" spans="1:21" ht="13.5" thickBot="1">
      <c r="A15" s="373" t="s">
        <v>50</v>
      </c>
      <c r="B15" s="374">
        <v>2017</v>
      </c>
      <c r="C15" s="375">
        <v>5.8</v>
      </c>
      <c r="D15" s="376">
        <v>0</v>
      </c>
      <c r="E15" s="376">
        <v>5.8</v>
      </c>
      <c r="F15" s="376">
        <v>9.3000000000000007</v>
      </c>
      <c r="G15" s="376">
        <v>5.3</v>
      </c>
      <c r="H15" s="377">
        <v>0</v>
      </c>
      <c r="I15" s="378">
        <v>5.3</v>
      </c>
      <c r="J15" s="376">
        <v>40</v>
      </c>
      <c r="K15" s="379">
        <v>45.6</v>
      </c>
      <c r="L15" s="378">
        <v>3.2</v>
      </c>
      <c r="M15" s="376">
        <v>0.1</v>
      </c>
      <c r="N15" s="380"/>
      <c r="O15" s="384">
        <f t="shared" si="1"/>
        <v>0.54400000000000004</v>
      </c>
    </row>
    <row r="16" spans="1:21" ht="15" customHeight="1" thickTop="1">
      <c r="O16" s="381"/>
    </row>
    <row r="17" spans="1:9" ht="12.75">
      <c r="A17" s="4" t="s">
        <v>2300</v>
      </c>
    </row>
    <row r="18" spans="1:9" ht="12.75">
      <c r="A18" s="4" t="s">
        <v>2301</v>
      </c>
      <c r="I18" s="83"/>
    </row>
    <row r="19" spans="1:9" ht="15" customHeight="1">
      <c r="A19" s="4" t="s">
        <v>2711</v>
      </c>
    </row>
  </sheetData>
  <mergeCells count="1">
    <mergeCell ref="H5:J5"/>
  </mergeCells>
  <hyperlinks>
    <hyperlink ref="A3" r:id="rId1" location="Loss-Adjusted%20Food%20Availability" xr:uid="{00000000-0004-0000-0A00-000000000000}"/>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V11"/>
  <sheetViews>
    <sheetView workbookViewId="0">
      <selection activeCell="A23" sqref="A23"/>
    </sheetView>
  </sheetViews>
  <sheetFormatPr defaultColWidth="14.42578125" defaultRowHeight="15" customHeight="1"/>
  <cols>
    <col min="1" max="1" width="29.42578125" customWidth="1"/>
  </cols>
  <sheetData>
    <row r="1" spans="1:22" ht="15" customHeight="1">
      <c r="A1" s="139" t="s">
        <v>2613</v>
      </c>
      <c r="B1" s="94"/>
      <c r="C1" s="94"/>
      <c r="D1" s="94"/>
      <c r="E1" s="95"/>
      <c r="F1" s="4"/>
      <c r="G1" s="4"/>
      <c r="H1" s="4"/>
      <c r="I1" s="4"/>
      <c r="J1" s="4"/>
      <c r="K1" s="4"/>
      <c r="L1" s="4"/>
      <c r="M1" s="4"/>
      <c r="N1" s="4"/>
      <c r="O1" s="4"/>
      <c r="P1" s="4"/>
      <c r="Q1" s="4"/>
      <c r="R1" s="4"/>
      <c r="S1" s="4"/>
      <c r="T1" s="4"/>
      <c r="U1" s="4"/>
      <c r="V1" s="4"/>
    </row>
    <row r="2" spans="1:22" ht="12.75">
      <c r="A2" s="119"/>
      <c r="B2" s="119"/>
      <c r="C2" s="119"/>
      <c r="D2" s="119"/>
      <c r="E2" s="95"/>
    </row>
    <row r="3" spans="1:22" ht="12.75">
      <c r="A3" s="95" t="s">
        <v>2612</v>
      </c>
      <c r="B3" s="119"/>
      <c r="C3" s="119"/>
      <c r="D3" s="119"/>
      <c r="E3" s="95"/>
    </row>
    <row r="4" spans="1:22" ht="12.75">
      <c r="A4" s="119"/>
      <c r="B4" s="119"/>
      <c r="C4" s="119"/>
      <c r="D4" s="119"/>
      <c r="E4" s="95"/>
    </row>
    <row r="5" spans="1:22" ht="51">
      <c r="A5" s="119" t="s">
        <v>304</v>
      </c>
      <c r="B5" s="119" t="s">
        <v>2618</v>
      </c>
      <c r="C5" s="119" t="s">
        <v>2619</v>
      </c>
      <c r="D5" s="119" t="s">
        <v>2616</v>
      </c>
      <c r="E5" s="94" t="s">
        <v>2614</v>
      </c>
    </row>
    <row r="6" spans="1:22" ht="12.75">
      <c r="A6" s="111" t="s">
        <v>71</v>
      </c>
      <c r="B6" s="83">
        <f>(27+23)/2</f>
        <v>25</v>
      </c>
      <c r="C6" s="83">
        <f>B6*30.5</f>
        <v>762.5</v>
      </c>
      <c r="D6" s="81">
        <f>(0.25375+0.1875)/2</f>
        <v>0.22062499999999999</v>
      </c>
      <c r="E6" s="95" t="s">
        <v>2615</v>
      </c>
    </row>
    <row r="7" spans="1:22" ht="12.75">
      <c r="A7" s="111" t="s">
        <v>76</v>
      </c>
      <c r="B7" s="83">
        <v>8</v>
      </c>
      <c r="C7" s="83">
        <f t="shared" ref="C7:C9" si="0">B7*30.5</f>
        <v>244</v>
      </c>
      <c r="D7" s="81">
        <v>0.29199999999999998</v>
      </c>
      <c r="E7" s="95" t="s">
        <v>2617</v>
      </c>
    </row>
    <row r="8" spans="1:22" ht="12.75">
      <c r="A8" s="111" t="s">
        <v>83</v>
      </c>
      <c r="B8" s="83">
        <f>(8+20)/3</f>
        <v>9.3333333333333339</v>
      </c>
      <c r="C8" s="83">
        <f t="shared" si="0"/>
        <v>284.66666666666669</v>
      </c>
      <c r="D8" s="81">
        <f>(0.43625+0.515)/2</f>
        <v>0.47562500000000002</v>
      </c>
      <c r="E8" s="95" t="s">
        <v>2621</v>
      </c>
    </row>
    <row r="9" spans="1:22" ht="15" customHeight="1">
      <c r="A9" s="111" t="s">
        <v>2620</v>
      </c>
      <c r="B9">
        <v>9</v>
      </c>
      <c r="C9" s="83">
        <f t="shared" si="0"/>
        <v>274.5</v>
      </c>
      <c r="D9" s="81">
        <v>0.505</v>
      </c>
      <c r="E9" s="160" t="s">
        <v>2622</v>
      </c>
    </row>
    <row r="11" spans="1:22" ht="12.75">
      <c r="D11" s="1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A1012"/>
  <sheetViews>
    <sheetView workbookViewId="0">
      <selection activeCell="D163" sqref="D163:E163"/>
    </sheetView>
  </sheetViews>
  <sheetFormatPr defaultColWidth="14.42578125" defaultRowHeight="15" customHeight="1"/>
  <cols>
    <col min="2" max="2" width="22.42578125" customWidth="1"/>
    <col min="3" max="3" width="21.28515625" customWidth="1"/>
    <col min="5" max="5" width="16.85546875" customWidth="1"/>
  </cols>
  <sheetData>
    <row r="1" spans="1:26" ht="15" customHeight="1">
      <c r="A1" s="120" t="s">
        <v>2302</v>
      </c>
      <c r="B1" s="121"/>
      <c r="C1" s="121"/>
      <c r="D1" s="121"/>
      <c r="E1" s="121"/>
      <c r="F1" s="121"/>
      <c r="G1" s="121"/>
      <c r="H1" s="121"/>
      <c r="I1" s="121"/>
      <c r="J1" s="121"/>
      <c r="K1" s="121"/>
      <c r="L1" s="121"/>
      <c r="M1" s="121"/>
      <c r="N1" s="121"/>
      <c r="O1" s="121"/>
      <c r="P1" s="121"/>
      <c r="Q1" s="121"/>
      <c r="R1" s="121"/>
      <c r="S1" s="121"/>
      <c r="T1" s="121"/>
      <c r="U1" s="121"/>
      <c r="V1" s="121"/>
      <c r="W1" s="121"/>
      <c r="X1" s="121"/>
      <c r="Y1" s="121"/>
      <c r="Z1" s="121"/>
    </row>
    <row r="2" spans="1:26" ht="12.75">
      <c r="A2" s="122"/>
      <c r="B2" s="121"/>
      <c r="C2" s="121"/>
      <c r="D2" s="121"/>
      <c r="E2" s="121"/>
      <c r="F2" s="121"/>
      <c r="G2" s="121"/>
      <c r="H2" s="121"/>
      <c r="I2" s="121"/>
      <c r="J2" s="121"/>
      <c r="K2" s="121"/>
      <c r="L2" s="121"/>
      <c r="M2" s="121"/>
      <c r="N2" s="121"/>
      <c r="O2" s="121"/>
      <c r="P2" s="121"/>
      <c r="Q2" s="121"/>
      <c r="R2" s="121"/>
      <c r="S2" s="121"/>
      <c r="T2" s="121"/>
      <c r="U2" s="121"/>
      <c r="V2" s="121"/>
      <c r="W2" s="121"/>
      <c r="X2" s="121"/>
      <c r="Y2" s="121"/>
      <c r="Z2" s="121"/>
    </row>
    <row r="3" spans="1:26" ht="12.75">
      <c r="A3" s="122" t="s">
        <v>2303</v>
      </c>
      <c r="B3" s="121"/>
      <c r="C3" s="121"/>
      <c r="D3" s="121"/>
      <c r="E3" s="121"/>
      <c r="F3" s="121"/>
      <c r="G3" s="121"/>
      <c r="H3" s="121"/>
      <c r="I3" s="121"/>
      <c r="J3" s="121"/>
      <c r="K3" s="121"/>
      <c r="L3" s="121"/>
      <c r="M3" s="121"/>
      <c r="N3" s="121"/>
      <c r="O3" s="121"/>
      <c r="P3" s="121"/>
      <c r="Q3" s="121"/>
      <c r="R3" s="121"/>
      <c r="S3" s="121"/>
      <c r="T3" s="121"/>
      <c r="U3" s="121"/>
      <c r="V3" s="121"/>
      <c r="W3" s="121"/>
      <c r="X3" s="121"/>
      <c r="Y3" s="121"/>
      <c r="Z3" s="121"/>
    </row>
    <row r="4" spans="1:26" ht="12.75">
      <c r="A4" s="121"/>
      <c r="B4" s="122" t="s">
        <v>2304</v>
      </c>
      <c r="C4" s="122" t="s">
        <v>97</v>
      </c>
      <c r="D4" s="121"/>
      <c r="E4" s="121"/>
      <c r="F4" s="121"/>
      <c r="G4" s="121"/>
      <c r="H4" s="121"/>
      <c r="I4" s="121"/>
      <c r="J4" s="121"/>
      <c r="K4" s="121"/>
      <c r="L4" s="121"/>
      <c r="M4" s="121"/>
      <c r="N4" s="121"/>
      <c r="O4" s="121"/>
      <c r="P4" s="121"/>
      <c r="Q4" s="121"/>
      <c r="R4" s="121"/>
      <c r="S4" s="121"/>
      <c r="T4" s="121"/>
      <c r="U4" s="121"/>
      <c r="V4" s="121"/>
      <c r="W4" s="121"/>
      <c r="X4" s="121"/>
      <c r="Y4" s="121"/>
      <c r="Z4" s="121"/>
    </row>
    <row r="5" spans="1:26" ht="12.75">
      <c r="A5" s="121" t="s">
        <v>2305</v>
      </c>
      <c r="B5" s="123">
        <f>AVERAGE(C14:C145)/100</f>
        <v>0.55779220779220784</v>
      </c>
      <c r="C5" s="121" t="s">
        <v>2306</v>
      </c>
      <c r="D5" s="121"/>
      <c r="E5" s="121"/>
      <c r="F5" s="121"/>
      <c r="G5" s="121"/>
      <c r="H5" s="121"/>
      <c r="I5" s="121"/>
      <c r="J5" s="121"/>
      <c r="K5" s="121"/>
      <c r="L5" s="121"/>
      <c r="M5" s="121"/>
      <c r="N5" s="121"/>
      <c r="O5" s="121"/>
      <c r="P5" s="121"/>
      <c r="Q5" s="121"/>
      <c r="R5" s="121"/>
      <c r="S5" s="121"/>
      <c r="T5" s="121"/>
      <c r="U5" s="121"/>
      <c r="V5" s="121"/>
      <c r="W5" s="121"/>
      <c r="X5" s="121"/>
      <c r="Y5" s="121"/>
      <c r="Z5" s="121"/>
    </row>
    <row r="6" spans="1:26" ht="12.75">
      <c r="A6" s="121" t="s">
        <v>2309</v>
      </c>
      <c r="B6" s="123">
        <f>AVERAGE(D14:D145)/100</f>
        <v>0.39143749999999999</v>
      </c>
      <c r="C6" s="121" t="s">
        <v>2310</v>
      </c>
      <c r="D6" s="121"/>
      <c r="E6" s="121"/>
      <c r="F6" s="121"/>
      <c r="G6" s="121"/>
      <c r="H6" s="121"/>
      <c r="I6" s="121"/>
      <c r="J6" s="121"/>
      <c r="K6" s="121"/>
      <c r="L6" s="121"/>
      <c r="M6" s="121"/>
      <c r="N6" s="121"/>
      <c r="O6" s="121"/>
      <c r="P6" s="121"/>
      <c r="Q6" s="121"/>
      <c r="R6" s="121"/>
      <c r="S6" s="121"/>
      <c r="T6" s="121"/>
      <c r="U6" s="121"/>
      <c r="V6" s="121"/>
      <c r="W6" s="121"/>
      <c r="X6" s="121"/>
      <c r="Y6" s="121"/>
      <c r="Z6" s="121"/>
    </row>
    <row r="7" spans="1:26" ht="12.75">
      <c r="A7" s="121" t="s">
        <v>2307</v>
      </c>
      <c r="B7" s="123">
        <f>AVERAGEIF(A14:A145, "*shrimp*", D14:D145)/100</f>
        <v>0.56999999999999995</v>
      </c>
      <c r="C7" s="121" t="s">
        <v>2308</v>
      </c>
      <c r="D7" s="121"/>
      <c r="E7" s="121"/>
      <c r="F7" s="121"/>
      <c r="G7" s="121"/>
      <c r="H7" s="121"/>
      <c r="I7" s="121"/>
      <c r="J7" s="121"/>
      <c r="K7" s="121"/>
      <c r="L7" s="121"/>
      <c r="M7" s="121"/>
      <c r="N7" s="121"/>
      <c r="O7" s="121"/>
      <c r="P7" s="121"/>
      <c r="Q7" s="121"/>
      <c r="R7" s="121"/>
      <c r="S7" s="121"/>
      <c r="T7" s="121"/>
      <c r="U7" s="121"/>
      <c r="V7" s="121"/>
      <c r="W7" s="121"/>
      <c r="X7" s="121"/>
      <c r="Y7" s="121"/>
      <c r="Z7" s="121"/>
    </row>
    <row r="8" spans="1:26" ht="12.75">
      <c r="A8" s="121" t="s">
        <v>2682</v>
      </c>
      <c r="B8" s="123">
        <f>C155</f>
        <v>0.23570000000000002</v>
      </c>
      <c r="C8" s="121" t="s">
        <v>2683</v>
      </c>
      <c r="D8" s="121"/>
      <c r="E8" s="121"/>
      <c r="F8" s="121"/>
      <c r="G8" s="121"/>
      <c r="H8" s="121"/>
      <c r="I8" s="121"/>
      <c r="J8" s="121"/>
      <c r="K8" s="121"/>
      <c r="L8" s="121"/>
      <c r="M8" s="121"/>
      <c r="N8" s="121"/>
      <c r="O8" s="121"/>
      <c r="P8" s="121"/>
      <c r="Q8" s="121"/>
      <c r="R8" s="121"/>
      <c r="S8" s="121"/>
      <c r="T8" s="121"/>
      <c r="U8" s="121"/>
      <c r="V8" s="121"/>
      <c r="W8" s="121"/>
      <c r="X8" s="121"/>
      <c r="Y8" s="121"/>
      <c r="Z8" s="121"/>
    </row>
    <row r="9" spans="1:26" ht="12.75">
      <c r="A9" s="124"/>
      <c r="B9" s="121"/>
      <c r="C9" s="121"/>
      <c r="D9" s="121"/>
      <c r="E9" s="121"/>
      <c r="F9" s="122"/>
      <c r="G9" s="121"/>
      <c r="H9" s="121"/>
      <c r="I9" s="121"/>
      <c r="J9" s="121"/>
      <c r="K9" s="121"/>
      <c r="L9" s="121"/>
      <c r="M9" s="121"/>
      <c r="N9" s="121"/>
      <c r="O9" s="121"/>
      <c r="P9" s="121"/>
      <c r="Q9" s="121"/>
      <c r="R9" s="121"/>
      <c r="S9" s="121"/>
      <c r="T9" s="121"/>
      <c r="U9" s="121"/>
      <c r="V9" s="121"/>
      <c r="W9" s="121"/>
      <c r="X9" s="121"/>
      <c r="Y9" s="121"/>
      <c r="Z9" s="121"/>
    </row>
    <row r="10" spans="1:26" ht="12.75">
      <c r="A10" s="122" t="s">
        <v>2311</v>
      </c>
      <c r="B10" s="121"/>
      <c r="C10" s="121"/>
      <c r="D10" s="121"/>
      <c r="E10" s="121"/>
      <c r="F10" s="122"/>
      <c r="G10" s="121"/>
      <c r="H10" s="121"/>
      <c r="I10" s="121"/>
      <c r="J10" s="121"/>
      <c r="K10" s="121"/>
      <c r="L10" s="121"/>
      <c r="M10" s="121"/>
      <c r="N10" s="121"/>
      <c r="O10" s="121"/>
      <c r="P10" s="121"/>
      <c r="Q10" s="121"/>
      <c r="R10" s="121"/>
      <c r="S10" s="121"/>
      <c r="T10" s="121"/>
      <c r="U10" s="121"/>
      <c r="V10" s="121"/>
      <c r="W10" s="121"/>
      <c r="X10" s="121"/>
      <c r="Y10" s="121"/>
      <c r="Z10" s="121"/>
    </row>
    <row r="11" spans="1:26" ht="12.75">
      <c r="A11" s="125"/>
      <c r="B11" s="121"/>
      <c r="C11" s="121"/>
      <c r="D11" s="121"/>
      <c r="E11" s="121"/>
      <c r="F11" s="121"/>
      <c r="G11" s="121"/>
      <c r="H11" s="121"/>
      <c r="I11" s="121"/>
      <c r="J11" s="121"/>
      <c r="K11" s="121"/>
      <c r="L11" s="121"/>
      <c r="M11" s="121"/>
      <c r="N11" s="121"/>
      <c r="O11" s="121"/>
      <c r="P11" s="121"/>
      <c r="Q11" s="121"/>
      <c r="R11" s="121"/>
      <c r="S11" s="121"/>
      <c r="T11" s="121"/>
      <c r="U11" s="121"/>
      <c r="V11" s="121"/>
      <c r="W11" s="121"/>
      <c r="X11" s="121"/>
      <c r="Y11" s="121"/>
      <c r="Z11" s="121"/>
    </row>
    <row r="12" spans="1:26" ht="12.75">
      <c r="A12" s="122" t="s">
        <v>304</v>
      </c>
      <c r="B12" s="421" t="s">
        <v>2312</v>
      </c>
      <c r="C12" s="405"/>
      <c r="D12" s="405"/>
      <c r="E12" s="421" t="s">
        <v>2313</v>
      </c>
      <c r="F12" s="405"/>
      <c r="G12" s="405"/>
      <c r="H12" s="421" t="s">
        <v>2314</v>
      </c>
      <c r="I12" s="405"/>
      <c r="J12" s="121"/>
      <c r="K12" s="121"/>
      <c r="L12" s="121"/>
      <c r="M12" s="121"/>
      <c r="N12" s="121"/>
      <c r="O12" s="121"/>
      <c r="P12" s="121"/>
      <c r="Q12" s="121"/>
      <c r="R12" s="121"/>
      <c r="S12" s="121"/>
      <c r="T12" s="121"/>
      <c r="U12" s="121"/>
      <c r="V12" s="121"/>
      <c r="W12" s="121"/>
      <c r="X12" s="121"/>
      <c r="Y12" s="121"/>
      <c r="Z12" s="121"/>
    </row>
    <row r="13" spans="1:26" ht="12.75">
      <c r="A13" s="122" t="s">
        <v>2315</v>
      </c>
      <c r="B13" s="126" t="s">
        <v>2316</v>
      </c>
      <c r="C13" s="126" t="s">
        <v>2317</v>
      </c>
      <c r="D13" s="126" t="s">
        <v>2318</v>
      </c>
      <c r="E13" s="126" t="s">
        <v>2319</v>
      </c>
      <c r="F13" s="126" t="s">
        <v>2320</v>
      </c>
      <c r="G13" s="126" t="s">
        <v>2321</v>
      </c>
      <c r="H13" s="126" t="s">
        <v>2322</v>
      </c>
      <c r="I13" s="126" t="s">
        <v>2323</v>
      </c>
      <c r="J13" s="121"/>
      <c r="K13" s="121"/>
      <c r="L13" s="121"/>
      <c r="M13" s="121"/>
      <c r="N13" s="121"/>
      <c r="O13" s="121"/>
      <c r="P13" s="121"/>
      <c r="Q13" s="121"/>
      <c r="R13" s="121"/>
      <c r="S13" s="121"/>
      <c r="T13" s="121"/>
      <c r="U13" s="121"/>
      <c r="V13" s="121"/>
      <c r="W13" s="121"/>
      <c r="X13" s="121"/>
      <c r="Y13" s="121"/>
      <c r="Z13" s="121"/>
    </row>
    <row r="14" spans="1:26" ht="12.75">
      <c r="A14" s="121" t="s">
        <v>2324</v>
      </c>
      <c r="B14" s="127"/>
      <c r="C14" s="127"/>
      <c r="D14" s="127" t="s">
        <v>2325</v>
      </c>
      <c r="E14" s="127" t="s">
        <v>2326</v>
      </c>
      <c r="F14" s="127" t="s">
        <v>2327</v>
      </c>
      <c r="G14" s="127"/>
      <c r="H14" s="127" t="s">
        <v>2328</v>
      </c>
      <c r="I14" s="127" t="s">
        <v>2329</v>
      </c>
      <c r="J14" s="121"/>
      <c r="K14" s="121"/>
      <c r="L14" s="121"/>
      <c r="M14" s="121"/>
      <c r="N14" s="121"/>
      <c r="O14" s="121"/>
      <c r="P14" s="121"/>
      <c r="Q14" s="121"/>
      <c r="R14" s="121"/>
      <c r="S14" s="121"/>
      <c r="T14" s="121"/>
      <c r="U14" s="121"/>
      <c r="V14" s="121"/>
      <c r="W14" s="121"/>
      <c r="X14" s="121"/>
      <c r="Y14" s="121"/>
      <c r="Z14" s="121"/>
    </row>
    <row r="15" spans="1:26" ht="12.75">
      <c r="A15" s="121" t="s">
        <v>2330</v>
      </c>
      <c r="B15" s="127">
        <v>36</v>
      </c>
      <c r="C15" s="127">
        <v>41</v>
      </c>
      <c r="D15" s="127"/>
      <c r="E15" s="127">
        <v>16.600000000000001</v>
      </c>
      <c r="F15" s="127">
        <v>0.6</v>
      </c>
      <c r="G15" s="127"/>
      <c r="H15" s="127">
        <v>76</v>
      </c>
      <c r="I15" s="127">
        <v>319</v>
      </c>
      <c r="J15" s="121"/>
      <c r="K15" s="121"/>
      <c r="L15" s="121"/>
      <c r="M15" s="121"/>
      <c r="N15" s="121"/>
      <c r="O15" s="121"/>
      <c r="P15" s="121"/>
      <c r="Q15" s="121"/>
      <c r="R15" s="121"/>
      <c r="S15" s="121"/>
      <c r="T15" s="121"/>
      <c r="U15" s="121"/>
      <c r="V15" s="121"/>
      <c r="W15" s="121"/>
      <c r="X15" s="121"/>
      <c r="Y15" s="121"/>
      <c r="Z15" s="121"/>
    </row>
    <row r="16" spans="1:26" ht="12.75">
      <c r="A16" s="121" t="s">
        <v>2331</v>
      </c>
      <c r="B16" s="127" t="s">
        <v>2332</v>
      </c>
      <c r="C16" s="127">
        <v>58</v>
      </c>
      <c r="D16" s="127"/>
      <c r="E16" s="127">
        <v>23.7</v>
      </c>
      <c r="F16" s="127">
        <v>4.5999999999999996</v>
      </c>
      <c r="G16" s="127"/>
      <c r="H16" s="127">
        <v>143</v>
      </c>
      <c r="I16" s="127">
        <v>597</v>
      </c>
      <c r="J16" s="121"/>
      <c r="K16" s="121"/>
      <c r="L16" s="121"/>
      <c r="M16" s="121"/>
      <c r="N16" s="121"/>
      <c r="O16" s="121"/>
      <c r="P16" s="121"/>
      <c r="Q16" s="121"/>
      <c r="R16" s="121"/>
      <c r="S16" s="121"/>
      <c r="T16" s="121"/>
      <c r="U16" s="121"/>
      <c r="V16" s="121"/>
      <c r="W16" s="121"/>
      <c r="X16" s="121"/>
      <c r="Y16" s="121"/>
      <c r="Z16" s="121"/>
    </row>
    <row r="17" spans="1:26" ht="12.75">
      <c r="A17" s="121" t="s">
        <v>2333</v>
      </c>
      <c r="B17" s="127" t="s">
        <v>2334</v>
      </c>
      <c r="C17" s="127" t="s">
        <v>2335</v>
      </c>
      <c r="D17" s="127"/>
      <c r="E17" s="127">
        <v>22</v>
      </c>
      <c r="F17" s="127">
        <v>2.2999999999999998</v>
      </c>
      <c r="G17" s="127"/>
      <c r="H17" s="127">
        <v>115</v>
      </c>
      <c r="I17" s="127">
        <v>480</v>
      </c>
      <c r="J17" s="121"/>
      <c r="K17" s="121"/>
      <c r="L17" s="121"/>
      <c r="M17" s="121"/>
      <c r="N17" s="121"/>
      <c r="O17" s="121"/>
      <c r="P17" s="121"/>
      <c r="Q17" s="121"/>
      <c r="R17" s="121"/>
      <c r="S17" s="121"/>
      <c r="T17" s="121"/>
      <c r="U17" s="121"/>
      <c r="V17" s="121"/>
      <c r="W17" s="121"/>
      <c r="X17" s="121"/>
      <c r="Y17" s="121"/>
      <c r="Z17" s="121"/>
    </row>
    <row r="18" spans="1:26" ht="12.75">
      <c r="A18" s="121" t="s">
        <v>2336</v>
      </c>
      <c r="B18" s="127"/>
      <c r="C18" s="127"/>
      <c r="D18" s="127">
        <v>10</v>
      </c>
      <c r="E18" s="127">
        <v>8.5</v>
      </c>
      <c r="F18" s="127">
        <v>1.8</v>
      </c>
      <c r="G18" s="127">
        <v>2.7</v>
      </c>
      <c r="H18" s="127">
        <v>64</v>
      </c>
      <c r="I18" s="127">
        <v>266</v>
      </c>
      <c r="J18" s="121"/>
      <c r="K18" s="121"/>
      <c r="L18" s="121"/>
      <c r="M18" s="121"/>
      <c r="N18" s="121"/>
      <c r="O18" s="121"/>
      <c r="P18" s="121"/>
      <c r="Q18" s="121"/>
      <c r="R18" s="121"/>
      <c r="S18" s="121"/>
      <c r="T18" s="121"/>
      <c r="U18" s="121"/>
      <c r="V18" s="121"/>
      <c r="W18" s="121"/>
      <c r="X18" s="121"/>
      <c r="Y18" s="121"/>
      <c r="Z18" s="121"/>
    </row>
    <row r="19" spans="1:26" ht="12.75">
      <c r="A19" s="121" t="s">
        <v>2337</v>
      </c>
      <c r="B19" s="127">
        <v>34</v>
      </c>
      <c r="C19" s="127">
        <v>49</v>
      </c>
      <c r="D19" s="127"/>
      <c r="E19" s="127">
        <v>17.600000000000001</v>
      </c>
      <c r="F19" s="127">
        <v>1.6</v>
      </c>
      <c r="G19" s="127"/>
      <c r="H19" s="127">
        <v>90</v>
      </c>
      <c r="I19" s="127">
        <v>375</v>
      </c>
      <c r="J19" s="121"/>
      <c r="K19" s="121"/>
      <c r="L19" s="121"/>
      <c r="M19" s="121"/>
      <c r="N19" s="121"/>
      <c r="O19" s="121"/>
      <c r="P19" s="121"/>
      <c r="Q19" s="121"/>
      <c r="R19" s="121"/>
      <c r="S19" s="121"/>
      <c r="T19" s="121"/>
      <c r="U19" s="121"/>
      <c r="V19" s="121"/>
      <c r="W19" s="121"/>
      <c r="X19" s="121"/>
      <c r="Y19" s="121"/>
      <c r="Z19" s="121"/>
    </row>
    <row r="20" spans="1:26" ht="12.75">
      <c r="A20" s="121" t="s">
        <v>2338</v>
      </c>
      <c r="B20" s="127" t="s">
        <v>2339</v>
      </c>
      <c r="C20" s="127">
        <v>62</v>
      </c>
      <c r="D20" s="127"/>
      <c r="E20" s="127" t="s">
        <v>2340</v>
      </c>
      <c r="F20" s="127" t="s">
        <v>2341</v>
      </c>
      <c r="G20" s="127"/>
      <c r="H20" s="127" t="s">
        <v>2342</v>
      </c>
      <c r="I20" s="127" t="s">
        <v>2343</v>
      </c>
      <c r="J20" s="121"/>
      <c r="K20" s="121"/>
      <c r="L20" s="121"/>
      <c r="M20" s="121"/>
      <c r="N20" s="121"/>
      <c r="O20" s="121"/>
      <c r="P20" s="121"/>
      <c r="Q20" s="121"/>
      <c r="R20" s="121"/>
      <c r="S20" s="121"/>
      <c r="T20" s="121"/>
      <c r="U20" s="121"/>
      <c r="V20" s="121"/>
      <c r="W20" s="121"/>
      <c r="X20" s="121"/>
      <c r="Y20" s="121"/>
      <c r="Z20" s="121"/>
    </row>
    <row r="21" spans="1:26" ht="12.75">
      <c r="A21" s="121" t="s">
        <v>2344</v>
      </c>
      <c r="B21" s="127" t="s">
        <v>2339</v>
      </c>
      <c r="C21" s="127">
        <v>62</v>
      </c>
      <c r="D21" s="127"/>
      <c r="E21" s="127" t="s">
        <v>2340</v>
      </c>
      <c r="F21" s="127" t="s">
        <v>2341</v>
      </c>
      <c r="G21" s="127"/>
      <c r="H21" s="127" t="s">
        <v>2342</v>
      </c>
      <c r="I21" s="127" t="s">
        <v>2343</v>
      </c>
      <c r="J21" s="121"/>
      <c r="K21" s="121"/>
      <c r="L21" s="121"/>
      <c r="M21" s="121"/>
      <c r="N21" s="121"/>
      <c r="O21" s="121"/>
      <c r="P21" s="121"/>
      <c r="Q21" s="121"/>
      <c r="R21" s="121"/>
      <c r="S21" s="121"/>
      <c r="T21" s="121"/>
      <c r="U21" s="121"/>
      <c r="V21" s="121"/>
      <c r="W21" s="121"/>
      <c r="X21" s="121"/>
      <c r="Y21" s="121"/>
      <c r="Z21" s="121"/>
    </row>
    <row r="22" spans="1:26" ht="12.75">
      <c r="A22" s="121" t="s">
        <v>2345</v>
      </c>
      <c r="B22" s="127">
        <v>41</v>
      </c>
      <c r="C22" s="127">
        <v>53</v>
      </c>
      <c r="D22" s="127"/>
      <c r="E22" s="127">
        <v>17.8</v>
      </c>
      <c r="F22" s="127">
        <v>2.5</v>
      </c>
      <c r="G22" s="127"/>
      <c r="H22" s="127">
        <v>99</v>
      </c>
      <c r="I22" s="127">
        <v>412</v>
      </c>
      <c r="J22" s="121"/>
      <c r="K22" s="121"/>
      <c r="L22" s="121"/>
      <c r="M22" s="121"/>
      <c r="N22" s="121"/>
      <c r="O22" s="121"/>
      <c r="P22" s="121"/>
      <c r="Q22" s="121"/>
      <c r="R22" s="121"/>
      <c r="S22" s="121"/>
      <c r="T22" s="121"/>
      <c r="U22" s="121"/>
      <c r="V22" s="121"/>
      <c r="W22" s="121"/>
      <c r="X22" s="121"/>
      <c r="Y22" s="121"/>
      <c r="Z22" s="121"/>
    </row>
    <row r="23" spans="1:26" ht="12.75">
      <c r="A23" s="121" t="s">
        <v>2346</v>
      </c>
      <c r="B23" s="127"/>
      <c r="C23" s="127"/>
      <c r="D23" s="127">
        <v>67</v>
      </c>
      <c r="E23" s="127">
        <v>17.899999999999999</v>
      </c>
      <c r="F23" s="127">
        <v>1.3</v>
      </c>
      <c r="G23" s="127"/>
      <c r="H23" s="127">
        <v>88</v>
      </c>
      <c r="I23" s="127">
        <v>369</v>
      </c>
      <c r="J23" s="121"/>
      <c r="K23" s="121"/>
      <c r="L23" s="121"/>
      <c r="M23" s="121"/>
      <c r="N23" s="121"/>
      <c r="O23" s="121"/>
      <c r="P23" s="121"/>
      <c r="Q23" s="121"/>
      <c r="R23" s="121"/>
      <c r="S23" s="121"/>
      <c r="T23" s="121"/>
      <c r="U23" s="121"/>
      <c r="V23" s="121"/>
      <c r="W23" s="121"/>
      <c r="X23" s="121"/>
      <c r="Y23" s="121"/>
      <c r="Z23" s="121"/>
    </row>
    <row r="24" spans="1:26" ht="12.75">
      <c r="A24" s="121" t="s">
        <v>2347</v>
      </c>
      <c r="B24" s="127" t="s">
        <v>2348</v>
      </c>
      <c r="C24" s="127" t="s">
        <v>2349</v>
      </c>
      <c r="D24" s="127"/>
      <c r="E24" s="127" t="s">
        <v>2350</v>
      </c>
      <c r="F24" s="127" t="s">
        <v>2351</v>
      </c>
      <c r="G24" s="127"/>
      <c r="H24" s="127" t="s">
        <v>2352</v>
      </c>
      <c r="I24" s="127" t="s">
        <v>2353</v>
      </c>
      <c r="J24" s="121"/>
      <c r="K24" s="121"/>
      <c r="L24" s="121"/>
      <c r="M24" s="121"/>
      <c r="N24" s="121"/>
      <c r="O24" s="121"/>
      <c r="P24" s="121"/>
      <c r="Q24" s="121"/>
      <c r="R24" s="121"/>
      <c r="S24" s="121"/>
      <c r="T24" s="121"/>
      <c r="U24" s="121"/>
      <c r="V24" s="121"/>
      <c r="W24" s="121"/>
      <c r="X24" s="121"/>
      <c r="Y24" s="121"/>
      <c r="Z24" s="121"/>
    </row>
    <row r="25" spans="1:26" ht="12.75">
      <c r="A25" s="121" t="s">
        <v>2354</v>
      </c>
      <c r="B25" s="127">
        <v>34</v>
      </c>
      <c r="C25" s="127">
        <v>47</v>
      </c>
      <c r="D25" s="127"/>
      <c r="E25" s="127">
        <v>18.100000000000001</v>
      </c>
      <c r="F25" s="127">
        <v>0.8</v>
      </c>
      <c r="G25" s="127"/>
      <c r="H25" s="127">
        <v>56</v>
      </c>
      <c r="I25" s="127">
        <v>234</v>
      </c>
      <c r="J25" s="121"/>
      <c r="K25" s="121"/>
      <c r="L25" s="121"/>
      <c r="M25" s="121"/>
      <c r="N25" s="121"/>
      <c r="O25" s="121"/>
      <c r="P25" s="121"/>
      <c r="Q25" s="121"/>
      <c r="R25" s="121"/>
      <c r="S25" s="121"/>
      <c r="T25" s="121"/>
      <c r="U25" s="121"/>
      <c r="V25" s="121"/>
      <c r="W25" s="121"/>
      <c r="X25" s="121"/>
      <c r="Y25" s="121"/>
      <c r="Z25" s="121"/>
    </row>
    <row r="26" spans="1:26" ht="12.75">
      <c r="A26" s="121" t="s">
        <v>2355</v>
      </c>
      <c r="B26" s="127">
        <v>46</v>
      </c>
      <c r="C26" s="127">
        <v>61</v>
      </c>
      <c r="D26" s="127"/>
      <c r="E26" s="127">
        <v>17.8</v>
      </c>
      <c r="F26" s="127" t="s">
        <v>2356</v>
      </c>
      <c r="G26" s="127"/>
      <c r="H26" s="127" t="s">
        <v>2357</v>
      </c>
      <c r="I26" s="127" t="s">
        <v>2358</v>
      </c>
      <c r="J26" s="121"/>
      <c r="K26" s="121"/>
      <c r="L26" s="121"/>
      <c r="M26" s="121"/>
      <c r="N26" s="121"/>
      <c r="O26" s="121"/>
      <c r="P26" s="121"/>
      <c r="Q26" s="121"/>
      <c r="R26" s="121"/>
      <c r="S26" s="121"/>
      <c r="T26" s="121"/>
      <c r="U26" s="121"/>
      <c r="V26" s="121"/>
      <c r="W26" s="121"/>
      <c r="X26" s="121"/>
      <c r="Y26" s="121"/>
      <c r="Z26" s="121"/>
    </row>
    <row r="27" spans="1:26" ht="12.75">
      <c r="A27" s="121" t="s">
        <v>2359</v>
      </c>
      <c r="B27" s="127" t="s">
        <v>2334</v>
      </c>
      <c r="C27" s="127">
        <v>52</v>
      </c>
      <c r="D27" s="127"/>
      <c r="E27" s="127">
        <v>19.7</v>
      </c>
      <c r="F27" s="127">
        <v>5.8</v>
      </c>
      <c r="G27" s="127"/>
      <c r="H27" s="127">
        <v>136</v>
      </c>
      <c r="I27" s="127">
        <v>571</v>
      </c>
      <c r="J27" s="121"/>
      <c r="K27" s="121"/>
      <c r="L27" s="121"/>
      <c r="M27" s="121"/>
      <c r="N27" s="121"/>
      <c r="O27" s="121"/>
      <c r="P27" s="121"/>
      <c r="Q27" s="121"/>
      <c r="R27" s="121"/>
      <c r="S27" s="121"/>
      <c r="T27" s="121"/>
      <c r="U27" s="121"/>
      <c r="V27" s="121"/>
      <c r="W27" s="121"/>
      <c r="X27" s="121"/>
      <c r="Y27" s="121"/>
      <c r="Z27" s="121"/>
    </row>
    <row r="28" spans="1:26" ht="12.75">
      <c r="A28" s="121" t="s">
        <v>2360</v>
      </c>
      <c r="B28" s="127">
        <v>54</v>
      </c>
      <c r="C28" s="127">
        <v>61</v>
      </c>
      <c r="D28" s="127"/>
      <c r="E28" s="127">
        <v>18.7</v>
      </c>
      <c r="F28" s="127">
        <v>11.4</v>
      </c>
      <c r="G28" s="127"/>
      <c r="H28" s="127">
        <v>183</v>
      </c>
      <c r="I28" s="127">
        <v>764</v>
      </c>
      <c r="J28" s="121"/>
      <c r="K28" s="121"/>
      <c r="L28" s="121"/>
      <c r="M28" s="121"/>
      <c r="N28" s="121"/>
      <c r="O28" s="121"/>
      <c r="P28" s="121"/>
      <c r="Q28" s="121"/>
      <c r="R28" s="121"/>
      <c r="S28" s="121"/>
      <c r="T28" s="121"/>
      <c r="U28" s="121"/>
      <c r="V28" s="121"/>
      <c r="W28" s="121"/>
      <c r="X28" s="121"/>
      <c r="Y28" s="121"/>
      <c r="Z28" s="121"/>
    </row>
    <row r="29" spans="1:26" ht="12.75">
      <c r="A29" s="121" t="s">
        <v>2361</v>
      </c>
      <c r="B29" s="127">
        <v>29</v>
      </c>
      <c r="C29" s="127">
        <v>45</v>
      </c>
      <c r="D29" s="127"/>
      <c r="E29" s="127">
        <v>18.399999999999999</v>
      </c>
      <c r="F29" s="127">
        <v>2.7</v>
      </c>
      <c r="G29" s="127"/>
      <c r="H29" s="127">
        <v>103</v>
      </c>
      <c r="I29" s="127">
        <v>431</v>
      </c>
      <c r="J29" s="121"/>
      <c r="K29" s="121"/>
      <c r="L29" s="121"/>
      <c r="M29" s="121"/>
      <c r="N29" s="121"/>
      <c r="O29" s="121"/>
      <c r="P29" s="121"/>
      <c r="Q29" s="121"/>
      <c r="R29" s="121"/>
      <c r="S29" s="121"/>
      <c r="T29" s="121"/>
      <c r="U29" s="121"/>
      <c r="V29" s="121"/>
      <c r="W29" s="121"/>
      <c r="X29" s="121"/>
      <c r="Y29" s="121"/>
      <c r="Z29" s="121"/>
    </row>
    <row r="30" spans="1:26" ht="12.75">
      <c r="A30" s="121" t="s">
        <v>2362</v>
      </c>
      <c r="B30" s="127" t="s">
        <v>2335</v>
      </c>
      <c r="C30" s="127">
        <v>65</v>
      </c>
      <c r="D30" s="127"/>
      <c r="E30" s="127">
        <v>20.2</v>
      </c>
      <c r="F30" s="127">
        <v>4.5</v>
      </c>
      <c r="G30" s="127"/>
      <c r="H30" s="127">
        <v>127</v>
      </c>
      <c r="I30" s="127">
        <v>531</v>
      </c>
      <c r="J30" s="121"/>
      <c r="K30" s="121"/>
      <c r="L30" s="121"/>
      <c r="M30" s="121"/>
      <c r="N30" s="121"/>
      <c r="O30" s="121"/>
      <c r="P30" s="121"/>
      <c r="Q30" s="121"/>
      <c r="R30" s="121"/>
      <c r="S30" s="121"/>
      <c r="T30" s="121"/>
      <c r="U30" s="121"/>
      <c r="V30" s="121"/>
      <c r="W30" s="121"/>
      <c r="X30" s="121"/>
      <c r="Y30" s="121"/>
      <c r="Z30" s="121"/>
    </row>
    <row r="31" spans="1:26" ht="12.75">
      <c r="A31" s="121" t="s">
        <v>2363</v>
      </c>
      <c r="B31" s="127"/>
      <c r="C31" s="127"/>
      <c r="D31" s="127">
        <v>57</v>
      </c>
      <c r="E31" s="127">
        <v>20.5</v>
      </c>
      <c r="F31" s="127">
        <v>1.3</v>
      </c>
      <c r="G31" s="127"/>
      <c r="H31" s="127">
        <v>99</v>
      </c>
      <c r="I31" s="127">
        <v>415</v>
      </c>
      <c r="J31" s="121"/>
      <c r="K31" s="121"/>
      <c r="L31" s="121"/>
      <c r="M31" s="121"/>
      <c r="N31" s="121"/>
      <c r="O31" s="121"/>
      <c r="P31" s="121"/>
      <c r="Q31" s="121"/>
      <c r="R31" s="121"/>
      <c r="S31" s="121"/>
      <c r="T31" s="121"/>
      <c r="U31" s="121"/>
      <c r="V31" s="121"/>
      <c r="W31" s="121"/>
      <c r="X31" s="121"/>
      <c r="Y31" s="121"/>
      <c r="Z31" s="121"/>
    </row>
    <row r="32" spans="1:26" ht="12.75">
      <c r="A32" s="121" t="s">
        <v>2364</v>
      </c>
      <c r="B32" s="127" t="s">
        <v>2332</v>
      </c>
      <c r="C32" s="127">
        <v>58</v>
      </c>
      <c r="D32" s="127"/>
      <c r="E32" s="127">
        <v>23.7</v>
      </c>
      <c r="F32" s="127">
        <v>4.5999999999999996</v>
      </c>
      <c r="G32" s="127"/>
      <c r="H32" s="127">
        <v>143</v>
      </c>
      <c r="I32" s="127">
        <v>597</v>
      </c>
      <c r="J32" s="121"/>
      <c r="K32" s="121"/>
      <c r="L32" s="121"/>
      <c r="M32" s="121"/>
      <c r="N32" s="121"/>
      <c r="O32" s="121"/>
      <c r="P32" s="121"/>
      <c r="Q32" s="121"/>
      <c r="R32" s="121"/>
      <c r="S32" s="121"/>
      <c r="T32" s="121"/>
      <c r="U32" s="121"/>
      <c r="V32" s="121"/>
      <c r="W32" s="121"/>
      <c r="X32" s="121"/>
      <c r="Y32" s="121"/>
      <c r="Z32" s="121"/>
    </row>
    <row r="33" spans="1:26" ht="12.75">
      <c r="A33" s="121" t="s">
        <v>2365</v>
      </c>
      <c r="B33" s="127" t="s">
        <v>2366</v>
      </c>
      <c r="C33" s="127" t="s">
        <v>2367</v>
      </c>
      <c r="D33" s="127"/>
      <c r="E33" s="127" t="s">
        <v>2368</v>
      </c>
      <c r="F33" s="127" t="s">
        <v>2369</v>
      </c>
      <c r="G33" s="127"/>
      <c r="H33" s="127" t="s">
        <v>2370</v>
      </c>
      <c r="I33" s="127" t="s">
        <v>2371</v>
      </c>
      <c r="J33" s="121"/>
      <c r="K33" s="121"/>
      <c r="L33" s="121"/>
      <c r="M33" s="121"/>
      <c r="N33" s="121"/>
      <c r="O33" s="121"/>
      <c r="P33" s="121"/>
      <c r="Q33" s="121"/>
      <c r="R33" s="121"/>
      <c r="S33" s="121"/>
      <c r="T33" s="121"/>
      <c r="U33" s="121"/>
      <c r="V33" s="121"/>
      <c r="W33" s="121"/>
      <c r="X33" s="121"/>
      <c r="Y33" s="121"/>
      <c r="Z33" s="121"/>
    </row>
    <row r="34" spans="1:26" ht="12.75">
      <c r="A34" s="121" t="s">
        <v>2372</v>
      </c>
      <c r="B34" s="127"/>
      <c r="C34" s="127"/>
      <c r="D34" s="127">
        <v>24</v>
      </c>
      <c r="E34" s="127">
        <v>11.2</v>
      </c>
      <c r="F34" s="127">
        <v>1.8</v>
      </c>
      <c r="G34" s="127">
        <v>2.5</v>
      </c>
      <c r="H34" s="127">
        <v>74</v>
      </c>
      <c r="I34" s="127">
        <v>311</v>
      </c>
      <c r="J34" s="121"/>
      <c r="K34" s="121"/>
      <c r="L34" s="121"/>
      <c r="M34" s="121"/>
      <c r="N34" s="121"/>
      <c r="O34" s="121"/>
      <c r="P34" s="121"/>
      <c r="Q34" s="121"/>
      <c r="R34" s="121"/>
      <c r="S34" s="121"/>
      <c r="T34" s="121"/>
      <c r="U34" s="121"/>
      <c r="V34" s="121"/>
      <c r="W34" s="121"/>
      <c r="X34" s="121"/>
      <c r="Y34" s="121"/>
      <c r="Z34" s="121"/>
    </row>
    <row r="35" spans="1:26" ht="12.75">
      <c r="A35" s="121" t="s">
        <v>2373</v>
      </c>
      <c r="B35" s="127">
        <v>28</v>
      </c>
      <c r="C35" s="127">
        <v>49</v>
      </c>
      <c r="D35" s="127"/>
      <c r="E35" s="127">
        <v>18.399999999999999</v>
      </c>
      <c r="F35" s="127">
        <v>0.3</v>
      </c>
      <c r="G35" s="127"/>
      <c r="H35" s="127">
        <v>81</v>
      </c>
      <c r="I35" s="127">
        <v>340</v>
      </c>
      <c r="J35" s="121"/>
      <c r="K35" s="121"/>
      <c r="L35" s="121"/>
      <c r="M35" s="121"/>
      <c r="N35" s="121"/>
      <c r="O35" s="121"/>
      <c r="P35" s="121"/>
      <c r="Q35" s="121"/>
      <c r="R35" s="121"/>
      <c r="S35" s="121"/>
      <c r="T35" s="121"/>
      <c r="U35" s="121"/>
      <c r="V35" s="121"/>
      <c r="W35" s="121"/>
      <c r="X35" s="121"/>
      <c r="Y35" s="121"/>
      <c r="Z35" s="121"/>
    </row>
    <row r="36" spans="1:26" ht="12.75">
      <c r="A36" s="121" t="s">
        <v>2374</v>
      </c>
      <c r="B36" s="127" t="s">
        <v>2375</v>
      </c>
      <c r="C36" s="127" t="s">
        <v>2376</v>
      </c>
      <c r="D36" s="127"/>
      <c r="E36" s="127" t="s">
        <v>2377</v>
      </c>
      <c r="F36" s="127" t="s">
        <v>2378</v>
      </c>
      <c r="G36" s="127"/>
      <c r="H36" s="127" t="s">
        <v>2379</v>
      </c>
      <c r="I36" s="127" t="s">
        <v>2380</v>
      </c>
      <c r="J36" s="121"/>
      <c r="K36" s="121"/>
      <c r="L36" s="121"/>
      <c r="M36" s="121"/>
      <c r="N36" s="121"/>
      <c r="O36" s="121"/>
      <c r="P36" s="121"/>
      <c r="Q36" s="121"/>
      <c r="R36" s="121"/>
      <c r="S36" s="121"/>
      <c r="T36" s="121"/>
      <c r="U36" s="121"/>
      <c r="V36" s="121"/>
      <c r="W36" s="121"/>
      <c r="X36" s="121"/>
      <c r="Y36" s="121"/>
      <c r="Z36" s="121"/>
    </row>
    <row r="37" spans="1:26" ht="12.75">
      <c r="A37" s="121" t="s">
        <v>2381</v>
      </c>
      <c r="B37" s="127"/>
      <c r="C37" s="127"/>
      <c r="D37" s="127" t="s">
        <v>2382</v>
      </c>
      <c r="E37" s="127" t="s">
        <v>2383</v>
      </c>
      <c r="F37" s="127" t="s">
        <v>2384</v>
      </c>
      <c r="G37" s="127" t="s">
        <v>2385</v>
      </c>
      <c r="H37" s="127" t="s">
        <v>2386</v>
      </c>
      <c r="I37" s="127" t="s">
        <v>2387</v>
      </c>
      <c r="J37" s="121"/>
      <c r="K37" s="121"/>
      <c r="L37" s="121"/>
      <c r="M37" s="121"/>
      <c r="N37" s="121"/>
      <c r="O37" s="121"/>
      <c r="P37" s="121"/>
      <c r="Q37" s="121"/>
      <c r="R37" s="121"/>
      <c r="S37" s="121"/>
      <c r="T37" s="121"/>
      <c r="U37" s="121"/>
      <c r="V37" s="121"/>
      <c r="W37" s="121"/>
      <c r="X37" s="121"/>
      <c r="Y37" s="121"/>
      <c r="Z37" s="121"/>
    </row>
    <row r="38" spans="1:26" ht="12.75">
      <c r="A38" s="121" t="s">
        <v>2388</v>
      </c>
      <c r="B38" s="127">
        <v>50</v>
      </c>
      <c r="C38" s="127">
        <v>53</v>
      </c>
      <c r="D38" s="127"/>
      <c r="E38" s="127">
        <v>18.899999999999999</v>
      </c>
      <c r="F38" s="127">
        <v>7.9</v>
      </c>
      <c r="G38" s="127"/>
      <c r="H38" s="127">
        <v>152</v>
      </c>
      <c r="I38" s="127">
        <v>636</v>
      </c>
      <c r="J38" s="121"/>
      <c r="K38" s="121"/>
      <c r="L38" s="121"/>
      <c r="M38" s="121"/>
      <c r="N38" s="121"/>
      <c r="O38" s="121"/>
      <c r="P38" s="121"/>
      <c r="Q38" s="121"/>
      <c r="R38" s="121"/>
      <c r="S38" s="121"/>
      <c r="T38" s="121"/>
      <c r="U38" s="121"/>
      <c r="V38" s="121"/>
      <c r="W38" s="121"/>
      <c r="X38" s="121"/>
      <c r="Y38" s="121"/>
      <c r="Z38" s="121"/>
    </row>
    <row r="39" spans="1:26" ht="12.75">
      <c r="A39" s="121" t="s">
        <v>2389</v>
      </c>
      <c r="B39" s="127">
        <v>41</v>
      </c>
      <c r="C39" s="127">
        <v>53</v>
      </c>
      <c r="D39" s="127"/>
      <c r="E39" s="127">
        <v>17.8</v>
      </c>
      <c r="F39" s="127">
        <v>2.5</v>
      </c>
      <c r="G39" s="127"/>
      <c r="H39" s="127">
        <v>99</v>
      </c>
      <c r="I39" s="127">
        <v>412</v>
      </c>
      <c r="J39" s="121"/>
      <c r="K39" s="121"/>
      <c r="L39" s="121"/>
      <c r="M39" s="121"/>
      <c r="N39" s="121"/>
      <c r="O39" s="121"/>
      <c r="P39" s="121"/>
      <c r="Q39" s="121"/>
      <c r="R39" s="121"/>
      <c r="S39" s="121"/>
      <c r="T39" s="121"/>
      <c r="U39" s="121"/>
      <c r="V39" s="121"/>
      <c r="W39" s="121"/>
      <c r="X39" s="121"/>
      <c r="Y39" s="121"/>
      <c r="Z39" s="121"/>
    </row>
    <row r="40" spans="1:26" ht="12.75">
      <c r="A40" s="121" t="s">
        <v>2390</v>
      </c>
      <c r="B40" s="127" t="s">
        <v>2334</v>
      </c>
      <c r="C40" s="127">
        <v>52</v>
      </c>
      <c r="D40" s="127"/>
      <c r="E40" s="127">
        <v>19.7</v>
      </c>
      <c r="F40" s="127">
        <v>5.8</v>
      </c>
      <c r="G40" s="127"/>
      <c r="H40" s="127">
        <v>136</v>
      </c>
      <c r="I40" s="127">
        <v>571</v>
      </c>
      <c r="J40" s="121"/>
      <c r="K40" s="121"/>
      <c r="L40" s="121"/>
      <c r="M40" s="121"/>
      <c r="N40" s="121"/>
      <c r="O40" s="121"/>
      <c r="P40" s="121"/>
      <c r="Q40" s="121"/>
      <c r="R40" s="121"/>
      <c r="S40" s="121"/>
      <c r="T40" s="121"/>
      <c r="U40" s="121"/>
      <c r="V40" s="121"/>
      <c r="W40" s="121"/>
      <c r="X40" s="121"/>
      <c r="Y40" s="121"/>
      <c r="Z40" s="121"/>
    </row>
    <row r="41" spans="1:26" ht="12.75">
      <c r="A41" s="121" t="s">
        <v>2391</v>
      </c>
      <c r="B41" s="127" t="s">
        <v>2376</v>
      </c>
      <c r="C41" s="127" t="s">
        <v>2392</v>
      </c>
      <c r="D41" s="127"/>
      <c r="E41" s="127">
        <v>14.9</v>
      </c>
      <c r="F41" s="127">
        <v>5.9</v>
      </c>
      <c r="G41" s="127"/>
      <c r="H41" s="127">
        <v>117</v>
      </c>
      <c r="I41" s="127">
        <v>489</v>
      </c>
      <c r="J41" s="121"/>
      <c r="K41" s="121"/>
      <c r="L41" s="121"/>
      <c r="M41" s="121"/>
      <c r="N41" s="121"/>
      <c r="O41" s="121"/>
      <c r="P41" s="121"/>
      <c r="Q41" s="121"/>
      <c r="R41" s="121"/>
      <c r="S41" s="121"/>
      <c r="T41" s="121"/>
      <c r="U41" s="121"/>
      <c r="V41" s="121"/>
      <c r="W41" s="121"/>
      <c r="X41" s="121"/>
      <c r="Y41" s="121"/>
      <c r="Z41" s="121"/>
    </row>
    <row r="42" spans="1:26" ht="12.75">
      <c r="A42" s="121" t="s">
        <v>2393</v>
      </c>
      <c r="B42" s="127" t="s">
        <v>2339</v>
      </c>
      <c r="C42" s="127">
        <v>62</v>
      </c>
      <c r="D42" s="127"/>
      <c r="E42" s="127" t="s">
        <v>2340</v>
      </c>
      <c r="F42" s="127" t="s">
        <v>2341</v>
      </c>
      <c r="G42" s="127"/>
      <c r="H42" s="127" t="s">
        <v>2342</v>
      </c>
      <c r="I42" s="127" t="s">
        <v>2343</v>
      </c>
      <c r="J42" s="121"/>
      <c r="K42" s="121"/>
      <c r="L42" s="121"/>
      <c r="M42" s="121"/>
      <c r="N42" s="121"/>
      <c r="O42" s="121"/>
      <c r="P42" s="121"/>
      <c r="Q42" s="121"/>
      <c r="R42" s="121"/>
      <c r="S42" s="121"/>
      <c r="T42" s="121"/>
      <c r="U42" s="121"/>
      <c r="V42" s="121"/>
      <c r="W42" s="121"/>
      <c r="X42" s="121"/>
      <c r="Y42" s="121"/>
      <c r="Z42" s="121"/>
    </row>
    <row r="43" spans="1:26" ht="12.75">
      <c r="A43" s="121" t="s">
        <v>2394</v>
      </c>
      <c r="B43" s="127" t="s">
        <v>2395</v>
      </c>
      <c r="C43" s="127" t="s">
        <v>2376</v>
      </c>
      <c r="D43" s="127"/>
      <c r="E43" s="127" t="s">
        <v>2396</v>
      </c>
      <c r="F43" s="127" t="s">
        <v>2397</v>
      </c>
      <c r="G43" s="127"/>
      <c r="H43" s="127" t="s">
        <v>2398</v>
      </c>
      <c r="I43" s="127" t="s">
        <v>2399</v>
      </c>
      <c r="J43" s="121"/>
      <c r="K43" s="121"/>
      <c r="L43" s="121"/>
      <c r="M43" s="121"/>
      <c r="N43" s="121"/>
      <c r="O43" s="121"/>
      <c r="P43" s="121"/>
      <c r="Q43" s="121"/>
      <c r="R43" s="121"/>
      <c r="S43" s="121"/>
      <c r="T43" s="121"/>
      <c r="U43" s="121"/>
      <c r="V43" s="121"/>
      <c r="W43" s="121"/>
      <c r="X43" s="121"/>
      <c r="Y43" s="121"/>
      <c r="Z43" s="121"/>
    </row>
    <row r="44" spans="1:26" ht="12.75">
      <c r="A44" s="121" t="s">
        <v>2400</v>
      </c>
      <c r="B44" s="127">
        <v>41</v>
      </c>
      <c r="C44" s="127">
        <v>53</v>
      </c>
      <c r="D44" s="127"/>
      <c r="E44" s="127">
        <v>17.8</v>
      </c>
      <c r="F44" s="127">
        <v>2.5</v>
      </c>
      <c r="G44" s="127"/>
      <c r="H44" s="127">
        <v>99</v>
      </c>
      <c r="I44" s="127">
        <v>412</v>
      </c>
      <c r="J44" s="121"/>
      <c r="K44" s="121"/>
      <c r="L44" s="121"/>
      <c r="M44" s="121"/>
      <c r="N44" s="121"/>
      <c r="O44" s="121"/>
      <c r="P44" s="121"/>
      <c r="Q44" s="121"/>
      <c r="R44" s="121"/>
      <c r="S44" s="121"/>
      <c r="T44" s="121"/>
      <c r="U44" s="121"/>
      <c r="V44" s="121"/>
      <c r="W44" s="121"/>
      <c r="X44" s="121"/>
      <c r="Y44" s="121"/>
      <c r="Z44" s="121"/>
    </row>
    <row r="45" spans="1:26" ht="12.75">
      <c r="A45" s="121" t="s">
        <v>2401</v>
      </c>
      <c r="B45" s="127" t="s">
        <v>2334</v>
      </c>
      <c r="C45" s="127">
        <v>52</v>
      </c>
      <c r="D45" s="127"/>
      <c r="E45" s="127">
        <v>19.7</v>
      </c>
      <c r="F45" s="127">
        <v>5.8</v>
      </c>
      <c r="G45" s="127"/>
      <c r="H45" s="127">
        <v>136</v>
      </c>
      <c r="I45" s="127">
        <v>571</v>
      </c>
      <c r="J45" s="121"/>
      <c r="K45" s="121"/>
      <c r="L45" s="121"/>
      <c r="M45" s="121"/>
      <c r="N45" s="121"/>
      <c r="O45" s="121"/>
      <c r="P45" s="121"/>
      <c r="Q45" s="121"/>
      <c r="R45" s="121"/>
      <c r="S45" s="121"/>
      <c r="T45" s="121"/>
      <c r="U45" s="121"/>
      <c r="V45" s="121"/>
      <c r="W45" s="121"/>
      <c r="X45" s="121"/>
      <c r="Y45" s="121"/>
      <c r="Z45" s="121"/>
    </row>
    <row r="46" spans="1:26" ht="12.75">
      <c r="A46" s="121" t="s">
        <v>2402</v>
      </c>
      <c r="B46" s="127">
        <v>46</v>
      </c>
      <c r="C46" s="127">
        <v>57</v>
      </c>
      <c r="D46" s="127"/>
      <c r="E46" s="127">
        <v>20.399999999999999</v>
      </c>
      <c r="F46" s="127">
        <v>9.5</v>
      </c>
      <c r="G46" s="127"/>
      <c r="H46" s="127">
        <v>173</v>
      </c>
      <c r="I46" s="127">
        <v>723</v>
      </c>
      <c r="J46" s="121"/>
      <c r="K46" s="121"/>
      <c r="L46" s="121"/>
      <c r="M46" s="121"/>
      <c r="N46" s="121"/>
      <c r="O46" s="121"/>
      <c r="P46" s="121"/>
      <c r="Q46" s="121"/>
      <c r="R46" s="121"/>
      <c r="S46" s="121"/>
      <c r="T46" s="121"/>
      <c r="U46" s="121"/>
      <c r="V46" s="121"/>
      <c r="W46" s="121"/>
      <c r="X46" s="121"/>
      <c r="Y46" s="121"/>
      <c r="Z46" s="121"/>
    </row>
    <row r="47" spans="1:26" ht="12.75">
      <c r="A47" s="121" t="s">
        <v>2403</v>
      </c>
      <c r="B47" s="127" t="s">
        <v>2366</v>
      </c>
      <c r="C47" s="127">
        <v>62</v>
      </c>
      <c r="D47" s="127"/>
      <c r="E47" s="127">
        <v>20.5</v>
      </c>
      <c r="F47" s="127">
        <v>6.3</v>
      </c>
      <c r="G47" s="127"/>
      <c r="H47" s="127">
        <v>144</v>
      </c>
      <c r="I47" s="127">
        <v>604</v>
      </c>
      <c r="J47" s="121"/>
      <c r="K47" s="121"/>
      <c r="L47" s="121"/>
      <c r="M47" s="121"/>
      <c r="N47" s="121"/>
      <c r="O47" s="121"/>
      <c r="P47" s="121"/>
      <c r="Q47" s="121"/>
      <c r="R47" s="121"/>
      <c r="S47" s="121"/>
      <c r="T47" s="121"/>
      <c r="U47" s="121"/>
      <c r="V47" s="121"/>
      <c r="W47" s="121"/>
      <c r="X47" s="121"/>
      <c r="Y47" s="121"/>
      <c r="Z47" s="121"/>
    </row>
    <row r="48" spans="1:26" ht="12.75">
      <c r="A48" s="121" t="s">
        <v>2404</v>
      </c>
      <c r="B48" s="127" t="s">
        <v>2405</v>
      </c>
      <c r="C48" s="127">
        <v>37</v>
      </c>
      <c r="D48" s="127"/>
      <c r="E48" s="127">
        <v>17.600000000000001</v>
      </c>
      <c r="F48" s="127">
        <v>2.1</v>
      </c>
      <c r="G48" s="127"/>
      <c r="H48" s="127">
        <v>94</v>
      </c>
      <c r="I48" s="127">
        <v>394</v>
      </c>
      <c r="J48" s="121"/>
      <c r="K48" s="121"/>
      <c r="L48" s="121"/>
      <c r="M48" s="121"/>
      <c r="N48" s="121"/>
      <c r="O48" s="121"/>
      <c r="P48" s="121"/>
      <c r="Q48" s="121"/>
      <c r="R48" s="121"/>
      <c r="S48" s="121"/>
      <c r="T48" s="121"/>
      <c r="U48" s="121"/>
      <c r="V48" s="121"/>
      <c r="W48" s="121"/>
      <c r="X48" s="121"/>
      <c r="Y48" s="121"/>
      <c r="Z48" s="121"/>
    </row>
    <row r="49" spans="1:26" ht="12.75">
      <c r="A49" s="121" t="s">
        <v>2406</v>
      </c>
      <c r="B49" s="127" t="s">
        <v>2407</v>
      </c>
      <c r="C49" s="127"/>
      <c r="D49" s="127">
        <v>10.8</v>
      </c>
      <c r="E49" s="127">
        <v>1.1000000000000001</v>
      </c>
      <c r="F49" s="127"/>
      <c r="G49" s="127">
        <v>3.9</v>
      </c>
      <c r="H49" s="127">
        <v>72</v>
      </c>
      <c r="I49" s="127">
        <v>302</v>
      </c>
      <c r="J49" s="121"/>
      <c r="K49" s="121"/>
      <c r="L49" s="121"/>
      <c r="M49" s="121"/>
      <c r="N49" s="121"/>
      <c r="O49" s="121"/>
      <c r="P49" s="121"/>
      <c r="Q49" s="121"/>
      <c r="R49" s="121"/>
      <c r="S49" s="121"/>
      <c r="T49" s="121"/>
      <c r="U49" s="121"/>
      <c r="V49" s="121"/>
      <c r="W49" s="121"/>
      <c r="X49" s="121"/>
      <c r="Y49" s="121"/>
      <c r="Z49" s="121"/>
    </row>
    <row r="50" spans="1:26" ht="12.75">
      <c r="A50" s="121" t="s">
        <v>2408</v>
      </c>
      <c r="B50" s="127" t="s">
        <v>2366</v>
      </c>
      <c r="C50" s="127">
        <v>62</v>
      </c>
      <c r="D50" s="127"/>
      <c r="E50" s="127">
        <v>20.5</v>
      </c>
      <c r="F50" s="127">
        <v>6.3</v>
      </c>
      <c r="G50" s="127"/>
      <c r="H50" s="127">
        <v>144</v>
      </c>
      <c r="I50" s="127">
        <v>604</v>
      </c>
      <c r="J50" s="121"/>
      <c r="K50" s="121"/>
      <c r="L50" s="121"/>
      <c r="M50" s="121"/>
      <c r="N50" s="121"/>
      <c r="O50" s="121"/>
      <c r="P50" s="121"/>
      <c r="Q50" s="121"/>
      <c r="R50" s="121"/>
      <c r="S50" s="121"/>
      <c r="T50" s="121"/>
      <c r="U50" s="121"/>
      <c r="V50" s="121"/>
      <c r="W50" s="121"/>
      <c r="X50" s="121"/>
      <c r="Y50" s="121"/>
      <c r="Z50" s="121"/>
    </row>
    <row r="51" spans="1:26" ht="12.75">
      <c r="A51" s="121" t="s">
        <v>2409</v>
      </c>
      <c r="B51" s="127">
        <v>36</v>
      </c>
      <c r="C51" s="127" t="s">
        <v>2349</v>
      </c>
      <c r="D51" s="127"/>
      <c r="E51" s="127">
        <v>17.5</v>
      </c>
      <c r="F51" s="127">
        <v>4.7</v>
      </c>
      <c r="G51" s="127"/>
      <c r="H51" s="127">
        <v>117</v>
      </c>
      <c r="I51" s="127">
        <v>490</v>
      </c>
      <c r="J51" s="121"/>
      <c r="K51" s="121"/>
      <c r="L51" s="121"/>
      <c r="M51" s="121"/>
      <c r="N51" s="121"/>
      <c r="O51" s="121"/>
      <c r="P51" s="121"/>
      <c r="Q51" s="121"/>
      <c r="R51" s="121"/>
      <c r="S51" s="121"/>
      <c r="T51" s="121"/>
      <c r="U51" s="121"/>
      <c r="V51" s="121"/>
      <c r="W51" s="121"/>
      <c r="X51" s="121"/>
      <c r="Y51" s="121"/>
      <c r="Z51" s="121"/>
    </row>
    <row r="52" spans="1:26" ht="12.75">
      <c r="A52" s="121" t="s">
        <v>2410</v>
      </c>
      <c r="B52" s="127"/>
      <c r="C52" s="127"/>
      <c r="D52" s="127" t="s">
        <v>2382</v>
      </c>
      <c r="E52" s="127" t="s">
        <v>2383</v>
      </c>
      <c r="F52" s="127" t="s">
        <v>2384</v>
      </c>
      <c r="G52" s="127" t="s">
        <v>2385</v>
      </c>
      <c r="H52" s="127" t="s">
        <v>2386</v>
      </c>
      <c r="I52" s="127" t="s">
        <v>2387</v>
      </c>
      <c r="J52" s="121"/>
      <c r="K52" s="121"/>
      <c r="L52" s="121"/>
      <c r="M52" s="121"/>
      <c r="N52" s="121"/>
      <c r="O52" s="121"/>
      <c r="P52" s="121"/>
      <c r="Q52" s="121"/>
      <c r="R52" s="121"/>
      <c r="S52" s="121"/>
      <c r="T52" s="121"/>
      <c r="U52" s="121"/>
      <c r="V52" s="121"/>
      <c r="W52" s="121"/>
      <c r="X52" s="121"/>
      <c r="Y52" s="121"/>
      <c r="Z52" s="121"/>
    </row>
    <row r="53" spans="1:26" ht="12.75">
      <c r="A53" s="121" t="s">
        <v>2411</v>
      </c>
      <c r="B53" s="127"/>
      <c r="C53" s="127"/>
      <c r="D53" s="127">
        <v>67</v>
      </c>
      <c r="E53" s="127">
        <v>17.899999999999999</v>
      </c>
      <c r="F53" s="127">
        <v>1.3</v>
      </c>
      <c r="G53" s="127"/>
      <c r="H53" s="127">
        <v>88</v>
      </c>
      <c r="I53" s="127">
        <v>369</v>
      </c>
      <c r="J53" s="121"/>
      <c r="K53" s="121"/>
      <c r="L53" s="121"/>
      <c r="M53" s="121"/>
      <c r="N53" s="121"/>
      <c r="O53" s="121"/>
      <c r="P53" s="121"/>
      <c r="Q53" s="121"/>
      <c r="R53" s="121"/>
      <c r="S53" s="121"/>
      <c r="T53" s="121"/>
      <c r="U53" s="121"/>
      <c r="V53" s="121"/>
      <c r="W53" s="121"/>
      <c r="X53" s="121"/>
      <c r="Y53" s="121"/>
      <c r="Z53" s="121"/>
    </row>
    <row r="54" spans="1:26" ht="12.75">
      <c r="A54" s="121" t="s">
        <v>2412</v>
      </c>
      <c r="B54" s="127" t="s">
        <v>2334</v>
      </c>
      <c r="C54" s="127">
        <v>52</v>
      </c>
      <c r="D54" s="127"/>
      <c r="E54" s="127">
        <v>19.7</v>
      </c>
      <c r="F54" s="127">
        <v>5.8</v>
      </c>
      <c r="G54" s="127"/>
      <c r="H54" s="127">
        <v>136</v>
      </c>
      <c r="I54" s="127">
        <v>571</v>
      </c>
      <c r="J54" s="121"/>
      <c r="K54" s="121"/>
      <c r="L54" s="121"/>
      <c r="M54" s="121"/>
      <c r="N54" s="121"/>
      <c r="O54" s="121"/>
      <c r="P54" s="121"/>
      <c r="Q54" s="121"/>
      <c r="R54" s="121"/>
      <c r="S54" s="121"/>
      <c r="T54" s="121"/>
      <c r="U54" s="121"/>
      <c r="V54" s="121"/>
      <c r="W54" s="121"/>
      <c r="X54" s="121"/>
      <c r="Y54" s="121"/>
      <c r="Z54" s="121"/>
    </row>
    <row r="55" spans="1:26" ht="12.75">
      <c r="A55" s="121" t="s">
        <v>2413</v>
      </c>
      <c r="B55" s="127"/>
      <c r="C55" s="127"/>
      <c r="D55" s="127">
        <v>10</v>
      </c>
      <c r="E55" s="127">
        <v>8.5</v>
      </c>
      <c r="F55" s="127">
        <v>1.8</v>
      </c>
      <c r="G55" s="127">
        <v>2.7</v>
      </c>
      <c r="H55" s="127">
        <v>64</v>
      </c>
      <c r="I55" s="127">
        <v>266</v>
      </c>
      <c r="J55" s="121"/>
      <c r="K55" s="121"/>
      <c r="L55" s="121"/>
      <c r="M55" s="121"/>
      <c r="N55" s="121"/>
      <c r="O55" s="121"/>
      <c r="P55" s="121"/>
      <c r="Q55" s="121"/>
      <c r="R55" s="121"/>
      <c r="S55" s="121"/>
      <c r="T55" s="121"/>
      <c r="U55" s="121"/>
      <c r="V55" s="121"/>
      <c r="W55" s="121"/>
      <c r="X55" s="121"/>
      <c r="Y55" s="121"/>
      <c r="Z55" s="121"/>
    </row>
    <row r="56" spans="1:26" ht="12.75">
      <c r="A56" s="121" t="s">
        <v>2414</v>
      </c>
      <c r="B56" s="127"/>
      <c r="C56" s="127"/>
      <c r="D56" s="127" t="s">
        <v>2415</v>
      </c>
      <c r="E56" s="127">
        <v>17.899999999999999</v>
      </c>
      <c r="F56" s="127">
        <v>1.3</v>
      </c>
      <c r="G56" s="127"/>
      <c r="H56" s="127">
        <v>88</v>
      </c>
      <c r="I56" s="127">
        <v>369</v>
      </c>
      <c r="J56" s="121"/>
      <c r="K56" s="121"/>
      <c r="L56" s="121"/>
      <c r="M56" s="121"/>
      <c r="N56" s="121"/>
      <c r="O56" s="121"/>
      <c r="P56" s="121"/>
      <c r="Q56" s="121"/>
      <c r="R56" s="121"/>
      <c r="S56" s="121"/>
      <c r="T56" s="121"/>
      <c r="U56" s="121"/>
      <c r="V56" s="121"/>
      <c r="W56" s="121"/>
      <c r="X56" s="121"/>
      <c r="Y56" s="121"/>
      <c r="Z56" s="121"/>
    </row>
    <row r="57" spans="1:26" ht="12.75">
      <c r="A57" s="121" t="s">
        <v>2416</v>
      </c>
      <c r="B57" s="127">
        <v>36</v>
      </c>
      <c r="C57" s="127" t="s">
        <v>2349</v>
      </c>
      <c r="D57" s="127">
        <v>17.5</v>
      </c>
      <c r="E57" s="127">
        <v>4.7</v>
      </c>
      <c r="F57" s="127"/>
      <c r="G57" s="127"/>
      <c r="H57" s="127">
        <v>117</v>
      </c>
      <c r="I57" s="127">
        <v>490</v>
      </c>
      <c r="J57" s="121"/>
      <c r="K57" s="121"/>
      <c r="L57" s="121"/>
      <c r="M57" s="121"/>
      <c r="N57" s="121"/>
      <c r="O57" s="121"/>
      <c r="P57" s="121"/>
      <c r="Q57" s="121"/>
      <c r="R57" s="121"/>
      <c r="S57" s="121"/>
      <c r="T57" s="121"/>
      <c r="U57" s="121"/>
      <c r="V57" s="121"/>
      <c r="W57" s="121"/>
      <c r="X57" s="121"/>
      <c r="Y57" s="121"/>
      <c r="Z57" s="121"/>
    </row>
    <row r="58" spans="1:26" ht="12.75">
      <c r="A58" s="121" t="s">
        <v>2417</v>
      </c>
      <c r="B58" s="127" t="s">
        <v>2375</v>
      </c>
      <c r="C58" s="127" t="s">
        <v>2415</v>
      </c>
      <c r="D58" s="127"/>
      <c r="E58" s="127" t="s">
        <v>2326</v>
      </c>
      <c r="F58" s="127" t="s">
        <v>2418</v>
      </c>
      <c r="G58" s="127"/>
      <c r="H58" s="127" t="s">
        <v>2419</v>
      </c>
      <c r="I58" s="127" t="s">
        <v>2420</v>
      </c>
      <c r="J58" s="121"/>
      <c r="K58" s="121"/>
      <c r="L58" s="121"/>
      <c r="M58" s="121"/>
      <c r="N58" s="121"/>
      <c r="O58" s="121"/>
      <c r="P58" s="121"/>
      <c r="Q58" s="121"/>
      <c r="R58" s="121"/>
      <c r="S58" s="121"/>
      <c r="T58" s="121"/>
      <c r="U58" s="121"/>
      <c r="V58" s="121"/>
      <c r="W58" s="121"/>
      <c r="X58" s="121"/>
      <c r="Y58" s="121"/>
      <c r="Z58" s="121"/>
    </row>
    <row r="59" spans="1:26" ht="12.75">
      <c r="A59" s="121" t="s">
        <v>2421</v>
      </c>
      <c r="B59" s="127">
        <v>40</v>
      </c>
      <c r="C59" s="127">
        <v>54</v>
      </c>
      <c r="D59" s="127"/>
      <c r="E59" s="127">
        <v>19.899999999999999</v>
      </c>
      <c r="F59" s="127">
        <v>2.2000000000000002</v>
      </c>
      <c r="G59" s="127"/>
      <c r="H59" s="127">
        <v>105</v>
      </c>
      <c r="I59" s="127">
        <v>439</v>
      </c>
      <c r="J59" s="121"/>
      <c r="K59" s="121"/>
      <c r="L59" s="121"/>
      <c r="M59" s="121"/>
      <c r="N59" s="121"/>
      <c r="O59" s="121"/>
      <c r="P59" s="121"/>
      <c r="Q59" s="121"/>
      <c r="R59" s="121"/>
      <c r="S59" s="121"/>
      <c r="T59" s="121"/>
      <c r="U59" s="121"/>
      <c r="V59" s="121"/>
      <c r="W59" s="121"/>
      <c r="X59" s="121"/>
      <c r="Y59" s="121"/>
      <c r="Z59" s="121"/>
    </row>
    <row r="60" spans="1:26" ht="12.75">
      <c r="A60" s="121" t="s">
        <v>2422</v>
      </c>
      <c r="B60" s="127" t="s">
        <v>2339</v>
      </c>
      <c r="C60" s="127">
        <v>62</v>
      </c>
      <c r="D60" s="127"/>
      <c r="E60" s="127" t="s">
        <v>2340</v>
      </c>
      <c r="F60" s="127" t="s">
        <v>2341</v>
      </c>
      <c r="G60" s="127"/>
      <c r="H60" s="127" t="s">
        <v>2342</v>
      </c>
      <c r="I60" s="127" t="s">
        <v>2343</v>
      </c>
      <c r="J60" s="121"/>
      <c r="K60" s="121"/>
      <c r="L60" s="121"/>
      <c r="M60" s="121"/>
      <c r="N60" s="121"/>
      <c r="O60" s="121"/>
      <c r="P60" s="121"/>
      <c r="Q60" s="121"/>
      <c r="R60" s="121"/>
      <c r="S60" s="121"/>
      <c r="T60" s="121"/>
      <c r="U60" s="121"/>
      <c r="V60" s="121"/>
      <c r="W60" s="121"/>
      <c r="X60" s="121"/>
      <c r="Y60" s="121"/>
      <c r="Z60" s="121"/>
    </row>
    <row r="61" spans="1:26" ht="12.75">
      <c r="A61" s="121" t="s">
        <v>2423</v>
      </c>
      <c r="B61" s="127">
        <v>41</v>
      </c>
      <c r="C61" s="127">
        <v>53</v>
      </c>
      <c r="D61" s="127"/>
      <c r="E61" s="127">
        <v>17.8</v>
      </c>
      <c r="F61" s="127">
        <v>2.5</v>
      </c>
      <c r="G61" s="127"/>
      <c r="H61" s="127">
        <v>99</v>
      </c>
      <c r="I61" s="127">
        <v>412</v>
      </c>
      <c r="J61" s="121"/>
      <c r="K61" s="121"/>
      <c r="L61" s="121"/>
      <c r="M61" s="121"/>
      <c r="N61" s="121"/>
      <c r="O61" s="121"/>
      <c r="P61" s="121"/>
      <c r="Q61" s="121"/>
      <c r="R61" s="121"/>
      <c r="S61" s="121"/>
      <c r="T61" s="121"/>
      <c r="U61" s="121"/>
      <c r="V61" s="121"/>
      <c r="W61" s="121"/>
      <c r="X61" s="121"/>
      <c r="Y61" s="121"/>
      <c r="Z61" s="121"/>
    </row>
    <row r="62" spans="1:26" ht="12.75">
      <c r="A62" s="121" t="s">
        <v>2424</v>
      </c>
      <c r="B62" s="127" t="s">
        <v>2366</v>
      </c>
      <c r="C62" s="127">
        <v>62</v>
      </c>
      <c r="D62" s="127"/>
      <c r="E62" s="127">
        <v>20</v>
      </c>
      <c r="F62" s="127">
        <v>8.1</v>
      </c>
      <c r="G62" s="127"/>
      <c r="H62" s="127">
        <v>158</v>
      </c>
      <c r="I62" s="127">
        <v>663</v>
      </c>
      <c r="J62" s="121"/>
      <c r="K62" s="121"/>
      <c r="L62" s="121"/>
      <c r="M62" s="121"/>
      <c r="N62" s="121"/>
      <c r="O62" s="121"/>
      <c r="P62" s="121"/>
      <c r="Q62" s="121"/>
      <c r="R62" s="121"/>
      <c r="S62" s="121"/>
      <c r="T62" s="121"/>
      <c r="U62" s="121"/>
      <c r="V62" s="121"/>
      <c r="W62" s="121"/>
      <c r="X62" s="121"/>
      <c r="Y62" s="121"/>
      <c r="Z62" s="121"/>
    </row>
    <row r="63" spans="1:26" ht="12.75">
      <c r="A63" s="121" t="s">
        <v>2425</v>
      </c>
      <c r="B63" s="127">
        <v>34</v>
      </c>
      <c r="C63" s="127">
        <v>49</v>
      </c>
      <c r="D63" s="127"/>
      <c r="E63" s="127">
        <v>17.600000000000001</v>
      </c>
      <c r="F63" s="127">
        <v>1.6</v>
      </c>
      <c r="G63" s="127"/>
      <c r="H63" s="127">
        <v>90</v>
      </c>
      <c r="I63" s="127">
        <v>375</v>
      </c>
      <c r="J63" s="121"/>
      <c r="K63" s="121"/>
      <c r="L63" s="121"/>
      <c r="M63" s="121"/>
      <c r="N63" s="121"/>
      <c r="O63" s="121"/>
      <c r="P63" s="121"/>
      <c r="Q63" s="121"/>
      <c r="R63" s="121"/>
      <c r="S63" s="121"/>
      <c r="T63" s="121"/>
      <c r="U63" s="121"/>
      <c r="V63" s="121"/>
      <c r="W63" s="121"/>
      <c r="X63" s="121"/>
      <c r="Y63" s="121"/>
      <c r="Z63" s="121"/>
    </row>
    <row r="64" spans="1:26" ht="12.75">
      <c r="A64" s="121" t="s">
        <v>2426</v>
      </c>
      <c r="B64" s="127" t="s">
        <v>2366</v>
      </c>
      <c r="C64" s="127" t="s">
        <v>2367</v>
      </c>
      <c r="D64" s="127"/>
      <c r="E64" s="127" t="s">
        <v>2368</v>
      </c>
      <c r="F64" s="127" t="s">
        <v>2369</v>
      </c>
      <c r="G64" s="127"/>
      <c r="H64" s="127" t="s">
        <v>2370</v>
      </c>
      <c r="I64" s="127" t="s">
        <v>2371</v>
      </c>
      <c r="J64" s="121"/>
      <c r="K64" s="121"/>
      <c r="L64" s="121"/>
      <c r="M64" s="121"/>
      <c r="N64" s="121"/>
      <c r="O64" s="121"/>
      <c r="P64" s="121"/>
      <c r="Q64" s="121"/>
      <c r="R64" s="121"/>
      <c r="S64" s="121"/>
      <c r="T64" s="121"/>
      <c r="U64" s="121"/>
      <c r="V64" s="121"/>
      <c r="W64" s="121"/>
      <c r="X64" s="121"/>
      <c r="Y64" s="121"/>
      <c r="Z64" s="121"/>
    </row>
    <row r="65" spans="1:26" ht="12.75">
      <c r="A65" s="121" t="s">
        <v>2427</v>
      </c>
      <c r="B65" s="127" t="s">
        <v>2428</v>
      </c>
      <c r="C65" s="127" t="s">
        <v>2429</v>
      </c>
      <c r="D65" s="127"/>
      <c r="E65" s="127">
        <v>18.8</v>
      </c>
      <c r="F65" s="127">
        <v>0.7</v>
      </c>
      <c r="G65" s="127"/>
      <c r="H65" s="127">
        <v>87</v>
      </c>
      <c r="I65" s="127">
        <v>362</v>
      </c>
      <c r="J65" s="121"/>
      <c r="K65" s="121"/>
      <c r="L65" s="121"/>
      <c r="M65" s="121"/>
      <c r="N65" s="121"/>
      <c r="O65" s="121"/>
      <c r="P65" s="121"/>
      <c r="Q65" s="121"/>
      <c r="R65" s="121"/>
      <c r="S65" s="121"/>
      <c r="T65" s="121"/>
      <c r="U65" s="121"/>
      <c r="V65" s="121"/>
      <c r="W65" s="121"/>
      <c r="X65" s="121"/>
      <c r="Y65" s="121"/>
      <c r="Z65" s="121"/>
    </row>
    <row r="66" spans="1:26" ht="12.75">
      <c r="A66" s="121" t="s">
        <v>2430</v>
      </c>
      <c r="B66" s="127">
        <v>34</v>
      </c>
      <c r="C66" s="127">
        <v>50</v>
      </c>
      <c r="D66" s="127"/>
      <c r="E66" s="127">
        <v>19.8</v>
      </c>
      <c r="F66" s="127">
        <v>4</v>
      </c>
      <c r="G66" s="127"/>
      <c r="H66" s="127">
        <v>121</v>
      </c>
      <c r="I66" s="127">
        <v>505</v>
      </c>
      <c r="J66" s="121"/>
      <c r="K66" s="121"/>
      <c r="L66" s="121"/>
      <c r="M66" s="121"/>
      <c r="N66" s="121"/>
      <c r="O66" s="121"/>
      <c r="P66" s="121"/>
      <c r="Q66" s="121"/>
      <c r="R66" s="121"/>
      <c r="S66" s="121"/>
      <c r="T66" s="121"/>
      <c r="U66" s="121"/>
      <c r="V66" s="121"/>
      <c r="W66" s="121"/>
      <c r="X66" s="121"/>
      <c r="Y66" s="121"/>
      <c r="Z66" s="121"/>
    </row>
    <row r="67" spans="1:26" ht="12.75">
      <c r="A67" s="121" t="s">
        <v>2431</v>
      </c>
      <c r="B67" s="127">
        <v>36</v>
      </c>
      <c r="C67" s="127" t="s">
        <v>2349</v>
      </c>
      <c r="D67" s="127"/>
      <c r="E67" s="127">
        <v>17.5</v>
      </c>
      <c r="F67" s="127">
        <v>4.7</v>
      </c>
      <c r="G67" s="127"/>
      <c r="H67" s="127">
        <v>117</v>
      </c>
      <c r="I67" s="127">
        <v>490</v>
      </c>
      <c r="J67" s="121"/>
      <c r="K67" s="121"/>
      <c r="L67" s="121"/>
      <c r="M67" s="121"/>
      <c r="N67" s="121"/>
      <c r="O67" s="121"/>
      <c r="P67" s="121"/>
      <c r="Q67" s="121"/>
      <c r="R67" s="121"/>
      <c r="S67" s="121"/>
      <c r="T67" s="121"/>
      <c r="U67" s="121"/>
      <c r="V67" s="121"/>
      <c r="W67" s="121"/>
      <c r="X67" s="121"/>
      <c r="Y67" s="121"/>
      <c r="Z67" s="121"/>
    </row>
    <row r="68" spans="1:26" ht="12.75">
      <c r="A68" s="121" t="s">
        <v>2432</v>
      </c>
      <c r="B68" s="127" t="s">
        <v>2332</v>
      </c>
      <c r="C68" s="127">
        <v>58</v>
      </c>
      <c r="D68" s="127"/>
      <c r="E68" s="127">
        <v>23.7</v>
      </c>
      <c r="F68" s="127">
        <v>4.5999999999999996</v>
      </c>
      <c r="G68" s="127"/>
      <c r="H68" s="127">
        <v>143</v>
      </c>
      <c r="I68" s="127">
        <v>597</v>
      </c>
      <c r="J68" s="121"/>
      <c r="K68" s="121"/>
      <c r="L68" s="121"/>
      <c r="M68" s="121"/>
      <c r="N68" s="121"/>
      <c r="O68" s="121"/>
      <c r="P68" s="121"/>
      <c r="Q68" s="121"/>
      <c r="R68" s="121"/>
      <c r="S68" s="121"/>
      <c r="T68" s="121"/>
      <c r="U68" s="121"/>
      <c r="V68" s="121"/>
      <c r="W68" s="121"/>
      <c r="X68" s="121"/>
      <c r="Y68" s="121"/>
      <c r="Z68" s="121"/>
    </row>
    <row r="69" spans="1:26" ht="12.75">
      <c r="A69" s="121" t="s">
        <v>2433</v>
      </c>
      <c r="B69" s="127" t="s">
        <v>2335</v>
      </c>
      <c r="C69" s="127">
        <v>65</v>
      </c>
      <c r="D69" s="127"/>
      <c r="E69" s="127">
        <v>20.2</v>
      </c>
      <c r="F69" s="127">
        <v>4.5</v>
      </c>
      <c r="G69" s="127"/>
      <c r="H69" s="127">
        <v>127</v>
      </c>
      <c r="I69" s="127">
        <v>531</v>
      </c>
      <c r="J69" s="121"/>
      <c r="K69" s="121"/>
      <c r="L69" s="121"/>
      <c r="M69" s="121"/>
      <c r="N69" s="121"/>
      <c r="O69" s="121"/>
      <c r="P69" s="121"/>
      <c r="Q69" s="121"/>
      <c r="R69" s="121"/>
      <c r="S69" s="121"/>
      <c r="T69" s="121"/>
      <c r="U69" s="121"/>
      <c r="V69" s="121"/>
      <c r="W69" s="121"/>
      <c r="X69" s="121"/>
      <c r="Y69" s="121"/>
      <c r="Z69" s="121"/>
    </row>
    <row r="70" spans="1:26" ht="12.75">
      <c r="A70" s="121" t="s">
        <v>2434</v>
      </c>
      <c r="B70" s="127"/>
      <c r="C70" s="127"/>
      <c r="D70" s="127">
        <v>24</v>
      </c>
      <c r="E70" s="127">
        <v>11.2</v>
      </c>
      <c r="F70" s="127">
        <v>1.8</v>
      </c>
      <c r="G70" s="127">
        <v>2.5</v>
      </c>
      <c r="H70" s="127">
        <v>74</v>
      </c>
      <c r="I70" s="127">
        <v>311</v>
      </c>
      <c r="J70" s="121"/>
      <c r="K70" s="121"/>
      <c r="L70" s="121"/>
      <c r="M70" s="121"/>
      <c r="N70" s="121"/>
      <c r="O70" s="121"/>
      <c r="P70" s="121"/>
      <c r="Q70" s="121"/>
      <c r="R70" s="121"/>
      <c r="S70" s="121"/>
      <c r="T70" s="121"/>
      <c r="U70" s="121"/>
      <c r="V70" s="121"/>
      <c r="W70" s="121"/>
      <c r="X70" s="121"/>
      <c r="Y70" s="121"/>
      <c r="Z70" s="121"/>
    </row>
    <row r="71" spans="1:26" ht="12.75">
      <c r="A71" s="121" t="s">
        <v>2435</v>
      </c>
      <c r="B71" s="127">
        <v>34</v>
      </c>
      <c r="C71" s="127">
        <v>49</v>
      </c>
      <c r="D71" s="127"/>
      <c r="E71" s="127">
        <v>13</v>
      </c>
      <c r="F71" s="127">
        <v>13.7</v>
      </c>
      <c r="G71" s="127"/>
      <c r="H71" s="127">
        <v>179</v>
      </c>
      <c r="I71" s="127">
        <v>749</v>
      </c>
      <c r="J71" s="121"/>
      <c r="K71" s="121"/>
      <c r="L71" s="121"/>
      <c r="M71" s="121"/>
      <c r="N71" s="121"/>
      <c r="O71" s="121"/>
      <c r="P71" s="121"/>
      <c r="Q71" s="121"/>
      <c r="R71" s="121"/>
      <c r="S71" s="121"/>
      <c r="T71" s="121"/>
      <c r="U71" s="121"/>
      <c r="V71" s="121"/>
      <c r="W71" s="121"/>
      <c r="X71" s="121"/>
      <c r="Y71" s="121"/>
      <c r="Z71" s="121"/>
    </row>
    <row r="72" spans="1:26" ht="12.75">
      <c r="A72" s="121" t="s">
        <v>189</v>
      </c>
      <c r="B72" s="127">
        <v>35</v>
      </c>
      <c r="C72" s="127">
        <v>48</v>
      </c>
      <c r="D72" s="127"/>
      <c r="E72" s="127">
        <v>18.600000000000001</v>
      </c>
      <c r="F72" s="127">
        <v>0.2</v>
      </c>
      <c r="G72" s="127"/>
      <c r="H72" s="127">
        <v>81</v>
      </c>
      <c r="I72" s="127">
        <v>340</v>
      </c>
      <c r="J72" s="121"/>
      <c r="K72" s="121"/>
      <c r="L72" s="121"/>
      <c r="M72" s="121"/>
      <c r="N72" s="121"/>
      <c r="O72" s="121"/>
      <c r="P72" s="121"/>
      <c r="Q72" s="121"/>
      <c r="R72" s="121"/>
      <c r="S72" s="121"/>
      <c r="T72" s="121"/>
      <c r="U72" s="121"/>
      <c r="V72" s="121"/>
      <c r="W72" s="121"/>
      <c r="X72" s="121"/>
      <c r="Y72" s="121"/>
      <c r="Z72" s="121"/>
    </row>
    <row r="73" spans="1:26" ht="12.75">
      <c r="A73" s="121" t="s">
        <v>2436</v>
      </c>
      <c r="B73" s="127">
        <v>46</v>
      </c>
      <c r="C73" s="127">
        <v>59</v>
      </c>
      <c r="D73" s="127"/>
      <c r="E73" s="127">
        <v>20.100000000000001</v>
      </c>
      <c r="F73" s="127">
        <v>3.9</v>
      </c>
      <c r="G73" s="127"/>
      <c r="H73" s="127">
        <v>121</v>
      </c>
      <c r="I73" s="127">
        <v>506</v>
      </c>
      <c r="J73" s="121"/>
      <c r="K73" s="121"/>
      <c r="L73" s="121"/>
      <c r="M73" s="121"/>
      <c r="N73" s="121"/>
      <c r="O73" s="121"/>
      <c r="P73" s="121"/>
      <c r="Q73" s="121"/>
      <c r="R73" s="121"/>
      <c r="S73" s="121"/>
      <c r="T73" s="121"/>
      <c r="U73" s="121"/>
      <c r="V73" s="121"/>
      <c r="W73" s="121"/>
      <c r="X73" s="121"/>
      <c r="Y73" s="121"/>
      <c r="Z73" s="121"/>
    </row>
    <row r="74" spans="1:26" ht="12.75">
      <c r="A74" s="121" t="s">
        <v>2437</v>
      </c>
      <c r="B74" s="127"/>
      <c r="C74" s="127"/>
      <c r="D74" s="127" t="s">
        <v>2407</v>
      </c>
      <c r="E74" s="127">
        <v>10.8</v>
      </c>
      <c r="F74" s="127">
        <v>1.1000000000000001</v>
      </c>
      <c r="G74" s="127">
        <v>3.9</v>
      </c>
      <c r="H74" s="127">
        <v>72</v>
      </c>
      <c r="I74" s="127">
        <v>302</v>
      </c>
      <c r="J74" s="121"/>
      <c r="K74" s="121"/>
      <c r="L74" s="121"/>
      <c r="M74" s="121"/>
      <c r="N74" s="121"/>
      <c r="O74" s="121"/>
      <c r="P74" s="121"/>
      <c r="Q74" s="121"/>
      <c r="R74" s="121"/>
      <c r="S74" s="121"/>
      <c r="T74" s="121"/>
      <c r="U74" s="121"/>
      <c r="V74" s="121"/>
      <c r="W74" s="121"/>
      <c r="X74" s="121"/>
      <c r="Y74" s="121"/>
      <c r="Z74" s="121"/>
    </row>
    <row r="75" spans="1:26" ht="12.75">
      <c r="A75" s="121" t="s">
        <v>2438</v>
      </c>
      <c r="B75" s="127" t="s">
        <v>2439</v>
      </c>
      <c r="C75" s="127">
        <v>57</v>
      </c>
      <c r="D75" s="127"/>
      <c r="E75" s="127">
        <v>20.399999999999999</v>
      </c>
      <c r="F75" s="127">
        <v>3.2</v>
      </c>
      <c r="G75" s="127"/>
      <c r="H75" s="127">
        <v>116</v>
      </c>
      <c r="I75" s="127">
        <v>485</v>
      </c>
      <c r="J75" s="121"/>
      <c r="K75" s="121"/>
      <c r="L75" s="121"/>
      <c r="M75" s="121"/>
      <c r="N75" s="121"/>
      <c r="O75" s="121"/>
      <c r="P75" s="121"/>
      <c r="Q75" s="121"/>
      <c r="R75" s="121"/>
      <c r="S75" s="121"/>
      <c r="T75" s="121"/>
      <c r="U75" s="121"/>
      <c r="V75" s="121"/>
      <c r="W75" s="121"/>
      <c r="X75" s="121"/>
      <c r="Y75" s="121"/>
      <c r="Z75" s="121"/>
    </row>
    <row r="76" spans="1:26" ht="12.75">
      <c r="A76" s="121" t="s">
        <v>2440</v>
      </c>
      <c r="B76" s="127" t="s">
        <v>2439</v>
      </c>
      <c r="C76" s="127">
        <v>57</v>
      </c>
      <c r="D76" s="127"/>
      <c r="E76" s="127">
        <v>20.399999999999999</v>
      </c>
      <c r="F76" s="127">
        <v>3.2</v>
      </c>
      <c r="G76" s="127"/>
      <c r="H76" s="127">
        <v>116</v>
      </c>
      <c r="I76" s="127">
        <v>485</v>
      </c>
      <c r="J76" s="121"/>
      <c r="K76" s="121"/>
      <c r="L76" s="121"/>
      <c r="M76" s="121"/>
      <c r="N76" s="121"/>
      <c r="O76" s="121"/>
      <c r="P76" s="121"/>
      <c r="Q76" s="121"/>
      <c r="R76" s="121"/>
      <c r="S76" s="121"/>
      <c r="T76" s="121"/>
      <c r="U76" s="121"/>
      <c r="V76" s="121"/>
      <c r="W76" s="121"/>
      <c r="X76" s="121"/>
      <c r="Y76" s="121"/>
      <c r="Z76" s="121"/>
    </row>
    <row r="77" spans="1:26" ht="12.75">
      <c r="A77" s="121" t="s">
        <v>2441</v>
      </c>
      <c r="B77" s="127" t="s">
        <v>2335</v>
      </c>
      <c r="C77" s="127">
        <v>65</v>
      </c>
      <c r="D77" s="127"/>
      <c r="E77" s="127">
        <v>20.2</v>
      </c>
      <c r="F77" s="127">
        <v>4.5</v>
      </c>
      <c r="G77" s="127"/>
      <c r="H77" s="127">
        <v>127</v>
      </c>
      <c r="I77" s="127">
        <v>531</v>
      </c>
      <c r="J77" s="121"/>
      <c r="K77" s="121"/>
      <c r="L77" s="121"/>
      <c r="M77" s="121"/>
      <c r="N77" s="121"/>
      <c r="O77" s="121"/>
      <c r="P77" s="121"/>
      <c r="Q77" s="121"/>
      <c r="R77" s="121"/>
      <c r="S77" s="121"/>
      <c r="T77" s="121"/>
      <c r="U77" s="121"/>
      <c r="V77" s="121"/>
      <c r="W77" s="121"/>
      <c r="X77" s="121"/>
      <c r="Y77" s="121"/>
      <c r="Z77" s="121"/>
    </row>
    <row r="78" spans="1:26" ht="12.75">
      <c r="A78" s="121" t="s">
        <v>2442</v>
      </c>
      <c r="B78" s="127" t="s">
        <v>2443</v>
      </c>
      <c r="C78" s="127" t="s">
        <v>2443</v>
      </c>
      <c r="D78" s="127"/>
      <c r="E78" s="127">
        <v>21.3</v>
      </c>
      <c r="F78" s="127">
        <v>2.5</v>
      </c>
      <c r="G78" s="127"/>
      <c r="H78" s="127">
        <v>114</v>
      </c>
      <c r="I78" s="127">
        <v>475</v>
      </c>
      <c r="J78" s="121"/>
      <c r="K78" s="121"/>
      <c r="L78" s="121"/>
      <c r="M78" s="121"/>
      <c r="N78" s="121"/>
      <c r="O78" s="121"/>
      <c r="P78" s="121"/>
      <c r="Q78" s="121"/>
      <c r="R78" s="121"/>
      <c r="S78" s="121"/>
      <c r="T78" s="121"/>
      <c r="U78" s="121"/>
      <c r="V78" s="121"/>
      <c r="W78" s="121"/>
      <c r="X78" s="121"/>
      <c r="Y78" s="121"/>
      <c r="Z78" s="121"/>
    </row>
    <row r="79" spans="1:26" ht="12.75">
      <c r="A79" s="121" t="s">
        <v>2444</v>
      </c>
      <c r="B79" s="127" t="s">
        <v>2334</v>
      </c>
      <c r="C79" s="127">
        <v>52</v>
      </c>
      <c r="D79" s="127"/>
      <c r="E79" s="127">
        <v>19.7</v>
      </c>
      <c r="F79" s="127">
        <v>5.8</v>
      </c>
      <c r="G79" s="127"/>
      <c r="H79" s="127">
        <v>136</v>
      </c>
      <c r="I79" s="127">
        <v>571</v>
      </c>
      <c r="J79" s="121"/>
      <c r="K79" s="121"/>
      <c r="L79" s="121"/>
      <c r="M79" s="121"/>
      <c r="N79" s="121"/>
      <c r="O79" s="121"/>
      <c r="P79" s="121"/>
      <c r="Q79" s="121"/>
      <c r="R79" s="121"/>
      <c r="S79" s="121"/>
      <c r="T79" s="121"/>
      <c r="U79" s="121"/>
      <c r="V79" s="121"/>
      <c r="W79" s="121"/>
      <c r="X79" s="121"/>
      <c r="Y79" s="121"/>
      <c r="Z79" s="121"/>
    </row>
    <row r="80" spans="1:26" ht="12.75">
      <c r="A80" s="121" t="s">
        <v>531</v>
      </c>
      <c r="B80" s="127" t="s">
        <v>2428</v>
      </c>
      <c r="C80" s="127">
        <v>56</v>
      </c>
      <c r="D80" s="127"/>
      <c r="E80" s="127" t="s">
        <v>2445</v>
      </c>
      <c r="F80" s="127" t="s">
        <v>2446</v>
      </c>
      <c r="G80" s="127"/>
      <c r="H80" s="127" t="s">
        <v>2325</v>
      </c>
      <c r="I80" s="127" t="s">
        <v>2447</v>
      </c>
      <c r="J80" s="121"/>
      <c r="K80" s="121"/>
      <c r="L80" s="121"/>
      <c r="M80" s="121"/>
      <c r="N80" s="121"/>
      <c r="O80" s="121"/>
      <c r="P80" s="121"/>
      <c r="Q80" s="121"/>
      <c r="R80" s="121"/>
      <c r="S80" s="121"/>
      <c r="T80" s="121"/>
      <c r="U80" s="121"/>
      <c r="V80" s="121"/>
      <c r="W80" s="121"/>
      <c r="X80" s="121"/>
      <c r="Y80" s="121"/>
      <c r="Z80" s="121"/>
    </row>
    <row r="81" spans="1:26" ht="12.75">
      <c r="A81" s="121" t="s">
        <v>2448</v>
      </c>
      <c r="B81" s="127" t="s">
        <v>2334</v>
      </c>
      <c r="C81" s="127" t="s">
        <v>2335</v>
      </c>
      <c r="D81" s="127"/>
      <c r="E81" s="127">
        <v>22</v>
      </c>
      <c r="F81" s="127" t="s">
        <v>2449</v>
      </c>
      <c r="G81" s="127"/>
      <c r="H81" s="127" t="s">
        <v>2450</v>
      </c>
      <c r="I81" s="127" t="s">
        <v>2451</v>
      </c>
      <c r="J81" s="121"/>
      <c r="K81" s="121"/>
      <c r="L81" s="121"/>
      <c r="M81" s="121"/>
      <c r="N81" s="121"/>
      <c r="O81" s="121"/>
      <c r="P81" s="121"/>
      <c r="Q81" s="121"/>
      <c r="R81" s="121"/>
      <c r="S81" s="121"/>
      <c r="T81" s="121"/>
      <c r="U81" s="121"/>
      <c r="V81" s="121"/>
      <c r="W81" s="121"/>
      <c r="X81" s="121"/>
      <c r="Y81" s="121"/>
      <c r="Z81" s="121"/>
    </row>
    <row r="82" spans="1:26" ht="12.75">
      <c r="A82" s="121" t="s">
        <v>2452</v>
      </c>
      <c r="B82" s="127" t="s">
        <v>2339</v>
      </c>
      <c r="C82" s="127">
        <v>62</v>
      </c>
      <c r="D82" s="127"/>
      <c r="E82" s="127" t="s">
        <v>2340</v>
      </c>
      <c r="F82" s="127" t="s">
        <v>2341</v>
      </c>
      <c r="G82" s="127"/>
      <c r="H82" s="127" t="s">
        <v>2342</v>
      </c>
      <c r="I82" s="127" t="s">
        <v>2343</v>
      </c>
      <c r="J82" s="121"/>
      <c r="K82" s="121"/>
      <c r="L82" s="121"/>
      <c r="M82" s="121"/>
      <c r="N82" s="121"/>
      <c r="O82" s="121"/>
      <c r="P82" s="121"/>
      <c r="Q82" s="121"/>
      <c r="R82" s="121"/>
      <c r="S82" s="121"/>
      <c r="T82" s="121"/>
      <c r="U82" s="121"/>
      <c r="V82" s="121"/>
      <c r="W82" s="121"/>
      <c r="X82" s="121"/>
      <c r="Y82" s="121"/>
      <c r="Z82" s="121"/>
    </row>
    <row r="83" spans="1:26" ht="12.75">
      <c r="A83" s="121" t="s">
        <v>2453</v>
      </c>
      <c r="B83" s="127"/>
      <c r="C83" s="127"/>
      <c r="D83" s="127" t="s">
        <v>2407</v>
      </c>
      <c r="E83" s="127">
        <v>10.8</v>
      </c>
      <c r="F83" s="127">
        <v>1.1000000000000001</v>
      </c>
      <c r="G83" s="127">
        <v>3.9</v>
      </c>
      <c r="H83" s="127">
        <v>72</v>
      </c>
      <c r="I83" s="127">
        <v>302</v>
      </c>
      <c r="J83" s="121"/>
      <c r="K83" s="121"/>
      <c r="L83" s="121"/>
      <c r="M83" s="121"/>
      <c r="N83" s="121"/>
      <c r="O83" s="121"/>
      <c r="P83" s="121"/>
      <c r="Q83" s="121"/>
      <c r="R83" s="121"/>
      <c r="S83" s="121"/>
      <c r="T83" s="121"/>
      <c r="U83" s="121"/>
      <c r="V83" s="121"/>
      <c r="W83" s="121"/>
      <c r="X83" s="121"/>
      <c r="Y83" s="121"/>
      <c r="Z83" s="121"/>
    </row>
    <row r="84" spans="1:26" ht="12.75">
      <c r="A84" s="121" t="s">
        <v>2454</v>
      </c>
      <c r="B84" s="127"/>
      <c r="C84" s="127"/>
      <c r="D84" s="127" t="s">
        <v>2407</v>
      </c>
      <c r="E84" s="127">
        <v>10.8</v>
      </c>
      <c r="F84" s="127">
        <v>1.1000000000000001</v>
      </c>
      <c r="G84" s="127">
        <v>3.9</v>
      </c>
      <c r="H84" s="127">
        <v>72</v>
      </c>
      <c r="I84" s="127">
        <v>302</v>
      </c>
      <c r="J84" s="121"/>
      <c r="K84" s="121"/>
      <c r="L84" s="121"/>
      <c r="M84" s="121"/>
      <c r="N84" s="121"/>
      <c r="O84" s="121"/>
      <c r="P84" s="121"/>
      <c r="Q84" s="121"/>
      <c r="R84" s="121"/>
      <c r="S84" s="121"/>
      <c r="T84" s="121"/>
      <c r="U84" s="121"/>
      <c r="V84" s="121"/>
      <c r="W84" s="121"/>
      <c r="X84" s="121"/>
      <c r="Y84" s="121"/>
      <c r="Z84" s="121"/>
    </row>
    <row r="85" spans="1:26" ht="12.75">
      <c r="A85" s="121" t="s">
        <v>2455</v>
      </c>
      <c r="B85" s="127"/>
      <c r="C85" s="127"/>
      <c r="D85" s="127">
        <v>67</v>
      </c>
      <c r="E85" s="127">
        <v>17.899999999999999</v>
      </c>
      <c r="F85" s="127">
        <v>1.3</v>
      </c>
      <c r="G85" s="127"/>
      <c r="H85" s="127">
        <v>88</v>
      </c>
      <c r="I85" s="127">
        <v>369</v>
      </c>
      <c r="J85" s="121"/>
      <c r="K85" s="121"/>
      <c r="L85" s="121"/>
      <c r="M85" s="121"/>
      <c r="N85" s="121"/>
      <c r="O85" s="121"/>
      <c r="P85" s="121"/>
      <c r="Q85" s="121"/>
      <c r="R85" s="121"/>
      <c r="S85" s="121"/>
      <c r="T85" s="121"/>
      <c r="U85" s="121"/>
      <c r="V85" s="121"/>
      <c r="W85" s="121"/>
      <c r="X85" s="121"/>
      <c r="Y85" s="121"/>
      <c r="Z85" s="121"/>
    </row>
    <row r="86" spans="1:26" ht="12.75">
      <c r="A86" s="121" t="s">
        <v>2456</v>
      </c>
      <c r="B86" s="127" t="s">
        <v>2334</v>
      </c>
      <c r="C86" s="127">
        <v>52</v>
      </c>
      <c r="D86" s="127"/>
      <c r="E86" s="127">
        <v>19.7</v>
      </c>
      <c r="F86" s="127">
        <v>5.8</v>
      </c>
      <c r="G86" s="127"/>
      <c r="H86" s="127">
        <v>136</v>
      </c>
      <c r="I86" s="127">
        <v>571</v>
      </c>
      <c r="J86" s="121"/>
      <c r="K86" s="121"/>
      <c r="L86" s="121"/>
      <c r="M86" s="121"/>
      <c r="N86" s="121"/>
      <c r="O86" s="121"/>
      <c r="P86" s="121"/>
      <c r="Q86" s="121"/>
      <c r="R86" s="121"/>
      <c r="S86" s="121"/>
      <c r="T86" s="121"/>
      <c r="U86" s="121"/>
      <c r="V86" s="121"/>
      <c r="W86" s="121"/>
      <c r="X86" s="121"/>
      <c r="Y86" s="121"/>
      <c r="Z86" s="121"/>
    </row>
    <row r="87" spans="1:26" ht="12.75">
      <c r="A87" s="121" t="s">
        <v>2457</v>
      </c>
      <c r="B87" s="127">
        <v>50</v>
      </c>
      <c r="C87" s="127">
        <v>53</v>
      </c>
      <c r="D87" s="127"/>
      <c r="E87" s="127">
        <v>18.899999999999999</v>
      </c>
      <c r="F87" s="127">
        <v>7.91</v>
      </c>
      <c r="G87" s="127"/>
      <c r="H87" s="127">
        <v>52</v>
      </c>
      <c r="I87" s="127">
        <v>636</v>
      </c>
      <c r="J87" s="121"/>
      <c r="K87" s="121"/>
      <c r="L87" s="121"/>
      <c r="M87" s="121"/>
      <c r="N87" s="121"/>
      <c r="O87" s="121"/>
      <c r="P87" s="121"/>
      <c r="Q87" s="121"/>
      <c r="R87" s="121"/>
      <c r="S87" s="121"/>
      <c r="T87" s="121"/>
      <c r="U87" s="121"/>
      <c r="V87" s="121"/>
      <c r="W87" s="121"/>
      <c r="X87" s="121"/>
      <c r="Y87" s="121"/>
      <c r="Z87" s="121"/>
    </row>
    <row r="88" spans="1:26" ht="12.75">
      <c r="A88" s="121" t="s">
        <v>2458</v>
      </c>
      <c r="B88" s="127" t="s">
        <v>2443</v>
      </c>
      <c r="C88" s="127" t="s">
        <v>2443</v>
      </c>
      <c r="D88" s="127"/>
      <c r="E88" s="127">
        <v>21.3</v>
      </c>
      <c r="F88" s="127">
        <v>2.5</v>
      </c>
      <c r="G88" s="127"/>
      <c r="H88" s="127">
        <v>114</v>
      </c>
      <c r="I88" s="127">
        <v>475</v>
      </c>
      <c r="J88" s="121"/>
      <c r="K88" s="121"/>
      <c r="L88" s="121"/>
      <c r="M88" s="121"/>
      <c r="N88" s="121"/>
      <c r="O88" s="121"/>
      <c r="P88" s="121"/>
      <c r="Q88" s="121"/>
      <c r="R88" s="121"/>
      <c r="S88" s="121"/>
      <c r="T88" s="121"/>
      <c r="U88" s="121"/>
      <c r="V88" s="121"/>
      <c r="W88" s="121"/>
      <c r="X88" s="121"/>
      <c r="Y88" s="121"/>
      <c r="Z88" s="121"/>
    </row>
    <row r="89" spans="1:26" ht="12.75">
      <c r="A89" s="121" t="s">
        <v>2459</v>
      </c>
      <c r="B89" s="127"/>
      <c r="C89" s="127"/>
      <c r="D89" s="127" t="s">
        <v>2382</v>
      </c>
      <c r="E89" s="127" t="s">
        <v>2383</v>
      </c>
      <c r="F89" s="127" t="s">
        <v>2384</v>
      </c>
      <c r="G89" s="127" t="s">
        <v>2385</v>
      </c>
      <c r="H89" s="127" t="s">
        <v>2386</v>
      </c>
      <c r="I89" s="127" t="s">
        <v>2387</v>
      </c>
      <c r="J89" s="121"/>
      <c r="K89" s="121"/>
      <c r="L89" s="121"/>
      <c r="M89" s="121"/>
      <c r="N89" s="121"/>
      <c r="O89" s="121"/>
      <c r="P89" s="121"/>
      <c r="Q89" s="121"/>
      <c r="R89" s="121"/>
      <c r="S89" s="121"/>
      <c r="T89" s="121"/>
      <c r="U89" s="121"/>
      <c r="V89" s="121"/>
      <c r="W89" s="121"/>
      <c r="X89" s="121"/>
      <c r="Y89" s="121"/>
      <c r="Z89" s="121"/>
    </row>
    <row r="90" spans="1:26" ht="12.75">
      <c r="A90" s="121" t="s">
        <v>2460</v>
      </c>
      <c r="B90" s="127">
        <v>57</v>
      </c>
      <c r="C90" s="127">
        <v>67</v>
      </c>
      <c r="D90" s="127"/>
      <c r="E90" s="127">
        <v>20</v>
      </c>
      <c r="F90" s="127" t="s">
        <v>2461</v>
      </c>
      <c r="G90" s="127"/>
      <c r="H90" s="127" t="s">
        <v>2462</v>
      </c>
      <c r="I90" s="127" t="s">
        <v>2463</v>
      </c>
      <c r="J90" s="121"/>
      <c r="K90" s="121"/>
      <c r="L90" s="121"/>
      <c r="M90" s="121"/>
      <c r="N90" s="121"/>
      <c r="O90" s="121"/>
      <c r="P90" s="121"/>
      <c r="Q90" s="121"/>
      <c r="R90" s="121"/>
      <c r="S90" s="121"/>
      <c r="T90" s="121"/>
      <c r="U90" s="121"/>
      <c r="V90" s="121"/>
      <c r="W90" s="121"/>
      <c r="X90" s="121"/>
      <c r="Y90" s="121"/>
      <c r="Z90" s="121"/>
    </row>
    <row r="91" spans="1:26" ht="12.75">
      <c r="A91" s="121" t="s">
        <v>2464</v>
      </c>
      <c r="B91" s="127" t="s">
        <v>2375</v>
      </c>
      <c r="C91" s="127" t="s">
        <v>2375</v>
      </c>
      <c r="D91" s="127"/>
      <c r="E91" s="127" t="s">
        <v>2465</v>
      </c>
      <c r="F91" s="127" t="s">
        <v>2466</v>
      </c>
      <c r="G91" s="127"/>
      <c r="H91" s="127" t="s">
        <v>2467</v>
      </c>
      <c r="I91" s="127" t="s">
        <v>2468</v>
      </c>
      <c r="J91" s="121"/>
      <c r="K91" s="121"/>
      <c r="L91" s="121"/>
      <c r="M91" s="121"/>
      <c r="N91" s="121"/>
      <c r="O91" s="121"/>
      <c r="P91" s="121"/>
      <c r="Q91" s="121"/>
      <c r="R91" s="121"/>
      <c r="S91" s="121"/>
      <c r="T91" s="121"/>
      <c r="U91" s="121"/>
      <c r="V91" s="121"/>
      <c r="W91" s="121"/>
      <c r="X91" s="121"/>
      <c r="Y91" s="121"/>
      <c r="Z91" s="121"/>
    </row>
    <row r="92" spans="1:26" ht="12.75">
      <c r="A92" s="121" t="s">
        <v>2469</v>
      </c>
      <c r="B92" s="127" t="s">
        <v>2332</v>
      </c>
      <c r="C92" s="127">
        <v>58</v>
      </c>
      <c r="D92" s="127"/>
      <c r="E92" s="127">
        <v>23.7</v>
      </c>
      <c r="F92" s="127">
        <v>4.5999999999999996</v>
      </c>
      <c r="G92" s="127"/>
      <c r="H92" s="127">
        <v>143</v>
      </c>
      <c r="I92" s="127">
        <v>597</v>
      </c>
      <c r="J92" s="121"/>
      <c r="K92" s="121"/>
      <c r="L92" s="121"/>
      <c r="M92" s="121"/>
      <c r="N92" s="121"/>
      <c r="O92" s="121"/>
      <c r="P92" s="121"/>
      <c r="Q92" s="121"/>
      <c r="R92" s="121"/>
      <c r="S92" s="121"/>
      <c r="T92" s="121"/>
      <c r="U92" s="121"/>
      <c r="V92" s="121"/>
      <c r="W92" s="121"/>
      <c r="X92" s="121"/>
      <c r="Y92" s="121"/>
      <c r="Z92" s="121"/>
    </row>
    <row r="93" spans="1:26" ht="12.75">
      <c r="A93" s="121" t="s">
        <v>2470</v>
      </c>
      <c r="B93" s="127">
        <v>46</v>
      </c>
      <c r="C93" s="127">
        <v>59</v>
      </c>
      <c r="D93" s="127"/>
      <c r="E93" s="127">
        <v>20.100000000000001</v>
      </c>
      <c r="F93" s="127">
        <v>3.9</v>
      </c>
      <c r="G93" s="127"/>
      <c r="H93" s="127">
        <v>121</v>
      </c>
      <c r="I93" s="127">
        <v>506</v>
      </c>
      <c r="J93" s="121"/>
      <c r="K93" s="121"/>
      <c r="L93" s="121"/>
      <c r="M93" s="121"/>
      <c r="N93" s="121"/>
      <c r="O93" s="121"/>
      <c r="P93" s="121"/>
      <c r="Q93" s="121"/>
      <c r="R93" s="121"/>
      <c r="S93" s="121"/>
      <c r="T93" s="121"/>
      <c r="U93" s="121"/>
      <c r="V93" s="121"/>
      <c r="W93" s="121"/>
      <c r="X93" s="121"/>
      <c r="Y93" s="121"/>
      <c r="Z93" s="121"/>
    </row>
    <row r="94" spans="1:26" ht="12.75">
      <c r="A94" s="121" t="s">
        <v>2471</v>
      </c>
      <c r="B94" s="127" t="s">
        <v>2334</v>
      </c>
      <c r="C94" s="127">
        <v>52</v>
      </c>
      <c r="D94" s="127"/>
      <c r="E94" s="127">
        <v>19.7</v>
      </c>
      <c r="F94" s="127">
        <v>5.8</v>
      </c>
      <c r="G94" s="127"/>
      <c r="H94" s="127">
        <v>136</v>
      </c>
      <c r="I94" s="127">
        <v>571</v>
      </c>
      <c r="J94" s="121"/>
      <c r="K94" s="121"/>
      <c r="L94" s="121"/>
      <c r="M94" s="121"/>
      <c r="N94" s="121"/>
      <c r="O94" s="121"/>
      <c r="P94" s="121"/>
      <c r="Q94" s="121"/>
      <c r="R94" s="121"/>
      <c r="S94" s="121"/>
      <c r="T94" s="121"/>
      <c r="U94" s="121"/>
      <c r="V94" s="121"/>
      <c r="W94" s="121"/>
      <c r="X94" s="121"/>
      <c r="Y94" s="121"/>
      <c r="Z94" s="121"/>
    </row>
    <row r="95" spans="1:26" ht="12.75">
      <c r="A95" s="121" t="s">
        <v>2472</v>
      </c>
      <c r="B95" s="127" t="s">
        <v>2334</v>
      </c>
      <c r="C95" s="127">
        <v>61</v>
      </c>
      <c r="D95" s="127"/>
      <c r="E95" s="127">
        <v>21.1</v>
      </c>
      <c r="F95" s="127">
        <v>4.7</v>
      </c>
      <c r="G95" s="127"/>
      <c r="H95" s="127">
        <v>132</v>
      </c>
      <c r="I95" s="127">
        <v>554</v>
      </c>
      <c r="J95" s="121"/>
      <c r="K95" s="121"/>
      <c r="L95" s="121"/>
      <c r="M95" s="121"/>
      <c r="N95" s="121"/>
      <c r="O95" s="121"/>
      <c r="P95" s="121"/>
      <c r="Q95" s="121"/>
      <c r="R95" s="121"/>
      <c r="S95" s="121"/>
      <c r="T95" s="121"/>
      <c r="U95" s="121"/>
      <c r="V95" s="121"/>
      <c r="W95" s="121"/>
      <c r="X95" s="121"/>
      <c r="Y95" s="121"/>
      <c r="Z95" s="121"/>
    </row>
    <row r="96" spans="1:26" ht="12.75">
      <c r="A96" s="121" t="s">
        <v>2473</v>
      </c>
      <c r="B96" s="127">
        <v>34</v>
      </c>
      <c r="C96" s="127">
        <v>50</v>
      </c>
      <c r="D96" s="127"/>
      <c r="E96" s="127">
        <v>19.8</v>
      </c>
      <c r="F96" s="127">
        <v>4</v>
      </c>
      <c r="G96" s="127"/>
      <c r="H96" s="127">
        <v>121</v>
      </c>
      <c r="I96" s="127">
        <v>505</v>
      </c>
      <c r="J96" s="121"/>
      <c r="K96" s="121"/>
      <c r="L96" s="121"/>
      <c r="M96" s="121"/>
      <c r="N96" s="121"/>
      <c r="O96" s="121"/>
      <c r="P96" s="121"/>
      <c r="Q96" s="121"/>
      <c r="R96" s="121"/>
      <c r="S96" s="121"/>
      <c r="T96" s="121"/>
      <c r="U96" s="121"/>
      <c r="V96" s="121"/>
      <c r="W96" s="121"/>
      <c r="X96" s="121"/>
      <c r="Y96" s="121"/>
      <c r="Z96" s="121"/>
    </row>
    <row r="97" spans="1:26" ht="12.75">
      <c r="A97" s="121" t="s">
        <v>2474</v>
      </c>
      <c r="B97" s="127"/>
      <c r="C97" s="127"/>
      <c r="D97" s="127"/>
      <c r="E97" s="127"/>
      <c r="F97" s="127"/>
      <c r="G97" s="127"/>
      <c r="H97" s="127"/>
      <c r="I97" s="127"/>
      <c r="J97" s="121"/>
      <c r="K97" s="121"/>
      <c r="L97" s="121"/>
      <c r="M97" s="121"/>
      <c r="N97" s="121"/>
      <c r="O97" s="121"/>
      <c r="P97" s="121"/>
      <c r="Q97" s="121"/>
      <c r="R97" s="121"/>
      <c r="S97" s="121"/>
      <c r="T97" s="121"/>
      <c r="U97" s="121"/>
      <c r="V97" s="121"/>
      <c r="W97" s="121"/>
      <c r="X97" s="121"/>
      <c r="Y97" s="121"/>
      <c r="Z97" s="121"/>
    </row>
    <row r="98" spans="1:26" ht="12.75">
      <c r="A98" s="121" t="s">
        <v>2475</v>
      </c>
      <c r="B98" s="127">
        <v>57</v>
      </c>
      <c r="C98" s="127">
        <v>67</v>
      </c>
      <c r="D98" s="127"/>
      <c r="E98" s="127">
        <v>20</v>
      </c>
      <c r="F98" s="127" t="s">
        <v>2461</v>
      </c>
      <c r="G98" s="127"/>
      <c r="H98" s="127" t="s">
        <v>2462</v>
      </c>
      <c r="I98" s="127" t="s">
        <v>2463</v>
      </c>
      <c r="J98" s="121"/>
      <c r="K98" s="121"/>
      <c r="L98" s="121"/>
      <c r="M98" s="121"/>
      <c r="N98" s="121"/>
      <c r="O98" s="121"/>
      <c r="P98" s="121"/>
      <c r="Q98" s="121"/>
      <c r="R98" s="121"/>
      <c r="S98" s="121"/>
      <c r="T98" s="121"/>
      <c r="U98" s="121"/>
      <c r="V98" s="121"/>
      <c r="W98" s="121"/>
      <c r="X98" s="121"/>
      <c r="Y98" s="121"/>
      <c r="Z98" s="121"/>
    </row>
    <row r="99" spans="1:26" ht="12.75">
      <c r="A99" s="121" t="s">
        <v>2476</v>
      </c>
      <c r="B99" s="127" t="s">
        <v>2376</v>
      </c>
      <c r="C99" s="127" t="s">
        <v>2477</v>
      </c>
      <c r="D99" s="127"/>
      <c r="E99" s="127" t="s">
        <v>2478</v>
      </c>
      <c r="F99" s="127" t="s">
        <v>2465</v>
      </c>
      <c r="G99" s="127"/>
      <c r="H99" s="127" t="s">
        <v>2479</v>
      </c>
      <c r="I99" s="127" t="s">
        <v>2480</v>
      </c>
      <c r="J99" s="121"/>
      <c r="K99" s="121"/>
      <c r="L99" s="121"/>
      <c r="M99" s="121"/>
      <c r="N99" s="121"/>
      <c r="O99" s="121"/>
      <c r="P99" s="121"/>
      <c r="Q99" s="121"/>
      <c r="R99" s="121"/>
      <c r="S99" s="121"/>
      <c r="T99" s="121"/>
      <c r="U99" s="121"/>
      <c r="V99" s="121"/>
      <c r="W99" s="121"/>
      <c r="X99" s="121"/>
      <c r="Y99" s="121"/>
      <c r="Z99" s="121"/>
    </row>
    <row r="100" spans="1:26" ht="12.75">
      <c r="A100" s="121" t="s">
        <v>2481</v>
      </c>
      <c r="B100" s="127" t="s">
        <v>2339</v>
      </c>
      <c r="C100" s="127">
        <v>62</v>
      </c>
      <c r="D100" s="127"/>
      <c r="E100" s="127" t="s">
        <v>2340</v>
      </c>
      <c r="F100" s="127" t="s">
        <v>2341</v>
      </c>
      <c r="G100" s="127"/>
      <c r="H100" s="127" t="s">
        <v>2342</v>
      </c>
      <c r="I100" s="127" t="s">
        <v>2343</v>
      </c>
      <c r="J100" s="121"/>
      <c r="K100" s="121"/>
      <c r="L100" s="121"/>
      <c r="M100" s="121"/>
      <c r="N100" s="121"/>
      <c r="O100" s="121"/>
      <c r="P100" s="121"/>
      <c r="Q100" s="121"/>
      <c r="R100" s="121"/>
      <c r="S100" s="121"/>
      <c r="T100" s="121"/>
      <c r="U100" s="121"/>
      <c r="V100" s="121"/>
      <c r="W100" s="121"/>
      <c r="X100" s="121"/>
      <c r="Y100" s="121"/>
      <c r="Z100" s="121"/>
    </row>
    <row r="101" spans="1:26" ht="12.75">
      <c r="A101" s="121" t="s">
        <v>2482</v>
      </c>
      <c r="B101" s="127">
        <v>41</v>
      </c>
      <c r="C101" s="127">
        <v>53</v>
      </c>
      <c r="D101" s="127"/>
      <c r="E101" s="127">
        <v>17.8</v>
      </c>
      <c r="F101" s="127">
        <v>2.5</v>
      </c>
      <c r="G101" s="127"/>
      <c r="H101" s="127">
        <v>99</v>
      </c>
      <c r="I101" s="127">
        <v>412</v>
      </c>
      <c r="J101" s="121"/>
      <c r="K101" s="121"/>
      <c r="L101" s="121"/>
      <c r="M101" s="121"/>
      <c r="N101" s="121"/>
      <c r="O101" s="121"/>
      <c r="P101" s="121"/>
      <c r="Q101" s="121"/>
      <c r="R101" s="121"/>
      <c r="S101" s="121"/>
      <c r="T101" s="121"/>
      <c r="U101" s="121"/>
      <c r="V101" s="121"/>
      <c r="W101" s="121"/>
      <c r="X101" s="121"/>
      <c r="Y101" s="121"/>
      <c r="Z101" s="121"/>
    </row>
    <row r="102" spans="1:26" ht="12.75">
      <c r="A102" s="121" t="s">
        <v>2483</v>
      </c>
      <c r="B102" s="127" t="s">
        <v>2332</v>
      </c>
      <c r="C102" s="127">
        <v>58</v>
      </c>
      <c r="D102" s="127"/>
      <c r="E102" s="127">
        <v>23.7</v>
      </c>
      <c r="F102" s="127">
        <v>4.5999999999999996</v>
      </c>
      <c r="G102" s="127"/>
      <c r="H102" s="127">
        <v>143</v>
      </c>
      <c r="I102" s="127">
        <v>597</v>
      </c>
      <c r="J102" s="121"/>
      <c r="K102" s="121"/>
      <c r="L102" s="121"/>
      <c r="M102" s="121"/>
      <c r="N102" s="121"/>
      <c r="O102" s="121"/>
      <c r="P102" s="121"/>
      <c r="Q102" s="121"/>
      <c r="R102" s="121"/>
      <c r="S102" s="121"/>
      <c r="T102" s="121"/>
      <c r="U102" s="121"/>
      <c r="V102" s="121"/>
      <c r="W102" s="121"/>
      <c r="X102" s="121"/>
      <c r="Y102" s="121"/>
      <c r="Z102" s="121"/>
    </row>
    <row r="103" spans="1:26" ht="12.75">
      <c r="A103" s="121" t="s">
        <v>2484</v>
      </c>
      <c r="B103" s="127"/>
      <c r="C103" s="127"/>
      <c r="D103" s="127">
        <v>57</v>
      </c>
      <c r="E103" s="127">
        <v>20.5</v>
      </c>
      <c r="F103" s="127">
        <v>1.3</v>
      </c>
      <c r="G103" s="127"/>
      <c r="H103" s="127">
        <v>99</v>
      </c>
      <c r="I103" s="127">
        <v>415</v>
      </c>
      <c r="J103" s="121"/>
      <c r="K103" s="121"/>
      <c r="L103" s="121"/>
      <c r="M103" s="121"/>
      <c r="N103" s="121"/>
      <c r="O103" s="121"/>
      <c r="P103" s="121"/>
      <c r="Q103" s="121"/>
      <c r="R103" s="121"/>
      <c r="S103" s="121"/>
      <c r="T103" s="121"/>
      <c r="U103" s="121"/>
      <c r="V103" s="121"/>
      <c r="W103" s="121"/>
      <c r="X103" s="121"/>
      <c r="Y103" s="121"/>
      <c r="Z103" s="121"/>
    </row>
    <row r="104" spans="1:26" ht="12.75">
      <c r="A104" s="121" t="s">
        <v>2485</v>
      </c>
      <c r="B104" s="127"/>
      <c r="C104" s="127"/>
      <c r="D104" s="127" t="s">
        <v>2429</v>
      </c>
      <c r="E104" s="127">
        <v>16.8</v>
      </c>
      <c r="F104" s="127">
        <v>1</v>
      </c>
      <c r="G104" s="127"/>
      <c r="H104" s="127">
        <v>81</v>
      </c>
      <c r="I104" s="127">
        <v>338</v>
      </c>
      <c r="J104" s="121"/>
      <c r="K104" s="121"/>
      <c r="L104" s="121"/>
      <c r="M104" s="121"/>
      <c r="N104" s="121"/>
      <c r="O104" s="121"/>
      <c r="P104" s="121"/>
      <c r="Q104" s="121"/>
      <c r="R104" s="121"/>
      <c r="S104" s="121"/>
      <c r="T104" s="121"/>
      <c r="U104" s="121"/>
      <c r="V104" s="121"/>
      <c r="W104" s="121"/>
      <c r="X104" s="121"/>
      <c r="Y104" s="121"/>
      <c r="Z104" s="121"/>
    </row>
    <row r="105" spans="1:26" ht="12.75">
      <c r="A105" s="121" t="s">
        <v>2486</v>
      </c>
      <c r="B105" s="127"/>
      <c r="C105" s="127"/>
      <c r="D105" s="127">
        <v>57</v>
      </c>
      <c r="E105" s="127">
        <v>20.5</v>
      </c>
      <c r="F105" s="127">
        <v>1.3</v>
      </c>
      <c r="G105" s="127"/>
      <c r="H105" s="127">
        <v>99</v>
      </c>
      <c r="I105" s="127">
        <v>415</v>
      </c>
      <c r="J105" s="121"/>
      <c r="K105" s="121"/>
      <c r="L105" s="121"/>
      <c r="M105" s="121"/>
      <c r="N105" s="121"/>
      <c r="O105" s="121"/>
      <c r="P105" s="121"/>
      <c r="Q105" s="121"/>
      <c r="R105" s="121"/>
      <c r="S105" s="121"/>
      <c r="T105" s="121"/>
      <c r="U105" s="121"/>
      <c r="V105" s="121"/>
      <c r="W105" s="121"/>
      <c r="X105" s="121"/>
      <c r="Y105" s="121"/>
      <c r="Z105" s="121"/>
    </row>
    <row r="106" spans="1:26" ht="12.75">
      <c r="A106" s="121" t="s">
        <v>2487</v>
      </c>
      <c r="B106" s="127"/>
      <c r="C106" s="127"/>
      <c r="D106" s="127" t="s">
        <v>2407</v>
      </c>
      <c r="E106" s="127">
        <v>10.8</v>
      </c>
      <c r="F106" s="127">
        <v>1.1000000000000001</v>
      </c>
      <c r="G106" s="127">
        <v>3.9</v>
      </c>
      <c r="H106" s="127">
        <v>72</v>
      </c>
      <c r="I106" s="127">
        <v>302</v>
      </c>
      <c r="J106" s="121"/>
      <c r="K106" s="121"/>
      <c r="L106" s="121"/>
      <c r="M106" s="121"/>
      <c r="N106" s="121"/>
      <c r="O106" s="121"/>
      <c r="P106" s="121"/>
      <c r="Q106" s="121"/>
      <c r="R106" s="121"/>
      <c r="S106" s="121"/>
      <c r="T106" s="121"/>
      <c r="U106" s="121"/>
      <c r="V106" s="121"/>
      <c r="W106" s="121"/>
      <c r="X106" s="121"/>
      <c r="Y106" s="121"/>
      <c r="Z106" s="121"/>
    </row>
    <row r="107" spans="1:26" ht="12.75">
      <c r="A107" s="121" t="s">
        <v>2488</v>
      </c>
      <c r="B107" s="127"/>
      <c r="C107" s="127"/>
      <c r="D107" s="127" t="s">
        <v>2489</v>
      </c>
      <c r="E107" s="127">
        <v>17.899999999999999</v>
      </c>
      <c r="F107" s="127">
        <v>1.3</v>
      </c>
      <c r="G107" s="127"/>
      <c r="H107" s="127">
        <v>88</v>
      </c>
      <c r="I107" s="127">
        <v>369</v>
      </c>
      <c r="J107" s="121"/>
      <c r="K107" s="121"/>
      <c r="L107" s="121"/>
      <c r="M107" s="121"/>
      <c r="N107" s="121"/>
      <c r="O107" s="121"/>
      <c r="P107" s="121"/>
      <c r="Q107" s="121"/>
      <c r="R107" s="121"/>
      <c r="S107" s="121"/>
      <c r="T107" s="121"/>
      <c r="U107" s="121"/>
      <c r="V107" s="121"/>
      <c r="W107" s="121"/>
      <c r="X107" s="121"/>
      <c r="Y107" s="121"/>
      <c r="Z107" s="121"/>
    </row>
    <row r="108" spans="1:26" ht="12.75">
      <c r="A108" s="121" t="s">
        <v>2490</v>
      </c>
      <c r="B108" s="127">
        <v>30</v>
      </c>
      <c r="C108" s="127">
        <v>41</v>
      </c>
      <c r="D108" s="127"/>
      <c r="E108" s="127">
        <v>17.3</v>
      </c>
      <c r="F108" s="127">
        <v>0.7</v>
      </c>
      <c r="G108" s="127"/>
      <c r="H108" s="127">
        <v>80</v>
      </c>
      <c r="I108" s="127">
        <v>335</v>
      </c>
      <c r="J108" s="121"/>
      <c r="K108" s="121"/>
      <c r="L108" s="121"/>
      <c r="M108" s="121"/>
      <c r="N108" s="121"/>
      <c r="O108" s="121"/>
      <c r="P108" s="121"/>
      <c r="Q108" s="121"/>
      <c r="R108" s="121"/>
      <c r="S108" s="121"/>
      <c r="T108" s="121"/>
      <c r="U108" s="121"/>
      <c r="V108" s="121"/>
      <c r="W108" s="121"/>
      <c r="X108" s="121"/>
      <c r="Y108" s="121"/>
      <c r="Z108" s="121"/>
    </row>
    <row r="109" spans="1:26" ht="12.75">
      <c r="A109" s="121" t="s">
        <v>2491</v>
      </c>
      <c r="B109" s="127"/>
      <c r="C109" s="127"/>
      <c r="D109" s="127">
        <v>10</v>
      </c>
      <c r="E109" s="127">
        <v>8.5</v>
      </c>
      <c r="F109" s="127">
        <v>1.8</v>
      </c>
      <c r="G109" s="127">
        <v>2.7</v>
      </c>
      <c r="H109" s="127">
        <v>64</v>
      </c>
      <c r="I109" s="127">
        <v>266</v>
      </c>
      <c r="J109" s="121"/>
      <c r="K109" s="121"/>
      <c r="L109" s="121"/>
      <c r="M109" s="121"/>
      <c r="N109" s="121"/>
      <c r="O109" s="121"/>
      <c r="P109" s="121"/>
      <c r="Q109" s="121"/>
      <c r="R109" s="121"/>
      <c r="S109" s="121"/>
      <c r="T109" s="121"/>
      <c r="U109" s="121"/>
      <c r="V109" s="121"/>
      <c r="W109" s="121"/>
      <c r="X109" s="121"/>
      <c r="Y109" s="121"/>
      <c r="Z109" s="121"/>
    </row>
    <row r="110" spans="1:26" ht="12.75">
      <c r="A110" s="121" t="s">
        <v>2492</v>
      </c>
      <c r="B110" s="127" t="s">
        <v>2443</v>
      </c>
      <c r="C110" s="127">
        <v>60</v>
      </c>
      <c r="D110" s="127"/>
      <c r="E110" s="127">
        <v>17.8</v>
      </c>
      <c r="F110" s="127">
        <v>11.6</v>
      </c>
      <c r="G110" s="127"/>
      <c r="H110" s="127">
        <v>181</v>
      </c>
      <c r="I110" s="127">
        <v>756</v>
      </c>
      <c r="J110" s="121"/>
      <c r="K110" s="121"/>
      <c r="L110" s="121"/>
      <c r="M110" s="121"/>
      <c r="N110" s="121"/>
      <c r="O110" s="121"/>
      <c r="P110" s="121"/>
      <c r="Q110" s="121"/>
      <c r="R110" s="121"/>
      <c r="S110" s="121"/>
      <c r="T110" s="121"/>
      <c r="U110" s="121"/>
      <c r="V110" s="121"/>
      <c r="W110" s="121"/>
      <c r="X110" s="121"/>
      <c r="Y110" s="121"/>
      <c r="Z110" s="121"/>
    </row>
    <row r="111" spans="1:26" ht="12.75">
      <c r="A111" s="121" t="s">
        <v>2493</v>
      </c>
      <c r="B111" s="127" t="s">
        <v>2443</v>
      </c>
      <c r="C111" s="127">
        <v>64</v>
      </c>
      <c r="D111" s="127"/>
      <c r="E111" s="127">
        <v>21.8</v>
      </c>
      <c r="F111" s="127">
        <v>8.6</v>
      </c>
      <c r="G111" s="127"/>
      <c r="H111" s="127">
        <v>171</v>
      </c>
      <c r="I111" s="127">
        <v>714</v>
      </c>
      <c r="J111" s="121"/>
      <c r="K111" s="121"/>
      <c r="L111" s="121"/>
      <c r="M111" s="121"/>
      <c r="N111" s="121"/>
      <c r="O111" s="121"/>
      <c r="P111" s="121"/>
      <c r="Q111" s="121"/>
      <c r="R111" s="121"/>
      <c r="S111" s="121"/>
      <c r="T111" s="121"/>
      <c r="U111" s="121"/>
      <c r="V111" s="121"/>
      <c r="W111" s="121"/>
      <c r="X111" s="121"/>
      <c r="Y111" s="121"/>
      <c r="Z111" s="121"/>
    </row>
    <row r="112" spans="1:26" ht="12.75">
      <c r="A112" s="121" t="s">
        <v>2494</v>
      </c>
      <c r="B112" s="127"/>
      <c r="C112" s="127"/>
      <c r="D112" s="127">
        <v>57</v>
      </c>
      <c r="E112" s="127">
        <v>20.5</v>
      </c>
      <c r="F112" s="127">
        <v>1.3</v>
      </c>
      <c r="G112" s="127"/>
      <c r="H112" s="127">
        <v>99</v>
      </c>
      <c r="I112" s="127">
        <v>415</v>
      </c>
      <c r="J112" s="121"/>
      <c r="K112" s="121"/>
      <c r="L112" s="121"/>
      <c r="M112" s="121"/>
      <c r="N112" s="121"/>
      <c r="O112" s="121"/>
      <c r="P112" s="121"/>
      <c r="Q112" s="121"/>
      <c r="R112" s="121"/>
      <c r="S112" s="121"/>
      <c r="T112" s="121"/>
      <c r="U112" s="121"/>
      <c r="V112" s="121"/>
      <c r="W112" s="121"/>
      <c r="X112" s="121"/>
      <c r="Y112" s="121"/>
      <c r="Z112" s="121"/>
    </row>
    <row r="113" spans="1:26" ht="12.75">
      <c r="A113" s="121" t="s">
        <v>2495</v>
      </c>
      <c r="B113" s="127" t="s">
        <v>2366</v>
      </c>
      <c r="C113" s="127">
        <v>62</v>
      </c>
      <c r="D113" s="127"/>
      <c r="E113" s="127">
        <v>20.5</v>
      </c>
      <c r="F113" s="127">
        <v>6.3</v>
      </c>
      <c r="G113" s="127"/>
      <c r="H113" s="127">
        <v>144</v>
      </c>
      <c r="I113" s="127">
        <v>604</v>
      </c>
      <c r="J113" s="121"/>
      <c r="K113" s="121"/>
      <c r="L113" s="121"/>
      <c r="M113" s="121"/>
      <c r="N113" s="121"/>
      <c r="O113" s="121"/>
      <c r="P113" s="121"/>
      <c r="Q113" s="121"/>
      <c r="R113" s="121"/>
      <c r="S113" s="121"/>
      <c r="T113" s="121"/>
      <c r="U113" s="121"/>
      <c r="V113" s="121"/>
      <c r="W113" s="121"/>
      <c r="X113" s="121"/>
      <c r="Y113" s="121"/>
      <c r="Z113" s="121"/>
    </row>
    <row r="114" spans="1:26" ht="12.75">
      <c r="A114" s="121" t="s">
        <v>2496</v>
      </c>
      <c r="B114" s="127" t="s">
        <v>2375</v>
      </c>
      <c r="C114" s="127" t="s">
        <v>2429</v>
      </c>
      <c r="D114" s="127"/>
      <c r="E114" s="127">
        <v>17.899999999999999</v>
      </c>
      <c r="F114" s="127" t="s">
        <v>2497</v>
      </c>
      <c r="G114" s="127"/>
      <c r="H114" s="127" t="s">
        <v>2498</v>
      </c>
      <c r="I114" s="127" t="s">
        <v>2499</v>
      </c>
      <c r="J114" s="121"/>
      <c r="K114" s="121"/>
      <c r="L114" s="121"/>
      <c r="M114" s="121"/>
      <c r="N114" s="121"/>
      <c r="O114" s="121"/>
      <c r="P114" s="121"/>
      <c r="Q114" s="121"/>
      <c r="R114" s="121"/>
      <c r="S114" s="121"/>
      <c r="T114" s="121"/>
      <c r="U114" s="121"/>
      <c r="V114" s="121"/>
      <c r="W114" s="121"/>
      <c r="X114" s="121"/>
      <c r="Y114" s="121"/>
      <c r="Z114" s="121"/>
    </row>
    <row r="115" spans="1:26" ht="12.75">
      <c r="A115" s="121" t="s">
        <v>2500</v>
      </c>
      <c r="B115" s="127" t="s">
        <v>2335</v>
      </c>
      <c r="C115" s="127">
        <v>65</v>
      </c>
      <c r="D115" s="127"/>
      <c r="E115" s="127">
        <v>20.2</v>
      </c>
      <c r="F115" s="127">
        <v>4.5</v>
      </c>
      <c r="G115" s="127"/>
      <c r="H115" s="127">
        <v>127</v>
      </c>
      <c r="I115" s="127">
        <v>531</v>
      </c>
      <c r="J115" s="121"/>
      <c r="K115" s="121"/>
      <c r="L115" s="121"/>
      <c r="M115" s="121"/>
      <c r="N115" s="121"/>
      <c r="O115" s="121"/>
      <c r="P115" s="121"/>
      <c r="Q115" s="121"/>
      <c r="R115" s="121"/>
      <c r="S115" s="121"/>
      <c r="T115" s="121"/>
      <c r="U115" s="121"/>
      <c r="V115" s="121"/>
      <c r="W115" s="121"/>
      <c r="X115" s="121"/>
      <c r="Y115" s="121"/>
      <c r="Z115" s="121"/>
    </row>
    <row r="116" spans="1:26" ht="12.75">
      <c r="A116" s="121" t="s">
        <v>191</v>
      </c>
      <c r="B116" s="127">
        <v>34</v>
      </c>
      <c r="C116" s="127">
        <v>47</v>
      </c>
      <c r="D116" s="127"/>
      <c r="E116" s="127">
        <v>18.3</v>
      </c>
      <c r="F116" s="127">
        <v>0.5</v>
      </c>
      <c r="G116" s="127"/>
      <c r="H116" s="127">
        <v>83</v>
      </c>
      <c r="I116" s="127">
        <v>346</v>
      </c>
      <c r="J116" s="121"/>
      <c r="K116" s="121"/>
      <c r="L116" s="121"/>
      <c r="M116" s="121"/>
      <c r="N116" s="121"/>
      <c r="O116" s="121"/>
      <c r="P116" s="121"/>
      <c r="Q116" s="121"/>
      <c r="R116" s="121"/>
      <c r="S116" s="121"/>
      <c r="T116" s="121"/>
      <c r="U116" s="121"/>
      <c r="V116" s="121"/>
      <c r="W116" s="121"/>
      <c r="X116" s="121"/>
      <c r="Y116" s="121"/>
      <c r="Z116" s="121"/>
    </row>
    <row r="117" spans="1:26" ht="12.75">
      <c r="A117" s="121" t="s">
        <v>2501</v>
      </c>
      <c r="B117" s="127" t="s">
        <v>2335</v>
      </c>
      <c r="C117" s="127">
        <v>65</v>
      </c>
      <c r="D117" s="127"/>
      <c r="E117" s="127">
        <v>20.2</v>
      </c>
      <c r="F117" s="127">
        <v>4.5</v>
      </c>
      <c r="G117" s="127"/>
      <c r="H117" s="127">
        <v>127</v>
      </c>
      <c r="I117" s="127">
        <v>531</v>
      </c>
      <c r="J117" s="121"/>
      <c r="K117" s="121"/>
      <c r="L117" s="121"/>
      <c r="M117" s="121"/>
      <c r="N117" s="121"/>
      <c r="O117" s="121"/>
      <c r="P117" s="121"/>
      <c r="Q117" s="121"/>
      <c r="R117" s="121"/>
      <c r="S117" s="121"/>
      <c r="T117" s="121"/>
      <c r="U117" s="121"/>
      <c r="V117" s="121"/>
      <c r="W117" s="121"/>
      <c r="X117" s="121"/>
      <c r="Y117" s="121"/>
      <c r="Z117" s="121"/>
    </row>
    <row r="118" spans="1:26" ht="12.75">
      <c r="A118" s="121" t="s">
        <v>2502</v>
      </c>
      <c r="B118" s="127" t="s">
        <v>2443</v>
      </c>
      <c r="C118" s="127" t="s">
        <v>2443</v>
      </c>
      <c r="D118" s="127"/>
      <c r="E118" s="127">
        <v>21.3</v>
      </c>
      <c r="F118" s="127">
        <v>2.5</v>
      </c>
      <c r="G118" s="127"/>
      <c r="H118" s="127">
        <v>114</v>
      </c>
      <c r="I118" s="127">
        <v>475</v>
      </c>
      <c r="J118" s="121"/>
      <c r="K118" s="121"/>
      <c r="L118" s="121"/>
      <c r="M118" s="121"/>
      <c r="N118" s="121"/>
      <c r="O118" s="121"/>
      <c r="P118" s="121"/>
      <c r="Q118" s="121"/>
      <c r="R118" s="121"/>
      <c r="S118" s="121"/>
      <c r="T118" s="121"/>
      <c r="U118" s="121"/>
      <c r="V118" s="121"/>
      <c r="W118" s="121"/>
      <c r="X118" s="121"/>
      <c r="Y118" s="121"/>
      <c r="Z118" s="121"/>
    </row>
    <row r="119" spans="1:26" ht="12.75">
      <c r="A119" s="121" t="s">
        <v>2503</v>
      </c>
      <c r="B119" s="127"/>
      <c r="C119" s="127"/>
      <c r="D119" s="127" t="s">
        <v>2382</v>
      </c>
      <c r="E119" s="127" t="s">
        <v>2383</v>
      </c>
      <c r="F119" s="127" t="s">
        <v>2384</v>
      </c>
      <c r="G119" s="127" t="s">
        <v>2385</v>
      </c>
      <c r="H119" s="127" t="s">
        <v>2386</v>
      </c>
      <c r="I119" s="127" t="s">
        <v>2387</v>
      </c>
      <c r="J119" s="121"/>
      <c r="K119" s="121"/>
      <c r="L119" s="121"/>
      <c r="M119" s="121"/>
      <c r="N119" s="121"/>
      <c r="O119" s="121"/>
      <c r="P119" s="121"/>
      <c r="Q119" s="121"/>
      <c r="R119" s="121"/>
      <c r="S119" s="121"/>
      <c r="T119" s="121"/>
      <c r="U119" s="121"/>
      <c r="V119" s="121"/>
      <c r="W119" s="121"/>
      <c r="X119" s="121"/>
      <c r="Y119" s="121"/>
      <c r="Z119" s="121"/>
    </row>
    <row r="120" spans="1:26" ht="12.75">
      <c r="A120" s="121" t="s">
        <v>2504</v>
      </c>
      <c r="B120" s="127">
        <v>29</v>
      </c>
      <c r="C120" s="127">
        <v>45</v>
      </c>
      <c r="D120" s="127"/>
      <c r="E120" s="127">
        <v>18.399999999999999</v>
      </c>
      <c r="F120" s="127">
        <v>2.7</v>
      </c>
      <c r="G120" s="127"/>
      <c r="H120" s="127">
        <v>103</v>
      </c>
      <c r="I120" s="127">
        <v>431</v>
      </c>
      <c r="J120" s="121"/>
      <c r="K120" s="121"/>
      <c r="L120" s="121"/>
      <c r="M120" s="121"/>
      <c r="N120" s="121"/>
      <c r="O120" s="121"/>
      <c r="P120" s="121"/>
      <c r="Q120" s="121"/>
      <c r="R120" s="121"/>
      <c r="S120" s="121"/>
      <c r="T120" s="121"/>
      <c r="U120" s="121"/>
      <c r="V120" s="121"/>
      <c r="W120" s="121"/>
      <c r="X120" s="121"/>
      <c r="Y120" s="121"/>
      <c r="Z120" s="121"/>
    </row>
    <row r="121" spans="1:26" ht="12.75">
      <c r="A121" s="121" t="s">
        <v>2505</v>
      </c>
      <c r="B121" s="127"/>
      <c r="C121" s="127"/>
      <c r="D121" s="127">
        <v>24</v>
      </c>
      <c r="E121" s="127">
        <v>11.2</v>
      </c>
      <c r="F121" s="127">
        <v>1.8</v>
      </c>
      <c r="G121" s="127">
        <v>2.5</v>
      </c>
      <c r="H121" s="127">
        <v>74</v>
      </c>
      <c r="I121" s="127">
        <v>311</v>
      </c>
      <c r="J121" s="121"/>
      <c r="K121" s="121"/>
      <c r="L121" s="121"/>
      <c r="M121" s="121"/>
      <c r="N121" s="121"/>
      <c r="O121" s="121"/>
      <c r="P121" s="121"/>
      <c r="Q121" s="121"/>
      <c r="R121" s="121"/>
      <c r="S121" s="121"/>
      <c r="T121" s="121"/>
      <c r="U121" s="121"/>
      <c r="V121" s="121"/>
      <c r="W121" s="121"/>
      <c r="X121" s="121"/>
      <c r="Y121" s="121"/>
      <c r="Z121" s="121"/>
    </row>
    <row r="122" spans="1:26" ht="12.75">
      <c r="A122" s="121" t="s">
        <v>2506</v>
      </c>
      <c r="B122" s="127"/>
      <c r="C122" s="127"/>
      <c r="D122" s="127" t="s">
        <v>2382</v>
      </c>
      <c r="E122" s="127" t="s">
        <v>2383</v>
      </c>
      <c r="F122" s="127" t="s">
        <v>2384</v>
      </c>
      <c r="G122" s="127" t="s">
        <v>2385</v>
      </c>
      <c r="H122" s="127" t="s">
        <v>2386</v>
      </c>
      <c r="I122" s="127" t="s">
        <v>2387</v>
      </c>
      <c r="J122" s="121"/>
      <c r="K122" s="121"/>
      <c r="L122" s="121"/>
      <c r="M122" s="121"/>
      <c r="N122" s="121"/>
      <c r="O122" s="121"/>
      <c r="P122" s="121"/>
      <c r="Q122" s="121"/>
      <c r="R122" s="121"/>
      <c r="S122" s="121"/>
      <c r="T122" s="121"/>
      <c r="U122" s="121"/>
      <c r="V122" s="121"/>
      <c r="W122" s="121"/>
      <c r="X122" s="121"/>
      <c r="Y122" s="121"/>
      <c r="Z122" s="121"/>
    </row>
    <row r="123" spans="1:26" ht="12.75">
      <c r="A123" s="121" t="s">
        <v>437</v>
      </c>
      <c r="B123" s="127">
        <v>57</v>
      </c>
      <c r="C123" s="127">
        <v>67</v>
      </c>
      <c r="D123" s="127"/>
      <c r="E123" s="127">
        <v>20</v>
      </c>
      <c r="F123" s="127" t="s">
        <v>2461</v>
      </c>
      <c r="G123" s="127"/>
      <c r="H123" s="127" t="s">
        <v>2462</v>
      </c>
      <c r="I123" s="127" t="s">
        <v>2463</v>
      </c>
      <c r="J123" s="121"/>
      <c r="K123" s="121"/>
      <c r="L123" s="121"/>
      <c r="M123" s="121"/>
      <c r="N123" s="121"/>
      <c r="O123" s="121"/>
      <c r="P123" s="121"/>
      <c r="Q123" s="121"/>
      <c r="R123" s="121"/>
      <c r="S123" s="121"/>
      <c r="T123" s="121"/>
      <c r="U123" s="121"/>
      <c r="V123" s="121"/>
      <c r="W123" s="121"/>
      <c r="X123" s="121"/>
      <c r="Y123" s="121"/>
      <c r="Z123" s="121"/>
    </row>
    <row r="124" spans="1:26" ht="12.75">
      <c r="A124" s="121" t="s">
        <v>2507</v>
      </c>
      <c r="B124" s="127"/>
      <c r="C124" s="127"/>
      <c r="D124" s="127" t="s">
        <v>2407</v>
      </c>
      <c r="E124" s="127">
        <v>10.8</v>
      </c>
      <c r="F124" s="127">
        <v>1.1000000000000001</v>
      </c>
      <c r="G124" s="127">
        <v>3.9</v>
      </c>
      <c r="H124" s="127">
        <v>72</v>
      </c>
      <c r="I124" s="127">
        <v>302</v>
      </c>
      <c r="J124" s="121"/>
      <c r="K124" s="121"/>
      <c r="L124" s="121"/>
      <c r="M124" s="121"/>
      <c r="N124" s="121"/>
      <c r="O124" s="121"/>
      <c r="P124" s="121"/>
      <c r="Q124" s="121"/>
      <c r="R124" s="121"/>
      <c r="S124" s="121"/>
      <c r="T124" s="121"/>
      <c r="U124" s="121"/>
      <c r="V124" s="121"/>
      <c r="W124" s="121"/>
      <c r="X124" s="121"/>
      <c r="Y124" s="121"/>
      <c r="Z124" s="121"/>
    </row>
    <row r="125" spans="1:26" ht="12.75">
      <c r="A125" s="121" t="s">
        <v>2508</v>
      </c>
      <c r="B125" s="127">
        <v>41</v>
      </c>
      <c r="C125" s="127">
        <v>53</v>
      </c>
      <c r="D125" s="127"/>
      <c r="E125" s="127">
        <v>17.8</v>
      </c>
      <c r="F125" s="127">
        <v>2.5</v>
      </c>
      <c r="G125" s="127"/>
      <c r="H125" s="127">
        <v>99</v>
      </c>
      <c r="I125" s="127">
        <v>412</v>
      </c>
      <c r="J125" s="121"/>
      <c r="K125" s="121"/>
      <c r="L125" s="121"/>
      <c r="M125" s="121"/>
      <c r="N125" s="121"/>
      <c r="O125" s="121"/>
      <c r="P125" s="121"/>
      <c r="Q125" s="121"/>
      <c r="R125" s="121"/>
      <c r="S125" s="121"/>
      <c r="T125" s="121"/>
      <c r="U125" s="121"/>
      <c r="V125" s="121"/>
      <c r="W125" s="121"/>
      <c r="X125" s="121"/>
      <c r="Y125" s="121"/>
      <c r="Z125" s="121"/>
    </row>
    <row r="126" spans="1:26" ht="12.75">
      <c r="A126" s="121" t="s">
        <v>2509</v>
      </c>
      <c r="B126" s="127">
        <v>40</v>
      </c>
      <c r="C126" s="127">
        <v>54</v>
      </c>
      <c r="D126" s="127"/>
      <c r="E126" s="127">
        <v>19.899999999999999</v>
      </c>
      <c r="F126" s="127">
        <v>2.2000000000000002</v>
      </c>
      <c r="G126" s="127"/>
      <c r="H126" s="127">
        <v>1.5</v>
      </c>
      <c r="I126" s="127">
        <v>439</v>
      </c>
      <c r="J126" s="121"/>
      <c r="K126" s="121"/>
      <c r="L126" s="121"/>
      <c r="M126" s="121"/>
      <c r="N126" s="121"/>
      <c r="O126" s="121"/>
      <c r="P126" s="121"/>
      <c r="Q126" s="121"/>
      <c r="R126" s="121"/>
      <c r="S126" s="121"/>
      <c r="T126" s="121"/>
      <c r="U126" s="121"/>
      <c r="V126" s="121"/>
      <c r="W126" s="121"/>
      <c r="X126" s="121"/>
      <c r="Y126" s="121"/>
      <c r="Z126" s="121"/>
    </row>
    <row r="127" spans="1:26" ht="12.75">
      <c r="A127" s="121" t="s">
        <v>2510</v>
      </c>
      <c r="B127" s="127" t="s">
        <v>2334</v>
      </c>
      <c r="C127" s="127">
        <v>62</v>
      </c>
      <c r="D127" s="127"/>
      <c r="E127" s="127">
        <v>24.2</v>
      </c>
      <c r="F127" s="127">
        <v>3.8</v>
      </c>
      <c r="G127" s="127"/>
      <c r="H127" s="127">
        <v>138</v>
      </c>
      <c r="I127" s="127">
        <v>576</v>
      </c>
      <c r="J127" s="121"/>
      <c r="K127" s="121"/>
      <c r="L127" s="121"/>
      <c r="M127" s="121"/>
      <c r="N127" s="121"/>
      <c r="O127" s="121"/>
      <c r="P127" s="121"/>
      <c r="Q127" s="121"/>
      <c r="R127" s="121"/>
      <c r="S127" s="121"/>
      <c r="T127" s="121"/>
      <c r="U127" s="121"/>
      <c r="V127" s="121"/>
      <c r="W127" s="121"/>
      <c r="X127" s="121"/>
      <c r="Y127" s="121"/>
      <c r="Z127" s="121"/>
    </row>
    <row r="128" spans="1:26" ht="12.75">
      <c r="A128" s="121" t="s">
        <v>2511</v>
      </c>
      <c r="B128" s="127">
        <v>46</v>
      </c>
      <c r="C128" s="127">
        <v>59</v>
      </c>
      <c r="D128" s="127"/>
      <c r="E128" s="127">
        <v>20.100000000000001</v>
      </c>
      <c r="F128" s="127">
        <v>3.9</v>
      </c>
      <c r="G128" s="127"/>
      <c r="H128" s="127">
        <v>121</v>
      </c>
      <c r="I128" s="127">
        <v>506</v>
      </c>
      <c r="J128" s="121"/>
      <c r="K128" s="121"/>
      <c r="L128" s="121"/>
      <c r="M128" s="121"/>
      <c r="N128" s="121"/>
      <c r="O128" s="121"/>
      <c r="P128" s="121"/>
      <c r="Q128" s="121"/>
      <c r="R128" s="121"/>
      <c r="S128" s="121"/>
      <c r="T128" s="121"/>
      <c r="U128" s="121"/>
      <c r="V128" s="121"/>
      <c r="W128" s="121"/>
      <c r="X128" s="121"/>
      <c r="Y128" s="121"/>
      <c r="Z128" s="121"/>
    </row>
    <row r="129" spans="1:26" ht="12.75">
      <c r="A129" s="121" t="s">
        <v>2512</v>
      </c>
      <c r="B129" s="127" t="s">
        <v>2366</v>
      </c>
      <c r="C129" s="127">
        <v>62</v>
      </c>
      <c r="D129" s="127"/>
      <c r="E129" s="127">
        <v>20.5</v>
      </c>
      <c r="F129" s="127">
        <v>6.3</v>
      </c>
      <c r="G129" s="127"/>
      <c r="H129" s="127">
        <v>144</v>
      </c>
      <c r="I129" s="127">
        <v>604</v>
      </c>
      <c r="J129" s="121"/>
      <c r="K129" s="121"/>
      <c r="L129" s="121"/>
      <c r="M129" s="121"/>
      <c r="N129" s="121"/>
      <c r="O129" s="121"/>
      <c r="P129" s="121"/>
      <c r="Q129" s="121"/>
      <c r="R129" s="121"/>
      <c r="S129" s="121"/>
      <c r="T129" s="121"/>
      <c r="U129" s="121"/>
      <c r="V129" s="121"/>
      <c r="W129" s="121"/>
      <c r="X129" s="121"/>
      <c r="Y129" s="121"/>
      <c r="Z129" s="121"/>
    </row>
    <row r="130" spans="1:26" ht="12.75">
      <c r="A130" s="121" t="s">
        <v>2513</v>
      </c>
      <c r="B130" s="127">
        <v>50</v>
      </c>
      <c r="C130" s="127">
        <v>53</v>
      </c>
      <c r="D130" s="127"/>
      <c r="E130" s="127">
        <v>18.899999999999999</v>
      </c>
      <c r="F130" s="127">
        <v>7.9</v>
      </c>
      <c r="G130" s="127"/>
      <c r="H130" s="127">
        <v>152</v>
      </c>
      <c r="I130" s="127">
        <v>636</v>
      </c>
      <c r="J130" s="121"/>
      <c r="K130" s="121"/>
      <c r="L130" s="121"/>
      <c r="M130" s="121"/>
      <c r="N130" s="121"/>
      <c r="O130" s="121"/>
      <c r="P130" s="121"/>
      <c r="Q130" s="121"/>
      <c r="R130" s="121"/>
      <c r="S130" s="121"/>
      <c r="T130" s="121"/>
      <c r="U130" s="121"/>
      <c r="V130" s="121"/>
      <c r="W130" s="121"/>
      <c r="X130" s="121"/>
      <c r="Y130" s="121"/>
      <c r="Z130" s="121"/>
    </row>
    <row r="131" spans="1:26" ht="12.75">
      <c r="A131" s="121" t="s">
        <v>2514</v>
      </c>
      <c r="B131" s="127" t="s">
        <v>2339</v>
      </c>
      <c r="C131" s="127">
        <v>62</v>
      </c>
      <c r="D131" s="127"/>
      <c r="E131" s="127" t="s">
        <v>2340</v>
      </c>
      <c r="F131" s="127" t="s">
        <v>2341</v>
      </c>
      <c r="G131" s="127"/>
      <c r="H131" s="127" t="s">
        <v>2342</v>
      </c>
      <c r="I131" s="127" t="s">
        <v>2343</v>
      </c>
      <c r="J131" s="121"/>
      <c r="K131" s="121"/>
      <c r="L131" s="121"/>
      <c r="M131" s="121"/>
      <c r="N131" s="121"/>
      <c r="O131" s="121"/>
      <c r="P131" s="121"/>
      <c r="Q131" s="121"/>
      <c r="R131" s="121"/>
      <c r="S131" s="121"/>
      <c r="T131" s="121"/>
      <c r="U131" s="121"/>
      <c r="V131" s="121"/>
      <c r="W131" s="121"/>
      <c r="X131" s="121"/>
      <c r="Y131" s="121"/>
      <c r="Z131" s="121"/>
    </row>
    <row r="132" spans="1:26" ht="12.75">
      <c r="A132" s="121" t="s">
        <v>2515</v>
      </c>
      <c r="B132" s="127">
        <v>50</v>
      </c>
      <c r="C132" s="127">
        <v>53</v>
      </c>
      <c r="D132" s="127"/>
      <c r="E132" s="127">
        <v>18.899999999999999</v>
      </c>
      <c r="F132" s="127">
        <v>7.9</v>
      </c>
      <c r="G132" s="127"/>
      <c r="H132" s="127">
        <v>152</v>
      </c>
      <c r="I132" s="127">
        <v>636</v>
      </c>
      <c r="J132" s="121"/>
      <c r="K132" s="121"/>
      <c r="L132" s="121"/>
      <c r="M132" s="121"/>
      <c r="N132" s="121"/>
      <c r="O132" s="121"/>
      <c r="P132" s="121"/>
      <c r="Q132" s="121"/>
      <c r="R132" s="121"/>
      <c r="S132" s="121"/>
      <c r="T132" s="121"/>
      <c r="U132" s="121"/>
      <c r="V132" s="121"/>
      <c r="W132" s="121"/>
      <c r="X132" s="121"/>
      <c r="Y132" s="121"/>
      <c r="Z132" s="121"/>
    </row>
    <row r="133" spans="1:26" ht="12.75">
      <c r="A133" s="121" t="s">
        <v>2516</v>
      </c>
      <c r="B133" s="127">
        <v>28</v>
      </c>
      <c r="C133" s="127">
        <v>49</v>
      </c>
      <c r="D133" s="127"/>
      <c r="E133" s="127">
        <v>18.399999999999999</v>
      </c>
      <c r="F133" s="127">
        <v>0.3</v>
      </c>
      <c r="G133" s="127"/>
      <c r="H133" s="127">
        <v>81</v>
      </c>
      <c r="I133" s="127">
        <v>340</v>
      </c>
      <c r="J133" s="121"/>
      <c r="K133" s="121"/>
      <c r="L133" s="121"/>
      <c r="M133" s="121"/>
      <c r="N133" s="121"/>
      <c r="O133" s="121"/>
      <c r="P133" s="121"/>
      <c r="Q133" s="121"/>
      <c r="R133" s="121"/>
      <c r="S133" s="121"/>
      <c r="T133" s="121"/>
      <c r="U133" s="121"/>
      <c r="V133" s="121"/>
      <c r="W133" s="121"/>
      <c r="X133" s="121"/>
      <c r="Y133" s="121"/>
      <c r="Z133" s="121"/>
    </row>
    <row r="134" spans="1:26" ht="12.75">
      <c r="A134" s="121" t="s">
        <v>2517</v>
      </c>
      <c r="B134" s="127" t="s">
        <v>2332</v>
      </c>
      <c r="C134" s="127">
        <v>58</v>
      </c>
      <c r="D134" s="127"/>
      <c r="E134" s="127">
        <v>23.7</v>
      </c>
      <c r="F134" s="127">
        <v>4.5999999999999996</v>
      </c>
      <c r="G134" s="127"/>
      <c r="H134" s="127">
        <v>143</v>
      </c>
      <c r="I134" s="127">
        <v>597</v>
      </c>
      <c r="J134" s="121"/>
      <c r="K134" s="121"/>
      <c r="L134" s="121"/>
      <c r="M134" s="121"/>
      <c r="N134" s="121"/>
      <c r="O134" s="121"/>
      <c r="P134" s="121"/>
      <c r="Q134" s="121"/>
      <c r="R134" s="121"/>
      <c r="S134" s="121"/>
      <c r="T134" s="121"/>
      <c r="U134" s="121"/>
      <c r="V134" s="121"/>
      <c r="W134" s="121"/>
      <c r="X134" s="121"/>
      <c r="Y134" s="121"/>
      <c r="Z134" s="121"/>
    </row>
    <row r="135" spans="1:26" ht="12.75">
      <c r="A135" s="121" t="s">
        <v>2518</v>
      </c>
      <c r="B135" s="127"/>
      <c r="C135" s="127"/>
      <c r="D135" s="127">
        <v>67</v>
      </c>
      <c r="E135" s="127">
        <v>17.899999999999999</v>
      </c>
      <c r="F135" s="127">
        <v>1.3</v>
      </c>
      <c r="G135" s="127"/>
      <c r="H135" s="127">
        <v>88</v>
      </c>
      <c r="I135" s="127">
        <v>369</v>
      </c>
      <c r="J135" s="121"/>
      <c r="K135" s="121"/>
      <c r="L135" s="121"/>
      <c r="M135" s="121"/>
      <c r="N135" s="121"/>
      <c r="O135" s="121"/>
      <c r="P135" s="121"/>
      <c r="Q135" s="121"/>
      <c r="R135" s="121"/>
      <c r="S135" s="121"/>
      <c r="T135" s="121"/>
      <c r="U135" s="121"/>
      <c r="V135" s="121"/>
      <c r="W135" s="121"/>
      <c r="X135" s="121"/>
      <c r="Y135" s="121"/>
      <c r="Z135" s="121"/>
    </row>
    <row r="136" spans="1:26" ht="12.75">
      <c r="A136" s="121" t="s">
        <v>2519</v>
      </c>
      <c r="B136" s="127" t="s">
        <v>2339</v>
      </c>
      <c r="C136" s="127">
        <v>62</v>
      </c>
      <c r="D136" s="127"/>
      <c r="E136" s="127" t="s">
        <v>2340</v>
      </c>
      <c r="F136" s="127" t="s">
        <v>2341</v>
      </c>
      <c r="G136" s="127"/>
      <c r="H136" s="127" t="s">
        <v>2342</v>
      </c>
      <c r="I136" s="127" t="s">
        <v>2343</v>
      </c>
      <c r="J136" s="121"/>
      <c r="K136" s="121"/>
      <c r="L136" s="121"/>
      <c r="M136" s="121"/>
      <c r="N136" s="121"/>
      <c r="O136" s="121"/>
      <c r="P136" s="121"/>
      <c r="Q136" s="121"/>
      <c r="R136" s="121"/>
      <c r="S136" s="121"/>
      <c r="T136" s="121"/>
      <c r="U136" s="121"/>
      <c r="V136" s="121"/>
      <c r="W136" s="121"/>
      <c r="X136" s="121"/>
      <c r="Y136" s="121"/>
      <c r="Z136" s="121"/>
    </row>
    <row r="137" spans="1:26" ht="12.75">
      <c r="A137" s="121" t="s">
        <v>2520</v>
      </c>
      <c r="B137" s="127"/>
      <c r="C137" s="127"/>
      <c r="D137" s="127" t="s">
        <v>2407</v>
      </c>
      <c r="E137" s="127">
        <v>10.8</v>
      </c>
      <c r="F137" s="127">
        <v>1.1000000000000001</v>
      </c>
      <c r="G137" s="127">
        <v>3.9</v>
      </c>
      <c r="H137" s="127">
        <v>72</v>
      </c>
      <c r="I137" s="127">
        <v>302</v>
      </c>
      <c r="J137" s="121"/>
      <c r="K137" s="121"/>
      <c r="L137" s="121"/>
      <c r="M137" s="121"/>
      <c r="N137" s="121"/>
      <c r="O137" s="121"/>
      <c r="P137" s="121"/>
      <c r="Q137" s="121"/>
      <c r="R137" s="121"/>
      <c r="S137" s="121"/>
      <c r="T137" s="121"/>
      <c r="U137" s="121"/>
      <c r="V137" s="121"/>
      <c r="W137" s="121"/>
      <c r="X137" s="121"/>
      <c r="Y137" s="121"/>
      <c r="Z137" s="121"/>
    </row>
    <row r="138" spans="1:26" ht="12.75">
      <c r="A138" s="121" t="s">
        <v>2521</v>
      </c>
      <c r="B138" s="127"/>
      <c r="C138" s="127"/>
      <c r="D138" s="127" t="s">
        <v>2407</v>
      </c>
      <c r="E138" s="127">
        <v>10.8</v>
      </c>
      <c r="F138" s="127">
        <v>1.1000000000000001</v>
      </c>
      <c r="G138" s="127">
        <v>3.9</v>
      </c>
      <c r="H138" s="127">
        <v>72</v>
      </c>
      <c r="I138" s="127">
        <v>302</v>
      </c>
      <c r="J138" s="121"/>
      <c r="K138" s="121"/>
      <c r="L138" s="121"/>
      <c r="M138" s="121"/>
      <c r="N138" s="121"/>
      <c r="O138" s="121"/>
      <c r="P138" s="121"/>
      <c r="Q138" s="121"/>
      <c r="R138" s="121"/>
      <c r="S138" s="121"/>
      <c r="T138" s="121"/>
      <c r="U138" s="121"/>
      <c r="V138" s="121"/>
      <c r="W138" s="121"/>
      <c r="X138" s="121"/>
      <c r="Y138" s="121"/>
      <c r="Z138" s="121"/>
    </row>
    <row r="139" spans="1:26" ht="12.75">
      <c r="A139" s="121" t="s">
        <v>2522</v>
      </c>
      <c r="B139" s="127" t="s">
        <v>2428</v>
      </c>
      <c r="C139" s="127" t="s">
        <v>2429</v>
      </c>
      <c r="D139" s="127"/>
      <c r="E139" s="127">
        <v>18.8</v>
      </c>
      <c r="F139" s="127">
        <v>0.7</v>
      </c>
      <c r="G139" s="127"/>
      <c r="H139" s="127">
        <v>873</v>
      </c>
      <c r="I139" s="127">
        <v>62</v>
      </c>
      <c r="J139" s="121"/>
      <c r="K139" s="121"/>
      <c r="L139" s="121"/>
      <c r="M139" s="121"/>
      <c r="N139" s="121"/>
      <c r="O139" s="121"/>
      <c r="P139" s="121"/>
      <c r="Q139" s="121"/>
      <c r="R139" s="121"/>
      <c r="S139" s="121"/>
      <c r="T139" s="121"/>
      <c r="U139" s="121"/>
      <c r="V139" s="121"/>
      <c r="W139" s="121"/>
      <c r="X139" s="121"/>
      <c r="Y139" s="121"/>
      <c r="Z139" s="121"/>
    </row>
    <row r="140" spans="1:26" ht="12.75">
      <c r="A140" s="121" t="s">
        <v>455</v>
      </c>
      <c r="B140" s="127" t="s">
        <v>2405</v>
      </c>
      <c r="C140" s="127">
        <v>37</v>
      </c>
      <c r="D140" s="127"/>
      <c r="E140" s="127">
        <v>17.600000000000001</v>
      </c>
      <c r="F140" s="127">
        <v>2.1</v>
      </c>
      <c r="G140" s="127"/>
      <c r="H140" s="127">
        <v>94</v>
      </c>
      <c r="I140" s="127">
        <v>394</v>
      </c>
      <c r="J140" s="121"/>
      <c r="K140" s="121"/>
      <c r="L140" s="121"/>
      <c r="M140" s="121"/>
      <c r="N140" s="121"/>
      <c r="O140" s="121"/>
      <c r="P140" s="121"/>
      <c r="Q140" s="121"/>
      <c r="R140" s="121"/>
      <c r="S140" s="121"/>
      <c r="T140" s="121"/>
      <c r="U140" s="121"/>
      <c r="V140" s="121"/>
      <c r="W140" s="121"/>
      <c r="X140" s="121"/>
      <c r="Y140" s="121"/>
      <c r="Z140" s="121"/>
    </row>
    <row r="141" spans="1:26" ht="12.75">
      <c r="A141" s="121" t="s">
        <v>1239</v>
      </c>
      <c r="B141" s="127" t="s">
        <v>2366</v>
      </c>
      <c r="C141" s="127" t="s">
        <v>2392</v>
      </c>
      <c r="D141" s="127"/>
      <c r="E141" s="127">
        <v>19.8</v>
      </c>
      <c r="F141" s="127" t="s">
        <v>2523</v>
      </c>
      <c r="G141" s="127"/>
      <c r="H141" s="127" t="s">
        <v>2524</v>
      </c>
      <c r="I141" s="127" t="s">
        <v>2525</v>
      </c>
      <c r="J141" s="121"/>
      <c r="K141" s="121"/>
      <c r="L141" s="121"/>
      <c r="M141" s="121"/>
      <c r="N141" s="121"/>
      <c r="O141" s="121"/>
      <c r="P141" s="121"/>
      <c r="Q141" s="121"/>
      <c r="R141" s="121"/>
      <c r="S141" s="121"/>
      <c r="T141" s="121"/>
      <c r="U141" s="121"/>
      <c r="V141" s="121"/>
      <c r="W141" s="121"/>
      <c r="X141" s="121"/>
      <c r="Y141" s="121"/>
      <c r="Z141" s="121"/>
    </row>
    <row r="142" spans="1:26" ht="12.75">
      <c r="A142" s="121" t="s">
        <v>2526</v>
      </c>
      <c r="B142" s="127" t="s">
        <v>2428</v>
      </c>
      <c r="C142" s="127" t="s">
        <v>2429</v>
      </c>
      <c r="D142" s="127"/>
      <c r="E142" s="127">
        <v>18.8</v>
      </c>
      <c r="F142" s="127">
        <v>0.7</v>
      </c>
      <c r="G142" s="127"/>
      <c r="H142" s="127">
        <v>87</v>
      </c>
      <c r="I142" s="127">
        <v>362</v>
      </c>
      <c r="J142" s="121"/>
      <c r="K142" s="121"/>
      <c r="L142" s="121"/>
      <c r="M142" s="121"/>
      <c r="N142" s="121"/>
      <c r="O142" s="121"/>
      <c r="P142" s="121"/>
      <c r="Q142" s="121"/>
      <c r="R142" s="121"/>
      <c r="S142" s="121"/>
      <c r="T142" s="121"/>
      <c r="U142" s="121"/>
      <c r="V142" s="121"/>
      <c r="W142" s="121"/>
      <c r="X142" s="121"/>
      <c r="Y142" s="121"/>
      <c r="Z142" s="121"/>
    </row>
    <row r="143" spans="1:26" ht="12.75">
      <c r="A143" s="121" t="s">
        <v>190</v>
      </c>
      <c r="B143" s="127">
        <v>32</v>
      </c>
      <c r="C143" s="127" t="s">
        <v>2527</v>
      </c>
      <c r="D143" s="127"/>
      <c r="E143" s="127">
        <v>18.2</v>
      </c>
      <c r="F143" s="127" t="s">
        <v>2528</v>
      </c>
      <c r="G143" s="127"/>
      <c r="H143" s="127" t="s">
        <v>2328</v>
      </c>
      <c r="I143" s="127" t="s">
        <v>2529</v>
      </c>
      <c r="J143" s="121"/>
      <c r="K143" s="121"/>
      <c r="L143" s="121"/>
      <c r="M143" s="121"/>
      <c r="N143" s="121"/>
      <c r="O143" s="121"/>
      <c r="P143" s="121"/>
      <c r="Q143" s="121"/>
      <c r="R143" s="121"/>
      <c r="S143" s="121"/>
      <c r="T143" s="121"/>
      <c r="U143" s="121"/>
      <c r="V143" s="121"/>
      <c r="W143" s="121"/>
      <c r="X143" s="121"/>
      <c r="Y143" s="121"/>
      <c r="Z143" s="121"/>
    </row>
    <row r="144" spans="1:26" ht="12.75">
      <c r="A144" s="121" t="s">
        <v>2530</v>
      </c>
      <c r="B144" s="127">
        <v>34</v>
      </c>
      <c r="C144" s="127">
        <v>49</v>
      </c>
      <c r="D144" s="127"/>
      <c r="E144" s="127">
        <v>17.600000000000001</v>
      </c>
      <c r="F144" s="127">
        <v>1.6</v>
      </c>
      <c r="G144" s="127"/>
      <c r="H144" s="127">
        <v>90</v>
      </c>
      <c r="I144" s="127">
        <v>375</v>
      </c>
      <c r="J144" s="121"/>
      <c r="K144" s="121"/>
      <c r="L144" s="121"/>
      <c r="M144" s="121"/>
      <c r="N144" s="121"/>
      <c r="O144" s="121"/>
      <c r="P144" s="121"/>
      <c r="Q144" s="121"/>
      <c r="R144" s="121"/>
      <c r="S144" s="121"/>
      <c r="T144" s="121"/>
      <c r="U144" s="121"/>
      <c r="V144" s="121"/>
      <c r="W144" s="121"/>
      <c r="X144" s="121"/>
      <c r="Y144" s="121"/>
      <c r="Z144" s="121"/>
    </row>
    <row r="145" spans="1:27" ht="12.75">
      <c r="A145" s="121" t="s">
        <v>2531</v>
      </c>
      <c r="B145" s="127" t="s">
        <v>2332</v>
      </c>
      <c r="C145" s="127">
        <v>58</v>
      </c>
      <c r="D145" s="127"/>
      <c r="E145" s="127">
        <v>23.7</v>
      </c>
      <c r="F145" s="127">
        <v>4.5999999999999996</v>
      </c>
      <c r="G145" s="127"/>
      <c r="H145" s="127">
        <v>143</v>
      </c>
      <c r="I145" s="127">
        <v>597</v>
      </c>
      <c r="J145" s="121"/>
      <c r="K145" s="121"/>
      <c r="L145" s="121"/>
      <c r="M145" s="121"/>
      <c r="N145" s="121"/>
      <c r="O145" s="121"/>
      <c r="P145" s="121"/>
      <c r="Q145" s="121"/>
      <c r="R145" s="121"/>
      <c r="S145" s="121"/>
      <c r="T145" s="121"/>
      <c r="U145" s="121"/>
      <c r="V145" s="121"/>
      <c r="W145" s="121"/>
      <c r="X145" s="121"/>
      <c r="Y145" s="121"/>
      <c r="Z145" s="121"/>
    </row>
    <row r="146" spans="1:27" ht="12.75">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spans="1:27" ht="12.75">
      <c r="A147" s="121" t="s">
        <v>2532</v>
      </c>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spans="1:27" ht="12.75">
      <c r="A148" s="121" t="s">
        <v>2533</v>
      </c>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spans="1:27" ht="12.75">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spans="1:27" ht="12.75">
      <c r="A150" s="337"/>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row>
    <row r="151" spans="1:27" ht="12.75">
      <c r="A151" s="337" t="s">
        <v>2681</v>
      </c>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row>
    <row r="152" spans="1:27" ht="12.75">
      <c r="A152" s="337"/>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row>
    <row r="153" spans="1:27" ht="27" customHeight="1">
      <c r="A153" s="426" t="s">
        <v>2666</v>
      </c>
      <c r="B153" s="426"/>
      <c r="C153" s="128" t="s">
        <v>227</v>
      </c>
      <c r="D153" s="341" t="s">
        <v>2679</v>
      </c>
      <c r="E153" s="341" t="s">
        <v>2680</v>
      </c>
      <c r="G153" s="128"/>
      <c r="H153" s="128"/>
      <c r="I153" s="128"/>
      <c r="J153" s="128"/>
      <c r="K153" s="128"/>
      <c r="L153" s="128"/>
      <c r="M153" s="128"/>
      <c r="N153" s="128"/>
      <c r="O153" s="128"/>
      <c r="P153" s="128"/>
      <c r="Q153" s="128"/>
      <c r="R153" s="128"/>
      <c r="S153" s="128"/>
      <c r="T153" s="128"/>
      <c r="U153" s="128"/>
      <c r="V153" s="128"/>
      <c r="W153" s="128"/>
      <c r="X153" s="128"/>
      <c r="Y153" s="128"/>
      <c r="Z153" s="128"/>
    </row>
    <row r="154" spans="1:27" ht="27" customHeight="1">
      <c r="A154" s="342"/>
      <c r="B154" s="342"/>
      <c r="C154" s="128"/>
      <c r="D154" s="341"/>
      <c r="E154" s="341"/>
      <c r="G154" s="128"/>
      <c r="H154" s="128"/>
      <c r="I154" s="128"/>
      <c r="J154" s="128"/>
      <c r="K154" s="128"/>
      <c r="L154" s="128"/>
      <c r="M154" s="128"/>
      <c r="N154" s="128"/>
      <c r="O154" s="128"/>
      <c r="P154" s="128"/>
      <c r="Q154" s="128"/>
      <c r="R154" s="128"/>
      <c r="S154" s="128"/>
      <c r="T154" s="128"/>
      <c r="U154" s="128"/>
      <c r="V154" s="128"/>
      <c r="W154" s="128"/>
      <c r="X154" s="128"/>
      <c r="Y154" s="128"/>
      <c r="Z154" s="128"/>
    </row>
    <row r="155" spans="1:27" ht="12.75">
      <c r="A155" s="425" t="s">
        <v>2677</v>
      </c>
      <c r="B155" s="425"/>
      <c r="C155" s="343">
        <f>AVERAGE(B158:B160,B162,B163)</f>
        <v>0.23570000000000002</v>
      </c>
      <c r="D155" s="128"/>
      <c r="E155" s="339"/>
      <c r="F155" s="339"/>
      <c r="G155" s="128"/>
      <c r="H155" s="128"/>
      <c r="I155" s="128"/>
      <c r="J155" s="128"/>
      <c r="K155" s="128"/>
      <c r="L155" s="128"/>
      <c r="M155" s="128"/>
      <c r="N155" s="128"/>
      <c r="O155" s="128"/>
      <c r="P155" s="128"/>
      <c r="Q155" s="128"/>
      <c r="R155" s="128"/>
      <c r="S155" s="128"/>
      <c r="T155" s="128"/>
      <c r="U155" s="128"/>
      <c r="V155" s="128"/>
      <c r="W155" s="128"/>
      <c r="X155" s="128"/>
      <c r="Y155" s="128"/>
      <c r="Z155" s="128"/>
    </row>
    <row r="156" spans="1:27" ht="12.75">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row>
    <row r="157" spans="1:27" ht="12.75">
      <c r="A157" s="152" t="s">
        <v>304</v>
      </c>
      <c r="B157" s="338" t="s">
        <v>2661</v>
      </c>
      <c r="D157" s="427" t="s">
        <v>97</v>
      </c>
      <c r="E157" s="427"/>
      <c r="F157" s="423" t="s">
        <v>2678</v>
      </c>
      <c r="G157" s="423"/>
      <c r="H157" s="128"/>
      <c r="I157" s="128"/>
      <c r="J157" s="128"/>
      <c r="K157" s="128"/>
      <c r="L157" s="128"/>
      <c r="M157" s="128"/>
      <c r="N157" s="128"/>
      <c r="O157" s="128"/>
      <c r="P157" s="128"/>
      <c r="Q157" s="128"/>
      <c r="R157" s="128"/>
      <c r="S157" s="128"/>
      <c r="T157" s="128"/>
      <c r="U157" s="128"/>
      <c r="V157" s="128"/>
      <c r="W157" s="128"/>
      <c r="X157" s="128"/>
      <c r="Y157" s="128"/>
      <c r="Z157" s="128"/>
      <c r="AA157" s="128"/>
    </row>
    <row r="158" spans="1:27" ht="34.15" customHeight="1">
      <c r="A158" s="160" t="s">
        <v>2663</v>
      </c>
      <c r="B158" s="121">
        <v>0.25</v>
      </c>
      <c r="D158" s="424" t="s">
        <v>2662</v>
      </c>
      <c r="E158" s="424"/>
      <c r="F158" s="424"/>
      <c r="G158" s="424"/>
      <c r="H158" s="121"/>
      <c r="I158" s="121"/>
      <c r="J158" s="121"/>
      <c r="K158" s="121"/>
      <c r="L158" s="121"/>
      <c r="M158" s="121"/>
      <c r="N158" s="121"/>
      <c r="O158" s="121"/>
      <c r="P158" s="121"/>
      <c r="Q158" s="121"/>
      <c r="R158" s="121"/>
      <c r="S158" s="121"/>
      <c r="T158" s="121"/>
      <c r="U158" s="121"/>
      <c r="V158" s="121"/>
      <c r="W158" s="121"/>
      <c r="X158" s="121"/>
      <c r="Y158" s="121"/>
      <c r="Z158" s="121"/>
      <c r="AA158" s="121"/>
    </row>
    <row r="159" spans="1:27" ht="72" customHeight="1">
      <c r="A159" s="121" t="s">
        <v>2671</v>
      </c>
      <c r="B159" s="121">
        <v>0.25</v>
      </c>
      <c r="D159" s="424" t="s">
        <v>2664</v>
      </c>
      <c r="E159" s="424"/>
      <c r="F159" s="424" t="s">
        <v>2673</v>
      </c>
      <c r="G159" s="424"/>
      <c r="I159" s="121"/>
      <c r="J159" s="121"/>
      <c r="K159" s="121"/>
      <c r="L159" s="121"/>
      <c r="M159" s="121"/>
      <c r="N159" s="121"/>
      <c r="O159" s="121"/>
      <c r="P159" s="121"/>
      <c r="Q159" s="121"/>
      <c r="R159" s="121"/>
      <c r="S159" s="121"/>
      <c r="T159" s="121"/>
      <c r="U159" s="121"/>
      <c r="V159" s="121"/>
      <c r="W159" s="121"/>
      <c r="X159" s="121"/>
      <c r="Y159" s="121"/>
      <c r="Z159" s="121"/>
      <c r="AA159" s="121"/>
    </row>
    <row r="160" spans="1:27" ht="81" customHeight="1">
      <c r="A160" s="121" t="s">
        <v>2670</v>
      </c>
      <c r="B160" s="121">
        <v>0.14000000000000001</v>
      </c>
      <c r="D160" s="424" t="s">
        <v>2665</v>
      </c>
      <c r="E160" s="424"/>
      <c r="F160" s="424"/>
      <c r="G160" s="424"/>
      <c r="H160" s="121"/>
      <c r="I160" s="121"/>
      <c r="J160" s="121"/>
      <c r="K160" s="121"/>
      <c r="L160" s="121"/>
      <c r="M160" s="121"/>
      <c r="N160" s="121"/>
      <c r="O160" s="121"/>
      <c r="P160" s="121"/>
      <c r="Q160" s="121"/>
      <c r="R160" s="121"/>
      <c r="S160" s="121"/>
      <c r="T160" s="121"/>
      <c r="U160" s="121"/>
      <c r="V160" s="121"/>
      <c r="W160" s="121"/>
      <c r="X160" s="121"/>
      <c r="Y160" s="121"/>
      <c r="Z160" s="121"/>
      <c r="AA160" s="121"/>
    </row>
    <row r="161" spans="1:27" ht="64.150000000000006" customHeight="1">
      <c r="A161" s="121" t="s">
        <v>2669</v>
      </c>
      <c r="B161" s="422" t="s">
        <v>2674</v>
      </c>
      <c r="C161" s="422"/>
      <c r="D161" s="424" t="s">
        <v>2675</v>
      </c>
      <c r="E161" s="424"/>
      <c r="F161" s="424" t="s">
        <v>2676</v>
      </c>
      <c r="G161" s="424"/>
      <c r="H161" s="121"/>
      <c r="I161" s="121"/>
      <c r="J161" s="121"/>
      <c r="K161" s="121"/>
      <c r="L161" s="121"/>
      <c r="M161" s="121"/>
      <c r="N161" s="121"/>
      <c r="O161" s="121"/>
      <c r="P161" s="121"/>
      <c r="Q161" s="121"/>
      <c r="R161" s="121"/>
      <c r="S161" s="121"/>
      <c r="T161" s="121"/>
      <c r="U161" s="121"/>
      <c r="V161" s="121"/>
      <c r="W161" s="121"/>
      <c r="X161" s="121"/>
      <c r="Y161" s="121"/>
      <c r="Z161" s="121"/>
      <c r="AA161" s="121"/>
    </row>
    <row r="162" spans="1:27" ht="60" customHeight="1">
      <c r="A162" s="121" t="s">
        <v>2667</v>
      </c>
      <c r="B162" s="121">
        <v>0.25</v>
      </c>
      <c r="D162" s="424" t="s">
        <v>2673</v>
      </c>
      <c r="E162" s="424"/>
      <c r="F162" s="340"/>
      <c r="G162" s="121"/>
      <c r="H162" s="121"/>
      <c r="I162" s="121"/>
      <c r="J162" s="121"/>
      <c r="K162" s="121"/>
      <c r="L162" s="121"/>
      <c r="M162" s="121"/>
      <c r="N162" s="121"/>
      <c r="O162" s="121"/>
      <c r="P162" s="121"/>
      <c r="Q162" s="121"/>
      <c r="R162" s="121"/>
      <c r="S162" s="121"/>
      <c r="T162" s="121"/>
      <c r="U162" s="121"/>
      <c r="V162" s="121"/>
      <c r="W162" s="121"/>
      <c r="X162" s="121"/>
      <c r="Y162" s="121"/>
      <c r="Z162" s="121"/>
      <c r="AA162" s="121"/>
    </row>
    <row r="163" spans="1:27" ht="53.45" customHeight="1">
      <c r="A163" s="121" t="s">
        <v>2668</v>
      </c>
      <c r="B163" s="121">
        <f>AVERAGE(0.327,0.25)</f>
        <v>0.28849999999999998</v>
      </c>
      <c r="D163" s="428" t="s">
        <v>2672</v>
      </c>
      <c r="E163" s="424"/>
      <c r="F163" s="424" t="s">
        <v>2673</v>
      </c>
      <c r="G163" s="424"/>
      <c r="H163" s="121"/>
      <c r="I163" s="121"/>
      <c r="J163" s="121"/>
      <c r="K163" s="121"/>
      <c r="L163" s="121"/>
      <c r="M163" s="121"/>
      <c r="N163" s="121"/>
      <c r="O163" s="121"/>
      <c r="P163" s="121"/>
      <c r="Q163" s="121"/>
      <c r="R163" s="121"/>
      <c r="S163" s="121"/>
      <c r="T163" s="121"/>
      <c r="U163" s="121"/>
      <c r="V163" s="121"/>
      <c r="W163" s="121"/>
      <c r="X163" s="121"/>
      <c r="Y163" s="121"/>
      <c r="Z163" s="121"/>
      <c r="AA163" s="121"/>
    </row>
    <row r="164" spans="1:27" ht="12.75">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spans="1:27" ht="12.75">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spans="1:27" ht="12.75">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spans="1:27" ht="12.75">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spans="1:27" ht="12.75">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spans="1:27" ht="12.75">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spans="1:27" ht="12.75">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spans="1:27" ht="12.75">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spans="1:27" ht="12.75">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spans="1:27" ht="12.75">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spans="1:27" ht="12.75">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spans="1:27" ht="12.75">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spans="1:27" ht="12.75">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spans="1:26" ht="12.75">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spans="1:26" ht="12.75">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spans="1:26" ht="12.75">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spans="1:26" ht="12.75">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spans="1:26" ht="12.75">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spans="1:26" ht="12.75">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spans="1:26" ht="12.75">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spans="1:26" ht="12.75">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spans="1:26" ht="12.75">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spans="1:26" ht="12.75">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spans="1:26" ht="12.75">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spans="1:26" ht="12.75">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spans="1:26" ht="12.75">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spans="1:26" ht="12.75">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spans="1:26" ht="12.75">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spans="1:26" ht="12.75">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spans="1:26" ht="12.75">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spans="1:26" ht="12.75">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spans="1:26" ht="12.75">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spans="1:26" ht="12.75">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spans="1:26" ht="12.75">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spans="1:26" ht="12.75">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spans="1:26" ht="12.75">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spans="1:26" ht="12.75">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spans="1:26" ht="12.75">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spans="1:26" ht="12.75">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spans="1:26" ht="12.75">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spans="1:26" ht="12.75">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spans="1:26" ht="12.75">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spans="1:26" ht="12.75">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spans="1:26" ht="12.75">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spans="1:26" ht="12.75">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spans="1:26" ht="12.75">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spans="1:26" ht="12.75">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spans="1:26" ht="12.75">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spans="1:26" ht="12.75">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spans="1:26" ht="12.75">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spans="1:26" ht="12.75">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spans="1:26" ht="12.75">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spans="1:26" ht="12.75">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spans="1:26" ht="12.75">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spans="1:26" ht="12.75">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spans="1:26" ht="12.75">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spans="1:26" ht="12.75">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spans="1:26" ht="12.75">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spans="1:26" ht="12.75">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spans="1:26" ht="12.75">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spans="1:26" ht="12.75">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spans="1:26" ht="12.75">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row>
    <row r="226" spans="1:26" ht="12.75">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row>
    <row r="227" spans="1:26" ht="12.75">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row>
    <row r="228" spans="1:26" ht="12.75">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row>
    <row r="229" spans="1:26" ht="12.75">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row>
    <row r="230" spans="1:26" ht="12.75">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row>
    <row r="231" spans="1:26" ht="12.75">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row>
    <row r="232" spans="1:26" ht="12.75">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row>
    <row r="233" spans="1:26" ht="12.75">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row>
    <row r="234" spans="1:26" ht="12.75">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row>
    <row r="235" spans="1:26" ht="12.75">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row>
    <row r="236" spans="1:26" ht="12.75">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row>
    <row r="237" spans="1:26" ht="12.75">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spans="1:26" ht="12.75">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row>
    <row r="239" spans="1:26" ht="12.75">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row>
    <row r="240" spans="1:26" ht="12.75">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row>
    <row r="241" spans="1:26" ht="12.75">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row>
    <row r="242" spans="1:26" ht="12.75">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row>
    <row r="243" spans="1:26" ht="12.75">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row>
    <row r="244" spans="1:26" ht="12.75">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row>
    <row r="245" spans="1:26" ht="12.75">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spans="1:26" ht="12.75">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spans="1:26" ht="12.75">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spans="1:26" ht="12.75">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spans="1:26" ht="12.75">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spans="1:26" ht="12.75">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spans="1:26" ht="12.75">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spans="1:26" ht="12.75">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spans="1:26" ht="12.75">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spans="1:26" ht="12.75">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spans="1:26" ht="12.75">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spans="1:26" ht="12.75">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spans="1:26" ht="12.75">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spans="1:26" ht="12.75">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spans="1:26" ht="12.75">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spans="1:26" ht="12.75">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spans="1:26" ht="12.75">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spans="1:26" ht="12.75">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spans="1:26" ht="12.75">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spans="1:26" ht="12.75">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spans="1:26" ht="12.75">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spans="1:26" ht="12.75">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spans="1:26" ht="12.75">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spans="1:26" ht="12.75">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spans="1:26" ht="12.75">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spans="1:26" ht="12.75">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spans="1:26" ht="12.75">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spans="1:26" ht="12.75">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spans="1:26" ht="12.75">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spans="1:26" ht="12.75">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spans="1:26" ht="12.75">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spans="1:26" ht="12.75">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spans="1:26" ht="12.75">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spans="1:26" ht="12.75">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spans="1:26" ht="12.75">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spans="1:26" ht="12.75">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spans="1:26" ht="12.75">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spans="1:26" ht="12.75">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spans="1:26" ht="12.75">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spans="1:26" ht="12.75">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spans="1:26" ht="12.75">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spans="1:26" ht="12.75">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spans="1:26" ht="12.75">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spans="1:26" ht="12.75">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spans="1:26" ht="12.75">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spans="1:26" ht="12.75">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spans="1:26" ht="12.75">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spans="1:26" ht="12.75">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spans="1:26" ht="12.75">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spans="1:26" ht="12.75">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spans="1:26" ht="12.75">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spans="1:26" ht="12.75">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spans="1:26" ht="12.75">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spans="1:26" ht="12.75">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spans="1:26" ht="12.75">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spans="1:26" ht="12.75">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spans="1:26" ht="12.75">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spans="1:26" ht="12.75">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spans="1:26" ht="12.75">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spans="1:26" ht="12.75">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spans="1:26" ht="12.75">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spans="1:26" ht="12.75">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spans="1:26" ht="12.75">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spans="1:26" ht="12.75">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spans="1:26" ht="12.75">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spans="1:26" ht="12.75">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spans="1:26" ht="12.75">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spans="1:26" ht="12.75">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spans="1:26" ht="12.75">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spans="1:26" ht="12.75">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spans="1:26" ht="12.75">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spans="1:26" ht="12.75">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spans="1:26" ht="12.75">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spans="1:26" ht="12.75">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spans="1:26" ht="12.75">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spans="1:26" ht="12.75">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spans="1:26" ht="12.75">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spans="1:26" ht="12.75">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spans="1:26" ht="12.75">
      <c r="A323" s="121"/>
      <c r="B323" s="121"/>
      <c r="C323" s="121"/>
      <c r="D323" s="121"/>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spans="1:26" ht="12.75">
      <c r="A324" s="121"/>
      <c r="B324" s="121"/>
      <c r="C324" s="121"/>
      <c r="D324" s="121"/>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spans="1:26" ht="12.75">
      <c r="A325" s="121"/>
      <c r="B325" s="121"/>
      <c r="C325" s="121"/>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spans="1:26" ht="12.75">
      <c r="A326" s="121"/>
      <c r="B326" s="121"/>
      <c r="C326" s="121"/>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spans="1:26" ht="12.75">
      <c r="A327" s="121"/>
      <c r="B327" s="121"/>
      <c r="C327" s="121"/>
      <c r="D327" s="121"/>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spans="1:26" ht="12.75">
      <c r="A328" s="121"/>
      <c r="B328" s="121"/>
      <c r="C328" s="121"/>
      <c r="D328" s="121"/>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spans="1:26" ht="12.75">
      <c r="A329" s="121"/>
      <c r="B329" s="121"/>
      <c r="C329" s="121"/>
      <c r="D329" s="121"/>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spans="1:26" ht="12.75">
      <c r="A330" s="121"/>
      <c r="B330" s="121"/>
      <c r="C330" s="121"/>
      <c r="D330" s="121"/>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spans="1:26" ht="12.75">
      <c r="A331" s="121"/>
      <c r="B331" s="121"/>
      <c r="C331" s="121"/>
      <c r="D331" s="121"/>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spans="1:26" ht="12.75">
      <c r="A332" s="121"/>
      <c r="B332" s="121"/>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spans="1:26" ht="12.75">
      <c r="A333" s="121"/>
      <c r="B333" s="121"/>
      <c r="C333" s="121"/>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spans="1:26" ht="12.75">
      <c r="A334" s="121"/>
      <c r="B334" s="121"/>
      <c r="C334" s="121"/>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spans="1:26" ht="12.75">
      <c r="A335" s="121"/>
      <c r="B335" s="121"/>
      <c r="C335" s="121"/>
      <c r="D335" s="121"/>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spans="1:26" ht="12.75">
      <c r="A336" s="121"/>
      <c r="B336" s="121"/>
      <c r="C336" s="121"/>
      <c r="D336" s="121"/>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spans="1:26" ht="12.75">
      <c r="A337" s="121"/>
      <c r="B337" s="121"/>
      <c r="C337" s="121"/>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spans="1:26" ht="12.75">
      <c r="A338" s="121"/>
      <c r="B338" s="121"/>
      <c r="C338" s="121"/>
      <c r="D338" s="121"/>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spans="1:26" ht="12.75">
      <c r="A339" s="121"/>
      <c r="B339" s="121"/>
      <c r="C339" s="121"/>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spans="1:26" ht="12.75">
      <c r="A340" s="121"/>
      <c r="B340" s="121"/>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spans="1:26" ht="12.75">
      <c r="A341" s="121"/>
      <c r="B341" s="121"/>
      <c r="C341" s="121"/>
      <c r="D341" s="121"/>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spans="1:26" ht="12.75">
      <c r="A342" s="121"/>
      <c r="B342" s="121"/>
      <c r="C342" s="121"/>
      <c r="D342" s="121"/>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spans="1:26" ht="12.75">
      <c r="A343" s="121"/>
      <c r="B343" s="121"/>
      <c r="C343" s="121"/>
      <c r="D343" s="121"/>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spans="1:26" ht="12.75">
      <c r="A344" s="121"/>
      <c r="B344" s="121"/>
      <c r="C344" s="121"/>
      <c r="D344" s="121"/>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spans="1:26" ht="12.75">
      <c r="A345" s="121"/>
      <c r="B345" s="121"/>
      <c r="C345" s="121"/>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spans="1:26" ht="12.75">
      <c r="A346" s="121"/>
      <c r="B346" s="121"/>
      <c r="C346" s="121"/>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spans="1:26" ht="12.75">
      <c r="A347" s="121"/>
      <c r="B347" s="121"/>
      <c r="C347" s="121"/>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spans="1:26" ht="12.75">
      <c r="A348" s="121"/>
      <c r="B348" s="121"/>
      <c r="C348" s="121"/>
      <c r="D348" s="121"/>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spans="1:26" ht="12.75">
      <c r="A349" s="121"/>
      <c r="B349" s="121"/>
      <c r="C349" s="121"/>
      <c r="D349" s="121"/>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spans="1:26" ht="12.75">
      <c r="A350" s="121"/>
      <c r="B350" s="121"/>
      <c r="C350" s="121"/>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spans="1:26" ht="12.75">
      <c r="A351" s="121"/>
      <c r="B351" s="121"/>
      <c r="C351" s="121"/>
      <c r="D351" s="121"/>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spans="1:26" ht="12.75">
      <c r="A352" s="121"/>
      <c r="B352" s="121"/>
      <c r="C352" s="121"/>
      <c r="D352" s="121"/>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spans="1:26" ht="12.75">
      <c r="A353" s="121"/>
      <c r="B353" s="121"/>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spans="1:26" ht="12.75">
      <c r="A354" s="121"/>
      <c r="B354" s="121"/>
      <c r="C354" s="121"/>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spans="1:26" ht="12.75">
      <c r="A355" s="121"/>
      <c r="B355" s="121"/>
      <c r="C355" s="121"/>
      <c r="D355" s="121"/>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spans="1:26" ht="12.75">
      <c r="A356" s="121"/>
      <c r="B356" s="121"/>
      <c r="C356" s="121"/>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spans="1:26" ht="12.75">
      <c r="A357" s="121"/>
      <c r="B357" s="121"/>
      <c r="C357" s="121"/>
      <c r="D357" s="121"/>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spans="1:26" ht="12.75">
      <c r="A358" s="121"/>
      <c r="B358" s="121"/>
      <c r="C358" s="121"/>
      <c r="D358" s="121"/>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spans="1:26" ht="12.75">
      <c r="A359" s="121"/>
      <c r="B359" s="121"/>
      <c r="C359" s="121"/>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spans="1:26" ht="12.75">
      <c r="A360" s="121"/>
      <c r="B360" s="121"/>
      <c r="C360" s="121"/>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spans="1:26" ht="12.75">
      <c r="A361" s="121"/>
      <c r="B361" s="121"/>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spans="1:26" ht="12.75">
      <c r="A362" s="121"/>
      <c r="B362" s="121"/>
      <c r="C362" s="121"/>
      <c r="D362" s="121"/>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spans="1:26" ht="12.75">
      <c r="A363" s="121"/>
      <c r="B363" s="121"/>
      <c r="C363" s="121"/>
      <c r="D363" s="121"/>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spans="1:26" ht="12.75">
      <c r="A364" s="121"/>
      <c r="B364" s="121"/>
      <c r="C364" s="121"/>
      <c r="D364" s="121"/>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spans="1:26" ht="12.75">
      <c r="A365" s="121"/>
      <c r="B365" s="121"/>
      <c r="C365" s="121"/>
      <c r="D365" s="121"/>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spans="1:26" ht="12.75">
      <c r="A366" s="121"/>
      <c r="B366" s="121"/>
      <c r="C366" s="121"/>
      <c r="D366" s="121"/>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spans="1:26" ht="12.75">
      <c r="A367" s="121"/>
      <c r="B367" s="121"/>
      <c r="C367" s="121"/>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spans="1:26" ht="12.75">
      <c r="A368" s="121"/>
      <c r="B368" s="121"/>
      <c r="C368" s="121"/>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spans="1:26" ht="12.75">
      <c r="A369" s="121"/>
      <c r="B369" s="121"/>
      <c r="C369" s="121"/>
      <c r="D369" s="121"/>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spans="1:26" ht="12.75">
      <c r="A370" s="121"/>
      <c r="B370" s="121"/>
      <c r="C370" s="121"/>
      <c r="D370" s="121"/>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spans="1:26" ht="12.75">
      <c r="A371" s="121"/>
      <c r="B371" s="121"/>
      <c r="C371" s="121"/>
      <c r="D371" s="121"/>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spans="1:26" ht="12.75">
      <c r="A372" s="121"/>
      <c r="B372" s="121"/>
      <c r="C372" s="121"/>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spans="1:26" ht="12.75">
      <c r="A373" s="121"/>
      <c r="B373" s="121"/>
      <c r="C373" s="121"/>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spans="1:26" ht="12.75">
      <c r="A374" s="121"/>
      <c r="B374" s="121"/>
      <c r="C374" s="121"/>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spans="1:26" ht="12.75">
      <c r="A375" s="121"/>
      <c r="B375" s="121"/>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spans="1:26" ht="12.75">
      <c r="A376" s="121"/>
      <c r="B376" s="121"/>
      <c r="C376" s="121"/>
      <c r="D376" s="121"/>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spans="1:26" ht="12.75">
      <c r="A377" s="121"/>
      <c r="B377" s="121"/>
      <c r="C377" s="121"/>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spans="1:26" ht="12.75">
      <c r="A378" s="121"/>
      <c r="B378" s="121"/>
      <c r="C378" s="121"/>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spans="1:26" ht="12.75">
      <c r="A379" s="121"/>
      <c r="B379" s="121"/>
      <c r="C379" s="121"/>
      <c r="D379" s="121"/>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spans="1:26" ht="12.75">
      <c r="A380" s="121"/>
      <c r="B380" s="121"/>
      <c r="C380" s="121"/>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spans="1:26" ht="12.75">
      <c r="A381" s="121"/>
      <c r="B381" s="121"/>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spans="1:26" ht="12.75">
      <c r="A382" s="121"/>
      <c r="B382" s="121"/>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spans="1:26" ht="12.75">
      <c r="A383" s="121"/>
      <c r="B383" s="121"/>
      <c r="C383" s="121"/>
      <c r="D383" s="121"/>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spans="1:26" ht="12.75">
      <c r="A384" s="121"/>
      <c r="B384" s="121"/>
      <c r="C384" s="121"/>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spans="1:26" ht="12.75">
      <c r="A385" s="121"/>
      <c r="B385" s="121"/>
      <c r="C385" s="121"/>
      <c r="D385" s="121"/>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spans="1:26" ht="12.75">
      <c r="A386" s="121"/>
      <c r="B386" s="121"/>
      <c r="C386" s="121"/>
      <c r="D386" s="121"/>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spans="1:26" ht="12.75">
      <c r="A387" s="121"/>
      <c r="B387" s="121"/>
      <c r="C387" s="121"/>
      <c r="D387" s="121"/>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spans="1:26" ht="12.75">
      <c r="A388" s="121"/>
      <c r="B388" s="121"/>
      <c r="C388" s="121"/>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spans="1:26" ht="12.75">
      <c r="A389" s="121"/>
      <c r="B389" s="121"/>
      <c r="C389" s="121"/>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spans="1:26" ht="12.75">
      <c r="A390" s="121"/>
      <c r="B390" s="121"/>
      <c r="C390" s="121"/>
      <c r="D390" s="121"/>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spans="1:26" ht="12.75">
      <c r="A391" s="121"/>
      <c r="B391" s="121"/>
      <c r="C391" s="121"/>
      <c r="D391" s="121"/>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spans="1:26" ht="12.75">
      <c r="A392" s="121"/>
      <c r="B392" s="121"/>
      <c r="C392" s="121"/>
      <c r="D392" s="121"/>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spans="1:26" ht="12.75">
      <c r="A393" s="121"/>
      <c r="B393" s="121"/>
      <c r="C393" s="121"/>
      <c r="D393" s="121"/>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spans="1:26" ht="12.75">
      <c r="A394" s="121"/>
      <c r="B394" s="121"/>
      <c r="C394" s="121"/>
      <c r="D394" s="121"/>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spans="1:26" ht="12.75">
      <c r="A395" s="121"/>
      <c r="B395" s="121"/>
      <c r="C395" s="121"/>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spans="1:26" ht="12.75">
      <c r="A396" s="121"/>
      <c r="B396" s="121"/>
      <c r="C396" s="121"/>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spans="1:26" ht="12.75">
      <c r="A397" s="121"/>
      <c r="B397" s="121"/>
      <c r="C397" s="121"/>
      <c r="D397" s="121"/>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spans="1:26" ht="12.75">
      <c r="A398" s="121"/>
      <c r="B398" s="121"/>
      <c r="C398" s="121"/>
      <c r="D398" s="121"/>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spans="1:26" ht="12.75">
      <c r="A399" s="121"/>
      <c r="B399" s="121"/>
      <c r="C399" s="121"/>
      <c r="D399" s="121"/>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spans="1:26" ht="12.75">
      <c r="A400" s="121"/>
      <c r="B400" s="121"/>
      <c r="C400" s="121"/>
      <c r="D400" s="121"/>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spans="1:26" ht="12.75">
      <c r="A401" s="121"/>
      <c r="B401" s="121"/>
      <c r="C401" s="121"/>
      <c r="D401" s="121"/>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spans="1:26" ht="12.75">
      <c r="A402" s="121"/>
      <c r="B402" s="121"/>
      <c r="C402" s="121"/>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spans="1:26" ht="12.75">
      <c r="A403" s="121"/>
      <c r="B403" s="121"/>
      <c r="C403" s="121"/>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spans="1:26" ht="12.75">
      <c r="A404" s="121"/>
      <c r="B404" s="121"/>
      <c r="C404" s="121"/>
      <c r="D404" s="121"/>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spans="1:26" ht="12.75">
      <c r="A405" s="121"/>
      <c r="B405" s="121"/>
      <c r="C405" s="121"/>
      <c r="D405" s="121"/>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spans="1:26" ht="12.75">
      <c r="A406" s="121"/>
      <c r="B406" s="121"/>
      <c r="C406" s="121"/>
      <c r="D406" s="121"/>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spans="1:26" ht="12.75">
      <c r="A407" s="121"/>
      <c r="B407" s="121"/>
      <c r="C407" s="121"/>
      <c r="D407" s="121"/>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spans="1:26" ht="12.75">
      <c r="A408" s="121"/>
      <c r="B408" s="121"/>
      <c r="C408" s="121"/>
      <c r="D408" s="121"/>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spans="1:26" ht="12.75">
      <c r="A409" s="121"/>
      <c r="B409" s="121"/>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spans="1:26" ht="12.75">
      <c r="A410" s="121"/>
      <c r="B410" s="121"/>
      <c r="C410" s="121"/>
      <c r="D410" s="121"/>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spans="1:26" ht="12.75">
      <c r="A411" s="121"/>
      <c r="B411" s="121"/>
      <c r="C411" s="121"/>
      <c r="D411" s="121"/>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spans="1:26" ht="12.75">
      <c r="A412" s="121"/>
      <c r="B412" s="121"/>
      <c r="C412" s="121"/>
      <c r="D412" s="121"/>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spans="1:26" ht="12.75">
      <c r="A413" s="121"/>
      <c r="B413" s="121"/>
      <c r="C413" s="121"/>
      <c r="D413" s="121"/>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spans="1:26" ht="12.75">
      <c r="A414" s="121"/>
      <c r="B414" s="121"/>
      <c r="C414" s="121"/>
      <c r="D414" s="121"/>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spans="1:26" ht="12.75">
      <c r="A415" s="121"/>
      <c r="B415" s="121"/>
      <c r="C415" s="121"/>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spans="1:26" ht="12.75">
      <c r="A416" s="121"/>
      <c r="B416" s="121"/>
      <c r="C416" s="121"/>
      <c r="D416" s="121"/>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spans="1:26" ht="12.75">
      <c r="A417" s="121"/>
      <c r="B417" s="121"/>
      <c r="C417" s="121"/>
      <c r="D417" s="121"/>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spans="1:26" ht="12.75">
      <c r="A418" s="121"/>
      <c r="B418" s="121"/>
      <c r="C418" s="121"/>
      <c r="D418" s="121"/>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spans="1:26" ht="12.75">
      <c r="A419" s="121"/>
      <c r="B419" s="121"/>
      <c r="C419" s="121"/>
      <c r="D419" s="121"/>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spans="1:26" ht="12.75">
      <c r="A420" s="121"/>
      <c r="B420" s="121"/>
      <c r="C420" s="121"/>
      <c r="D420" s="121"/>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spans="1:26" ht="12.75">
      <c r="A421" s="121"/>
      <c r="B421" s="121"/>
      <c r="C421" s="121"/>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spans="1:26" ht="12.75">
      <c r="A422" s="121"/>
      <c r="B422" s="121"/>
      <c r="C422" s="121"/>
      <c r="D422" s="121"/>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spans="1:26" ht="12.75">
      <c r="A423" s="121"/>
      <c r="B423" s="121"/>
      <c r="C423" s="121"/>
      <c r="D423" s="121"/>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spans="1:26" ht="12.75">
      <c r="A424" s="121"/>
      <c r="B424" s="121"/>
      <c r="C424" s="121"/>
      <c r="D424" s="121"/>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spans="1:26" ht="12.75">
      <c r="A425" s="121"/>
      <c r="B425" s="121"/>
      <c r="C425" s="121"/>
      <c r="D425" s="121"/>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spans="1:26" ht="12.75">
      <c r="A426" s="121"/>
      <c r="B426" s="121"/>
      <c r="C426" s="121"/>
      <c r="D426" s="121"/>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spans="1:26" ht="12.75">
      <c r="A427" s="121"/>
      <c r="B427" s="121"/>
      <c r="C427" s="121"/>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spans="1:26" ht="12.75">
      <c r="A428" s="121"/>
      <c r="B428" s="121"/>
      <c r="C428" s="121"/>
      <c r="D428" s="121"/>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spans="1:26" ht="12.75">
      <c r="A429" s="121"/>
      <c r="B429" s="121"/>
      <c r="C429" s="121"/>
      <c r="D429" s="121"/>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spans="1:26" ht="12.75">
      <c r="A430" s="121"/>
      <c r="B430" s="121"/>
      <c r="C430" s="121"/>
      <c r="D430" s="121"/>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spans="1:26" ht="12.75">
      <c r="A431" s="121"/>
      <c r="B431" s="121"/>
      <c r="C431" s="121"/>
      <c r="D431" s="121"/>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spans="1:26" ht="12.75">
      <c r="A432" s="121"/>
      <c r="B432" s="121"/>
      <c r="C432" s="121"/>
      <c r="D432" s="121"/>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spans="1:26" ht="12.75">
      <c r="A433" s="121"/>
      <c r="B433" s="121"/>
      <c r="C433" s="121"/>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spans="1:26" ht="12.75">
      <c r="A434" s="121"/>
      <c r="B434" s="121"/>
      <c r="C434" s="121"/>
      <c r="D434" s="121"/>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spans="1:26" ht="12.75">
      <c r="A435" s="121"/>
      <c r="B435" s="121"/>
      <c r="C435" s="121"/>
      <c r="D435" s="121"/>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spans="1:26" ht="12.75">
      <c r="A436" s="121"/>
      <c r="B436" s="121"/>
      <c r="C436" s="121"/>
      <c r="D436" s="121"/>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spans="1:26" ht="12.75">
      <c r="A437" s="121"/>
      <c r="B437" s="121"/>
      <c r="C437" s="121"/>
      <c r="D437" s="121"/>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spans="1:26" ht="12.75">
      <c r="A438" s="121"/>
      <c r="B438" s="121"/>
      <c r="C438" s="121"/>
      <c r="D438" s="121"/>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spans="1:26" ht="12.75">
      <c r="A439" s="121"/>
      <c r="B439" s="121"/>
      <c r="C439" s="121"/>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spans="1:26" ht="12.75">
      <c r="A440" s="121"/>
      <c r="B440" s="121"/>
      <c r="C440" s="121"/>
      <c r="D440" s="121"/>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spans="1:26" ht="12.75">
      <c r="A441" s="121"/>
      <c r="B441" s="121"/>
      <c r="C441" s="121"/>
      <c r="D441" s="121"/>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spans="1:26" ht="12.75">
      <c r="A442" s="121"/>
      <c r="B442" s="121"/>
      <c r="C442" s="121"/>
      <c r="D442" s="121"/>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spans="1:26" ht="12.75">
      <c r="A443" s="121"/>
      <c r="B443" s="121"/>
      <c r="C443" s="121"/>
      <c r="D443" s="121"/>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spans="1:26" ht="12.75">
      <c r="A444" s="121"/>
      <c r="B444" s="121"/>
      <c r="C444" s="121"/>
      <c r="D444" s="121"/>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spans="1:26" ht="12.75">
      <c r="A445" s="121"/>
      <c r="B445" s="121"/>
      <c r="C445" s="121"/>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spans="1:26" ht="12.75">
      <c r="A446" s="121"/>
      <c r="B446" s="121"/>
      <c r="C446" s="121"/>
      <c r="D446" s="121"/>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spans="1:26" ht="12.75">
      <c r="A447" s="121"/>
      <c r="B447" s="121"/>
      <c r="C447" s="121"/>
      <c r="D447" s="121"/>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spans="1:26" ht="12.75">
      <c r="A448" s="121"/>
      <c r="B448" s="121"/>
      <c r="C448" s="121"/>
      <c r="D448" s="121"/>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spans="1:26" ht="12.75">
      <c r="A449" s="121"/>
      <c r="B449" s="121"/>
      <c r="C449" s="121"/>
      <c r="D449" s="121"/>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spans="1:26" ht="12.75">
      <c r="A450" s="121"/>
      <c r="B450" s="121"/>
      <c r="C450" s="121"/>
      <c r="D450" s="121"/>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spans="1:26" ht="12.75">
      <c r="A451" s="121"/>
      <c r="B451" s="121"/>
      <c r="C451" s="121"/>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spans="1:26" ht="12.75">
      <c r="A452" s="121"/>
      <c r="B452" s="121"/>
      <c r="C452" s="121"/>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spans="1:26" ht="12.75">
      <c r="A453" s="121"/>
      <c r="B453" s="121"/>
      <c r="C453" s="121"/>
      <c r="D453" s="121"/>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spans="1:26" ht="12.75">
      <c r="A454" s="121"/>
      <c r="B454" s="121"/>
      <c r="C454" s="121"/>
      <c r="D454" s="121"/>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spans="1:26" ht="12.75">
      <c r="A455" s="121"/>
      <c r="B455" s="121"/>
      <c r="C455" s="121"/>
      <c r="D455" s="121"/>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spans="1:26" ht="12.75">
      <c r="A456" s="121"/>
      <c r="B456" s="121"/>
      <c r="C456" s="121"/>
      <c r="D456" s="121"/>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spans="1:26" ht="12.75">
      <c r="A457" s="121"/>
      <c r="B457" s="121"/>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spans="1:26" ht="12.75">
      <c r="A458" s="121"/>
      <c r="B458" s="121"/>
      <c r="C458" s="121"/>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spans="1:26" ht="12.75">
      <c r="A459" s="121"/>
      <c r="B459" s="121"/>
      <c r="C459" s="121"/>
      <c r="D459" s="121"/>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spans="1:26" ht="12.75">
      <c r="A460" s="121"/>
      <c r="B460" s="121"/>
      <c r="C460" s="121"/>
      <c r="D460" s="121"/>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spans="1:26" ht="12.75">
      <c r="A461" s="121"/>
      <c r="B461" s="121"/>
      <c r="C461" s="121"/>
      <c r="D461" s="121"/>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spans="1:26" ht="12.75">
      <c r="A462" s="121"/>
      <c r="B462" s="121"/>
      <c r="C462" s="121"/>
      <c r="D462" s="121"/>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spans="1:26" ht="12.75">
      <c r="A463" s="121"/>
      <c r="B463" s="121"/>
      <c r="C463" s="121"/>
      <c r="D463" s="121"/>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spans="1:26" ht="12.75">
      <c r="A464" s="121"/>
      <c r="B464" s="121"/>
      <c r="C464" s="121"/>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spans="1:26" ht="12.75">
      <c r="A465" s="121"/>
      <c r="B465" s="121"/>
      <c r="C465" s="121"/>
      <c r="D465" s="121"/>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spans="1:26" ht="12.75">
      <c r="A466" s="121"/>
      <c r="B466" s="121"/>
      <c r="C466" s="121"/>
      <c r="D466" s="121"/>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spans="1:26" ht="12.75">
      <c r="A467" s="121"/>
      <c r="B467" s="121"/>
      <c r="C467" s="121"/>
      <c r="D467" s="121"/>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spans="1:26" ht="12.75">
      <c r="A468" s="121"/>
      <c r="B468" s="121"/>
      <c r="C468" s="121"/>
      <c r="D468" s="121"/>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spans="1:26" ht="12.75">
      <c r="A469" s="121"/>
      <c r="B469" s="121"/>
      <c r="C469" s="121"/>
      <c r="D469" s="121"/>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spans="1:26" ht="12.75">
      <c r="A470" s="121"/>
      <c r="B470" s="121"/>
      <c r="C470" s="121"/>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spans="1:26" ht="12.75">
      <c r="A471" s="121"/>
      <c r="B471" s="121"/>
      <c r="C471" s="121"/>
      <c r="D471" s="121"/>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spans="1:26" ht="12.75">
      <c r="A472" s="121"/>
      <c r="B472" s="121"/>
      <c r="C472" s="121"/>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spans="1:26" ht="12.75">
      <c r="A473" s="121"/>
      <c r="B473" s="121"/>
      <c r="C473" s="121"/>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spans="1:26" ht="12.75">
      <c r="A474" s="121"/>
      <c r="B474" s="121"/>
      <c r="C474" s="121"/>
      <c r="D474" s="121"/>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spans="1:26" ht="12.75">
      <c r="A475" s="121"/>
      <c r="B475" s="121"/>
      <c r="C475" s="121"/>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spans="1:26" ht="12.75">
      <c r="A476" s="121"/>
      <c r="B476" s="121"/>
      <c r="C476" s="121"/>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spans="1:26" ht="12.75">
      <c r="A477" s="121"/>
      <c r="B477" s="121"/>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spans="1:26" ht="12.75">
      <c r="A478" s="121"/>
      <c r="B478" s="121"/>
      <c r="C478" s="121"/>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spans="1:26" ht="12.75">
      <c r="A479" s="121"/>
      <c r="B479" s="121"/>
      <c r="C479" s="121"/>
      <c r="D479" s="121"/>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spans="1:26" ht="12.75">
      <c r="A480" s="121"/>
      <c r="B480" s="121"/>
      <c r="C480" s="121"/>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spans="1:26" ht="12.75">
      <c r="A481" s="121"/>
      <c r="B481" s="121"/>
      <c r="C481" s="121"/>
      <c r="D481" s="121"/>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spans="1:26" ht="12.75">
      <c r="A482" s="121"/>
      <c r="B482" s="121"/>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spans="1:26" ht="12.75">
      <c r="A483" s="121"/>
      <c r="B483" s="121"/>
      <c r="C483" s="121"/>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spans="1:26" ht="12.75">
      <c r="A484" s="121"/>
      <c r="B484" s="121"/>
      <c r="C484" s="121"/>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spans="1:26" ht="12.75">
      <c r="A485" s="121"/>
      <c r="B485" s="121"/>
      <c r="C485" s="121"/>
      <c r="D485" s="121"/>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spans="1:26" ht="12.75">
      <c r="A486" s="121"/>
      <c r="B486" s="121"/>
      <c r="C486" s="121"/>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spans="1:26" ht="12.75">
      <c r="A487" s="121"/>
      <c r="B487" s="121"/>
      <c r="C487" s="121"/>
      <c r="D487" s="121"/>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spans="1:26" ht="12.75">
      <c r="A488" s="121"/>
      <c r="B488" s="121"/>
      <c r="C488" s="121"/>
      <c r="D488" s="121"/>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spans="1:26" ht="12.75">
      <c r="A489" s="121"/>
      <c r="B489" s="121"/>
      <c r="C489" s="121"/>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spans="1:26" ht="12.75">
      <c r="A490" s="121"/>
      <c r="B490" s="121"/>
      <c r="C490" s="121"/>
      <c r="D490" s="121"/>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spans="1:26" ht="12.75">
      <c r="A491" s="121"/>
      <c r="B491" s="121"/>
      <c r="C491" s="121"/>
      <c r="D491" s="121"/>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spans="1:26" ht="12.75">
      <c r="A492" s="121"/>
      <c r="B492" s="121"/>
      <c r="C492" s="121"/>
      <c r="D492" s="121"/>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spans="1:26" ht="12.75">
      <c r="A493" s="121"/>
      <c r="B493" s="121"/>
      <c r="C493" s="121"/>
      <c r="D493" s="121"/>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spans="1:26" ht="12.75">
      <c r="A494" s="121"/>
      <c r="B494" s="121"/>
      <c r="C494" s="121"/>
      <c r="D494" s="121"/>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spans="1:26" ht="12.75">
      <c r="A495" s="121"/>
      <c r="B495" s="121"/>
      <c r="C495" s="121"/>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spans="1:26" ht="12.75">
      <c r="A496" s="121"/>
      <c r="B496" s="121"/>
      <c r="C496" s="121"/>
      <c r="D496" s="121"/>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spans="1:26" ht="12.75">
      <c r="A497" s="121"/>
      <c r="B497" s="121"/>
      <c r="C497" s="121"/>
      <c r="D497" s="121"/>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spans="1:26" ht="12.75">
      <c r="A498" s="121"/>
      <c r="B498" s="121"/>
      <c r="C498" s="121"/>
      <c r="D498" s="121"/>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spans="1:26" ht="12.75">
      <c r="A499" s="121"/>
      <c r="B499" s="121"/>
      <c r="C499" s="121"/>
      <c r="D499" s="121"/>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spans="1:26" ht="12.75">
      <c r="A500" s="121"/>
      <c r="B500" s="121"/>
      <c r="C500" s="121"/>
      <c r="D500" s="121"/>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spans="1:26" ht="12.75">
      <c r="A501" s="121"/>
      <c r="B501" s="121"/>
      <c r="C501" s="121"/>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spans="1:26" ht="12.75">
      <c r="A502" s="121"/>
      <c r="B502" s="121"/>
      <c r="C502" s="121"/>
      <c r="D502" s="121"/>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spans="1:26" ht="12.75">
      <c r="A503" s="121"/>
      <c r="B503" s="121"/>
      <c r="C503" s="121"/>
      <c r="D503" s="121"/>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spans="1:26" ht="12.75">
      <c r="A504" s="121"/>
      <c r="B504" s="121"/>
      <c r="C504" s="121"/>
      <c r="D504" s="121"/>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spans="1:26" ht="12.75">
      <c r="A505" s="121"/>
      <c r="B505" s="121"/>
      <c r="C505" s="121"/>
      <c r="D505" s="121"/>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spans="1:26" ht="12.75">
      <c r="A506" s="121"/>
      <c r="B506" s="121"/>
      <c r="C506" s="121"/>
      <c r="D506" s="121"/>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spans="1:26" ht="12.75">
      <c r="A507" s="121"/>
      <c r="B507" s="121"/>
      <c r="C507" s="121"/>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spans="1:26" ht="12.75">
      <c r="A508" s="121"/>
      <c r="B508" s="121"/>
      <c r="C508" s="121"/>
      <c r="D508" s="121"/>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spans="1:26" ht="12.75">
      <c r="A509" s="121"/>
      <c r="B509" s="121"/>
      <c r="C509" s="121"/>
      <c r="D509" s="121"/>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spans="1:26" ht="12.75">
      <c r="A510" s="121"/>
      <c r="B510" s="121"/>
      <c r="C510" s="121"/>
      <c r="D510" s="121"/>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spans="1:26" ht="12.75">
      <c r="A511" s="121"/>
      <c r="B511" s="121"/>
      <c r="C511" s="121"/>
      <c r="D511" s="121"/>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spans="1:26" ht="12.75">
      <c r="A512" s="121"/>
      <c r="B512" s="121"/>
      <c r="C512" s="121"/>
      <c r="D512" s="121"/>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spans="1:26" ht="12.75">
      <c r="A513" s="121"/>
      <c r="B513" s="121"/>
      <c r="C513" s="121"/>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spans="1:26" ht="12.75">
      <c r="A514" s="121"/>
      <c r="B514" s="121"/>
      <c r="C514" s="121"/>
      <c r="D514" s="121"/>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spans="1:26" ht="12.75">
      <c r="A515" s="121"/>
      <c r="B515" s="121"/>
      <c r="C515" s="121"/>
      <c r="D515" s="121"/>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spans="1:26" ht="12.75">
      <c r="A516" s="121"/>
      <c r="B516" s="121"/>
      <c r="C516" s="121"/>
      <c r="D516" s="121"/>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spans="1:26" ht="12.75">
      <c r="A517" s="121"/>
      <c r="B517" s="121"/>
      <c r="C517" s="121"/>
      <c r="D517" s="121"/>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spans="1:26" ht="12.75">
      <c r="A518" s="121"/>
      <c r="B518" s="121"/>
      <c r="C518" s="121"/>
      <c r="D518" s="121"/>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spans="1:26" ht="12.75">
      <c r="A519" s="121"/>
      <c r="B519" s="121"/>
      <c r="C519" s="121"/>
      <c r="D519" s="121"/>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spans="1:26" ht="12.75">
      <c r="A520" s="121"/>
      <c r="B520" s="121"/>
      <c r="C520" s="121"/>
      <c r="D520" s="121"/>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spans="1:26" ht="12.75">
      <c r="A521" s="121"/>
      <c r="B521" s="121"/>
      <c r="C521" s="121"/>
      <c r="D521" s="121"/>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spans="1:26" ht="12.75">
      <c r="A522" s="121"/>
      <c r="B522" s="121"/>
      <c r="C522" s="121"/>
      <c r="D522" s="121"/>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spans="1:26" ht="12.75">
      <c r="A523" s="121"/>
      <c r="B523" s="121"/>
      <c r="C523" s="121"/>
      <c r="D523" s="121"/>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spans="1:26" ht="12.75">
      <c r="A524" s="121"/>
      <c r="B524" s="121"/>
      <c r="C524" s="121"/>
      <c r="D524" s="121"/>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spans="1:26" ht="12.75">
      <c r="A525" s="121"/>
      <c r="B525" s="121"/>
      <c r="C525" s="121"/>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spans="1:26" ht="12.75">
      <c r="A526" s="121"/>
      <c r="B526" s="121"/>
      <c r="C526" s="121"/>
      <c r="D526" s="121"/>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spans="1:26" ht="12.75">
      <c r="A527" s="121"/>
      <c r="B527" s="121"/>
      <c r="C527" s="121"/>
      <c r="D527" s="121"/>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spans="1:26" ht="12.75">
      <c r="A528" s="121"/>
      <c r="B528" s="121"/>
      <c r="C528" s="121"/>
      <c r="D528" s="121"/>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spans="1:26" ht="12.75">
      <c r="A529" s="121"/>
      <c r="B529" s="121"/>
      <c r="C529" s="121"/>
      <c r="D529" s="121"/>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spans="1:26" ht="12.75">
      <c r="A530" s="121"/>
      <c r="B530" s="121"/>
      <c r="C530" s="121"/>
      <c r="D530" s="121"/>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spans="1:26" ht="12.75">
      <c r="A531" s="121"/>
      <c r="B531" s="121"/>
      <c r="C531" s="121"/>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spans="1:26" ht="12.75">
      <c r="A532" s="121"/>
      <c r="B532" s="121"/>
      <c r="C532" s="121"/>
      <c r="D532" s="121"/>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spans="1:26" ht="12.75">
      <c r="A533" s="121"/>
      <c r="B533" s="121"/>
      <c r="C533" s="121"/>
      <c r="D533" s="121"/>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spans="1:26" ht="12.75">
      <c r="A534" s="121"/>
      <c r="B534" s="121"/>
      <c r="C534" s="121"/>
      <c r="D534" s="121"/>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spans="1:26" ht="12.75">
      <c r="A535" s="121"/>
      <c r="B535" s="121"/>
      <c r="C535" s="121"/>
      <c r="D535" s="121"/>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spans="1:26" ht="12.75">
      <c r="A536" s="121"/>
      <c r="B536" s="121"/>
      <c r="C536" s="121"/>
      <c r="D536" s="121"/>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spans="1:26" ht="12.75">
      <c r="A537" s="121"/>
      <c r="B537" s="121"/>
      <c r="C537" s="121"/>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spans="1:26" ht="12.75">
      <c r="A538" s="121"/>
      <c r="B538" s="121"/>
      <c r="C538" s="121"/>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spans="1:26" ht="12.75">
      <c r="A539" s="121"/>
      <c r="B539" s="121"/>
      <c r="C539" s="121"/>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spans="1:26" ht="12.75">
      <c r="A540" s="121"/>
      <c r="B540" s="121"/>
      <c r="C540" s="121"/>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spans="1:26" ht="12.75">
      <c r="A541" s="121"/>
      <c r="B541" s="121"/>
      <c r="C541" s="121"/>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spans="1:26" ht="12.75">
      <c r="A542" s="121"/>
      <c r="B542" s="121"/>
      <c r="C542" s="121"/>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spans="1:26" ht="12.75">
      <c r="A543" s="121"/>
      <c r="B543" s="121"/>
      <c r="C543" s="121"/>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spans="1:26" ht="12.75">
      <c r="A544" s="121"/>
      <c r="B544" s="121"/>
      <c r="C544" s="121"/>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spans="1:26" ht="12.75">
      <c r="A545" s="121"/>
      <c r="B545" s="121"/>
      <c r="C545" s="121"/>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spans="1:26" ht="12.75">
      <c r="A546" s="121"/>
      <c r="B546" s="121"/>
      <c r="C546" s="121"/>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spans="1:26" ht="12.75">
      <c r="A547" s="121"/>
      <c r="B547" s="121"/>
      <c r="C547" s="121"/>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spans="1:26" ht="12.75">
      <c r="A548" s="121"/>
      <c r="B548" s="121"/>
      <c r="C548" s="121"/>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spans="1:26" ht="12.75">
      <c r="A549" s="121"/>
      <c r="B549" s="121"/>
      <c r="C549" s="121"/>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spans="1:26" ht="12.75">
      <c r="A550" s="121"/>
      <c r="B550" s="121"/>
      <c r="C550" s="121"/>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spans="1:26" ht="12.75">
      <c r="A551" s="121"/>
      <c r="B551" s="121"/>
      <c r="C551" s="121"/>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spans="1:26" ht="12.75">
      <c r="A552" s="121"/>
      <c r="B552" s="121"/>
      <c r="C552" s="121"/>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spans="1:26" ht="12.75">
      <c r="A553" s="121"/>
      <c r="B553" s="121"/>
      <c r="C553" s="121"/>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spans="1:26" ht="12.75">
      <c r="A554" s="121"/>
      <c r="B554" s="121"/>
      <c r="C554" s="121"/>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spans="1:26" ht="12.75">
      <c r="A555" s="121"/>
      <c r="B555" s="121"/>
      <c r="C555" s="121"/>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spans="1:26" ht="12.75">
      <c r="A556" s="121"/>
      <c r="B556" s="121"/>
      <c r="C556" s="121"/>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spans="1:26" ht="12.75">
      <c r="A557" s="121"/>
      <c r="B557" s="121"/>
      <c r="C557" s="121"/>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spans="1:26" ht="12.75">
      <c r="A558" s="121"/>
      <c r="B558" s="121"/>
      <c r="C558" s="121"/>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spans="1:26" ht="12.75">
      <c r="A559" s="121"/>
      <c r="B559" s="121"/>
      <c r="C559" s="121"/>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spans="1:26" ht="12.75">
      <c r="A560" s="121"/>
      <c r="B560" s="121"/>
      <c r="C560" s="121"/>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spans="1:26" ht="12.75">
      <c r="A561" s="121"/>
      <c r="B561" s="121"/>
      <c r="C561" s="121"/>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spans="1:26" ht="12.75">
      <c r="A562" s="121"/>
      <c r="B562" s="121"/>
      <c r="C562" s="121"/>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spans="1:26" ht="12.75">
      <c r="A563" s="121"/>
      <c r="B563" s="121"/>
      <c r="C563" s="121"/>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spans="1:26" ht="12.75">
      <c r="A564" s="121"/>
      <c r="B564" s="121"/>
      <c r="C564" s="121"/>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spans="1:26" ht="12.75">
      <c r="A565" s="121"/>
      <c r="B565" s="121"/>
      <c r="C565" s="121"/>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spans="1:26" ht="12.75">
      <c r="A566" s="121"/>
      <c r="B566" s="121"/>
      <c r="C566" s="121"/>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spans="1:26" ht="12.75">
      <c r="A567" s="121"/>
      <c r="B567" s="121"/>
      <c r="C567" s="121"/>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spans="1:26" ht="12.75">
      <c r="A568" s="121"/>
      <c r="B568" s="121"/>
      <c r="C568" s="121"/>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spans="1:26" ht="12.75">
      <c r="A569" s="121"/>
      <c r="B569" s="121"/>
      <c r="C569" s="121"/>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spans="1:26" ht="12.75">
      <c r="A570" s="121"/>
      <c r="B570" s="121"/>
      <c r="C570" s="121"/>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spans="1:26" ht="12.75">
      <c r="A571" s="121"/>
      <c r="B571" s="121"/>
      <c r="C571" s="121"/>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spans="1:26" ht="12.75">
      <c r="A572" s="121"/>
      <c r="B572" s="121"/>
      <c r="C572" s="121"/>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spans="1:26" ht="12.75">
      <c r="A573" s="121"/>
      <c r="B573" s="121"/>
      <c r="C573" s="121"/>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spans="1:26" ht="12.75">
      <c r="A574" s="121"/>
      <c r="B574" s="121"/>
      <c r="C574" s="121"/>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spans="1:26" ht="12.75">
      <c r="A575" s="121"/>
      <c r="B575" s="121"/>
      <c r="C575" s="121"/>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spans="1:26" ht="12.75">
      <c r="A576" s="121"/>
      <c r="B576" s="121"/>
      <c r="C576" s="121"/>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spans="1:26" ht="12.75">
      <c r="A577" s="121"/>
      <c r="B577" s="121"/>
      <c r="C577" s="121"/>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spans="1:26" ht="12.75">
      <c r="A578" s="121"/>
      <c r="B578" s="121"/>
      <c r="C578" s="121"/>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spans="1:26" ht="12.75">
      <c r="A579" s="121"/>
      <c r="B579" s="121"/>
      <c r="C579" s="121"/>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spans="1:26" ht="12.75">
      <c r="A580" s="121"/>
      <c r="B580" s="121"/>
      <c r="C580" s="121"/>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spans="1:26" ht="12.75">
      <c r="A581" s="121"/>
      <c r="B581" s="121"/>
      <c r="C581" s="121"/>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spans="1:26" ht="12.75">
      <c r="A582" s="121"/>
      <c r="B582" s="121"/>
      <c r="C582" s="121"/>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spans="1:26" ht="12.75">
      <c r="A583" s="121"/>
      <c r="B583" s="121"/>
      <c r="C583" s="121"/>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spans="1:26" ht="12.75">
      <c r="A584" s="121"/>
      <c r="B584" s="121"/>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spans="1:26" ht="12.75">
      <c r="A585" s="121"/>
      <c r="B585" s="121"/>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spans="1:26" ht="12.75">
      <c r="A586" s="121"/>
      <c r="B586" s="121"/>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spans="1:26" ht="12.75">
      <c r="A587" s="121"/>
      <c r="B587" s="121"/>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spans="1:26" ht="12.75">
      <c r="A588" s="121"/>
      <c r="B588" s="121"/>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spans="1:26" ht="12.75">
      <c r="A589" s="121"/>
      <c r="B589" s="121"/>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spans="1:26" ht="12.75">
      <c r="A590" s="121"/>
      <c r="B590" s="121"/>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spans="1:26" ht="12.75">
      <c r="A591" s="121"/>
      <c r="B591" s="121"/>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spans="1:26" ht="12.75">
      <c r="A592" s="121"/>
      <c r="B592" s="121"/>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spans="1:26" ht="12.75">
      <c r="A593" s="121"/>
      <c r="B593" s="121"/>
      <c r="C593" s="121"/>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spans="1:26" ht="12.75">
      <c r="A594" s="121"/>
      <c r="B594" s="121"/>
      <c r="C594" s="121"/>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spans="1:26" ht="12.75">
      <c r="A595" s="121"/>
      <c r="B595" s="121"/>
      <c r="C595" s="121"/>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spans="1:26" ht="12.75">
      <c r="A596" s="121"/>
      <c r="B596" s="121"/>
      <c r="C596" s="121"/>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spans="1:26" ht="12.75">
      <c r="A597" s="121"/>
      <c r="B597" s="121"/>
      <c r="C597" s="121"/>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spans="1:26" ht="12.75">
      <c r="A598" s="121"/>
      <c r="B598" s="121"/>
      <c r="C598" s="121"/>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spans="1:26" ht="12.75">
      <c r="A599" s="121"/>
      <c r="B599" s="121"/>
      <c r="C599" s="121"/>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spans="1:26" ht="12.75">
      <c r="A600" s="121"/>
      <c r="B600" s="121"/>
      <c r="C600" s="121"/>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spans="1:26" ht="12.75">
      <c r="A601" s="121"/>
      <c r="B601" s="121"/>
      <c r="C601" s="121"/>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spans="1:26" ht="12.75">
      <c r="A602" s="121"/>
      <c r="B602" s="121"/>
      <c r="C602" s="121"/>
      <c r="D602" s="121"/>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spans="1:26" ht="12.75">
      <c r="A603" s="121"/>
      <c r="B603" s="121"/>
      <c r="C603" s="121"/>
      <c r="D603" s="121"/>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spans="1:26" ht="12.75">
      <c r="A604" s="121"/>
      <c r="B604" s="121"/>
      <c r="C604" s="121"/>
      <c r="D604" s="121"/>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spans="1:26" ht="12.75">
      <c r="A605" s="121"/>
      <c r="B605" s="121"/>
      <c r="C605" s="121"/>
      <c r="D605" s="121"/>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spans="1:26" ht="12.75">
      <c r="A606" s="121"/>
      <c r="B606" s="121"/>
      <c r="C606" s="121"/>
      <c r="D606" s="121"/>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spans="1:26" ht="12.75">
      <c r="A607" s="121"/>
      <c r="B607" s="121"/>
      <c r="C607" s="121"/>
      <c r="D607" s="121"/>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spans="1:26" ht="12.75">
      <c r="A608" s="121"/>
      <c r="B608" s="121"/>
      <c r="C608" s="121"/>
      <c r="D608" s="121"/>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spans="1:26" ht="12.75">
      <c r="A609" s="121"/>
      <c r="B609" s="121"/>
      <c r="C609" s="121"/>
      <c r="D609" s="121"/>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spans="1:26" ht="12.75">
      <c r="A610" s="121"/>
      <c r="B610" s="121"/>
      <c r="C610" s="121"/>
      <c r="D610" s="121"/>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spans="1:26" ht="12.75">
      <c r="A611" s="121"/>
      <c r="B611" s="121"/>
      <c r="C611" s="121"/>
      <c r="D611" s="121"/>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spans="1:26" ht="12.75">
      <c r="A612" s="121"/>
      <c r="B612" s="121"/>
      <c r="C612" s="121"/>
      <c r="D612" s="121"/>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spans="1:26" ht="12.75">
      <c r="A613" s="121"/>
      <c r="B613" s="121"/>
      <c r="C613" s="121"/>
      <c r="D613" s="121"/>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spans="1:26" ht="12.75">
      <c r="A614" s="121"/>
      <c r="B614" s="121"/>
      <c r="C614" s="121"/>
      <c r="D614" s="121"/>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spans="1:26" ht="12.75">
      <c r="A615" s="121"/>
      <c r="B615" s="121"/>
      <c r="C615" s="121"/>
      <c r="D615" s="121"/>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spans="1:26" ht="12.75">
      <c r="A616" s="121"/>
      <c r="B616" s="121"/>
      <c r="C616" s="121"/>
      <c r="D616" s="121"/>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spans="1:26" ht="12.75">
      <c r="A617" s="121"/>
      <c r="B617" s="121"/>
      <c r="C617" s="121"/>
      <c r="D617" s="121"/>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spans="1:26" ht="12.75">
      <c r="A618" s="121"/>
      <c r="B618" s="121"/>
      <c r="C618" s="121"/>
      <c r="D618" s="121"/>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spans="1:26" ht="12.75">
      <c r="A619" s="121"/>
      <c r="B619" s="121"/>
      <c r="C619" s="121"/>
      <c r="D619" s="121"/>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spans="1:26" ht="12.75">
      <c r="A620" s="121"/>
      <c r="B620" s="121"/>
      <c r="C620" s="121"/>
      <c r="D620" s="121"/>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spans="1:26" ht="12.75">
      <c r="A621" s="121"/>
      <c r="B621" s="121"/>
      <c r="C621" s="121"/>
      <c r="D621" s="121"/>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spans="1:26" ht="12.75">
      <c r="A622" s="121"/>
      <c r="B622" s="121"/>
      <c r="C622" s="121"/>
      <c r="D622" s="121"/>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spans="1:26" ht="12.75">
      <c r="A623" s="121"/>
      <c r="B623" s="121"/>
      <c r="C623" s="121"/>
      <c r="D623" s="121"/>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spans="1:26" ht="12.75">
      <c r="A624" s="121"/>
      <c r="B624" s="121"/>
      <c r="C624" s="121"/>
      <c r="D624" s="121"/>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spans="1:26" ht="12.75">
      <c r="A625" s="121"/>
      <c r="B625" s="121"/>
      <c r="C625" s="121"/>
      <c r="D625" s="121"/>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spans="1:26" ht="12.75">
      <c r="A626" s="121"/>
      <c r="B626" s="121"/>
      <c r="C626" s="121"/>
      <c r="D626" s="121"/>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spans="1:26" ht="12.75">
      <c r="A627" s="121"/>
      <c r="B627" s="121"/>
      <c r="C627" s="121"/>
      <c r="D627" s="121"/>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spans="1:26" ht="12.75">
      <c r="A628" s="121"/>
      <c r="B628" s="121"/>
      <c r="C628" s="121"/>
      <c r="D628" s="121"/>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spans="1:26" ht="12.75">
      <c r="A629" s="121"/>
      <c r="B629" s="121"/>
      <c r="C629" s="121"/>
      <c r="D629" s="121"/>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spans="1:26" ht="12.75">
      <c r="A630" s="121"/>
      <c r="B630" s="121"/>
      <c r="C630" s="121"/>
      <c r="D630" s="121"/>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spans="1:26" ht="12.75">
      <c r="A631" s="121"/>
      <c r="B631" s="121"/>
      <c r="C631" s="121"/>
      <c r="D631" s="121"/>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spans="1:26" ht="12.75">
      <c r="A632" s="121"/>
      <c r="B632" s="121"/>
      <c r="C632" s="121"/>
      <c r="D632" s="121"/>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spans="1:26" ht="12.75">
      <c r="A633" s="121"/>
      <c r="B633" s="121"/>
      <c r="C633" s="121"/>
      <c r="D633" s="121"/>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spans="1:26" ht="12.75">
      <c r="A634" s="121"/>
      <c r="B634" s="121"/>
      <c r="C634" s="121"/>
      <c r="D634" s="121"/>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spans="1:26" ht="12.75">
      <c r="A635" s="121"/>
      <c r="B635" s="121"/>
      <c r="C635" s="121"/>
      <c r="D635" s="121"/>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spans="1:26" ht="12.75">
      <c r="A636" s="121"/>
      <c r="B636" s="121"/>
      <c r="C636" s="121"/>
      <c r="D636" s="121"/>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spans="1:26" ht="12.75">
      <c r="A637" s="121"/>
      <c r="B637" s="121"/>
      <c r="C637" s="121"/>
      <c r="D637" s="121"/>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spans="1:26" ht="12.75">
      <c r="A638" s="121"/>
      <c r="B638" s="121"/>
      <c r="C638" s="121"/>
      <c r="D638" s="121"/>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spans="1:26" ht="12.75">
      <c r="A639" s="121"/>
      <c r="B639" s="121"/>
      <c r="C639" s="121"/>
      <c r="D639" s="121"/>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spans="1:26" ht="12.75">
      <c r="A640" s="121"/>
      <c r="B640" s="121"/>
      <c r="C640" s="121"/>
      <c r="D640" s="121"/>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spans="1:26" ht="12.75">
      <c r="A641" s="121"/>
      <c r="B641" s="121"/>
      <c r="C641" s="121"/>
      <c r="D641" s="121"/>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spans="1:26" ht="12.75">
      <c r="A642" s="121"/>
      <c r="B642" s="121"/>
      <c r="C642" s="121"/>
      <c r="D642" s="121"/>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spans="1:26" ht="12.75">
      <c r="A643" s="121"/>
      <c r="B643" s="121"/>
      <c r="C643" s="121"/>
      <c r="D643" s="121"/>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spans="1:26" ht="12.75">
      <c r="A644" s="121"/>
      <c r="B644" s="121"/>
      <c r="C644" s="121"/>
      <c r="D644" s="121"/>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spans="1:26" ht="12.75">
      <c r="A645" s="121"/>
      <c r="B645" s="121"/>
      <c r="C645" s="121"/>
      <c r="D645" s="121"/>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spans="1:26" ht="12.75">
      <c r="A646" s="121"/>
      <c r="B646" s="121"/>
      <c r="C646" s="121"/>
      <c r="D646" s="121"/>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spans="1:26" ht="12.75">
      <c r="A647" s="121"/>
      <c r="B647" s="121"/>
      <c r="C647" s="121"/>
      <c r="D647" s="121"/>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spans="1:26" ht="12.75">
      <c r="A648" s="121"/>
      <c r="B648" s="121"/>
      <c r="C648" s="121"/>
      <c r="D648" s="121"/>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spans="1:26" ht="12.75">
      <c r="A649" s="121"/>
      <c r="B649" s="121"/>
      <c r="C649" s="121"/>
      <c r="D649" s="121"/>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spans="1:26" ht="12.75">
      <c r="A650" s="121"/>
      <c r="B650" s="121"/>
      <c r="C650" s="121"/>
      <c r="D650" s="121"/>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spans="1:26" ht="12.75">
      <c r="A651" s="121"/>
      <c r="B651" s="121"/>
      <c r="C651" s="121"/>
      <c r="D651" s="121"/>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spans="1:26" ht="12.75">
      <c r="A652" s="121"/>
      <c r="B652" s="121"/>
      <c r="C652" s="121"/>
      <c r="D652" s="121"/>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spans="1:26" ht="12.75">
      <c r="A653" s="121"/>
      <c r="B653" s="121"/>
      <c r="C653" s="121"/>
      <c r="D653" s="121"/>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spans="1:26" ht="12.75">
      <c r="A654" s="121"/>
      <c r="B654" s="121"/>
      <c r="C654" s="121"/>
      <c r="D654" s="121"/>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spans="1:26" ht="12.75">
      <c r="A655" s="121"/>
      <c r="B655" s="121"/>
      <c r="C655" s="121"/>
      <c r="D655" s="121"/>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spans="1:26" ht="12.75">
      <c r="A656" s="121"/>
      <c r="B656" s="121"/>
      <c r="C656" s="121"/>
      <c r="D656" s="121"/>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spans="1:26" ht="12.75">
      <c r="A657" s="121"/>
      <c r="B657" s="121"/>
      <c r="C657" s="121"/>
      <c r="D657" s="121"/>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spans="1:26" ht="12.75">
      <c r="A658" s="121"/>
      <c r="B658" s="121"/>
      <c r="C658" s="121"/>
      <c r="D658" s="121"/>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spans="1:26" ht="12.75">
      <c r="A659" s="121"/>
      <c r="B659" s="121"/>
      <c r="C659" s="121"/>
      <c r="D659" s="121"/>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spans="1:26" ht="12.75">
      <c r="A660" s="121"/>
      <c r="B660" s="121"/>
      <c r="C660" s="121"/>
      <c r="D660" s="121"/>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spans="1:26" ht="12.75">
      <c r="A661" s="121"/>
      <c r="B661" s="121"/>
      <c r="C661" s="121"/>
      <c r="D661" s="121"/>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spans="1:26" ht="12.75">
      <c r="A662" s="121"/>
      <c r="B662" s="121"/>
      <c r="C662" s="121"/>
      <c r="D662" s="121"/>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spans="1:26" ht="12.75">
      <c r="A663" s="121"/>
      <c r="B663" s="121"/>
      <c r="C663" s="121"/>
      <c r="D663" s="121"/>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spans="1:26" ht="12.75">
      <c r="A664" s="121"/>
      <c r="B664" s="121"/>
      <c r="C664" s="121"/>
      <c r="D664" s="121"/>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spans="1:26" ht="12.75">
      <c r="A665" s="121"/>
      <c r="B665" s="121"/>
      <c r="C665" s="121"/>
      <c r="D665" s="121"/>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spans="1:26" ht="12.75">
      <c r="A666" s="121"/>
      <c r="B666" s="121"/>
      <c r="C666" s="121"/>
      <c r="D666" s="121"/>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spans="1:26" ht="12.75">
      <c r="A667" s="121"/>
      <c r="B667" s="121"/>
      <c r="C667" s="121"/>
      <c r="D667" s="121"/>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spans="1:26" ht="12.75">
      <c r="A668" s="121"/>
      <c r="B668" s="121"/>
      <c r="C668" s="121"/>
      <c r="D668" s="121"/>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spans="1:26" ht="12.75">
      <c r="A669" s="121"/>
      <c r="B669" s="121"/>
      <c r="C669" s="121"/>
      <c r="D669" s="121"/>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spans="1:26" ht="12.75">
      <c r="A670" s="121"/>
      <c r="B670" s="121"/>
      <c r="C670" s="121"/>
      <c r="D670" s="121"/>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spans="1:26" ht="12.75">
      <c r="A671" s="121"/>
      <c r="B671" s="121"/>
      <c r="C671" s="121"/>
      <c r="D671" s="121"/>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spans="1:26" ht="12.75">
      <c r="A672" s="121"/>
      <c r="B672" s="121"/>
      <c r="C672" s="121"/>
      <c r="D672" s="121"/>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spans="1:26" ht="12.75">
      <c r="A673" s="121"/>
      <c r="B673" s="121"/>
      <c r="C673" s="121"/>
      <c r="D673" s="121"/>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spans="1:26" ht="12.75">
      <c r="A674" s="121"/>
      <c r="B674" s="121"/>
      <c r="C674" s="121"/>
      <c r="D674" s="121"/>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spans="1:26" ht="12.75">
      <c r="A675" s="121"/>
      <c r="B675" s="121"/>
      <c r="C675" s="121"/>
      <c r="D675" s="121"/>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spans="1:26" ht="12.75">
      <c r="A676" s="121"/>
      <c r="B676" s="121"/>
      <c r="C676" s="121"/>
      <c r="D676" s="121"/>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spans="1:26" ht="12.75">
      <c r="A677" s="121"/>
      <c r="B677" s="121"/>
      <c r="C677" s="121"/>
      <c r="D677" s="121"/>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spans="1:26" ht="12.75">
      <c r="A678" s="121"/>
      <c r="B678" s="121"/>
      <c r="C678" s="121"/>
      <c r="D678" s="121"/>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spans="1:26" ht="12.75">
      <c r="A679" s="121"/>
      <c r="B679" s="121"/>
      <c r="C679" s="121"/>
      <c r="D679" s="121"/>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spans="1:26" ht="12.75">
      <c r="A680" s="121"/>
      <c r="B680" s="121"/>
      <c r="C680" s="121"/>
      <c r="D680" s="121"/>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spans="1:26" ht="12.75">
      <c r="A681" s="121"/>
      <c r="B681" s="121"/>
      <c r="C681" s="121"/>
      <c r="D681" s="121"/>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spans="1:26" ht="12.75">
      <c r="A682" s="121"/>
      <c r="B682" s="121"/>
      <c r="C682" s="121"/>
      <c r="D682" s="121"/>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spans="1:26" ht="12.75">
      <c r="A683" s="121"/>
      <c r="B683" s="121"/>
      <c r="C683" s="121"/>
      <c r="D683" s="121"/>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spans="1:26" ht="12.75">
      <c r="A684" s="121"/>
      <c r="B684" s="121"/>
      <c r="C684" s="121"/>
      <c r="D684" s="121"/>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spans="1:26" ht="12.75">
      <c r="A685" s="121"/>
      <c r="B685" s="121"/>
      <c r="C685" s="121"/>
      <c r="D685" s="121"/>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spans="1:26" ht="12.75">
      <c r="A686" s="121"/>
      <c r="B686" s="121"/>
      <c r="C686" s="121"/>
      <c r="D686" s="121"/>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spans="1:26" ht="12.75">
      <c r="A687" s="121"/>
      <c r="B687" s="121"/>
      <c r="C687" s="121"/>
      <c r="D687" s="121"/>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spans="1:26" ht="12.75">
      <c r="A688" s="121"/>
      <c r="B688" s="121"/>
      <c r="C688" s="121"/>
      <c r="D688" s="121"/>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spans="1:26" ht="12.75">
      <c r="A689" s="121"/>
      <c r="B689" s="121"/>
      <c r="C689" s="121"/>
      <c r="D689" s="121"/>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spans="1:26" ht="12.75">
      <c r="A690" s="121"/>
      <c r="B690" s="121"/>
      <c r="C690" s="121"/>
      <c r="D690" s="121"/>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spans="1:26" ht="12.75">
      <c r="A691" s="121"/>
      <c r="B691" s="121"/>
      <c r="C691" s="121"/>
      <c r="D691" s="121"/>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spans="1:26" ht="12.75">
      <c r="A692" s="121"/>
      <c r="B692" s="121"/>
      <c r="C692" s="121"/>
      <c r="D692" s="121"/>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spans="1:26" ht="12.75">
      <c r="A693" s="121"/>
      <c r="B693" s="121"/>
      <c r="C693" s="121"/>
      <c r="D693" s="121"/>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spans="1:26" ht="12.75">
      <c r="A694" s="121"/>
      <c r="B694" s="121"/>
      <c r="C694" s="121"/>
      <c r="D694" s="121"/>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spans="1:26" ht="12.75">
      <c r="A695" s="121"/>
      <c r="B695" s="121"/>
      <c r="C695" s="121"/>
      <c r="D695" s="121"/>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spans="1:26" ht="12.75">
      <c r="A696" s="121"/>
      <c r="B696" s="121"/>
      <c r="C696" s="121"/>
      <c r="D696" s="121"/>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spans="1:26" ht="12.75">
      <c r="A697" s="121"/>
      <c r="B697" s="121"/>
      <c r="C697" s="121"/>
      <c r="D697" s="121"/>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spans="1:26" ht="12.75">
      <c r="A698" s="121"/>
      <c r="B698" s="121"/>
      <c r="C698" s="121"/>
      <c r="D698" s="121"/>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spans="1:26" ht="12.75">
      <c r="A699" s="121"/>
      <c r="B699" s="121"/>
      <c r="C699" s="121"/>
      <c r="D699" s="121"/>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spans="1:26" ht="12.75">
      <c r="A700" s="121"/>
      <c r="B700" s="121"/>
      <c r="C700" s="121"/>
      <c r="D700" s="121"/>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spans="1:26" ht="12.75">
      <c r="A701" s="121"/>
      <c r="B701" s="121"/>
      <c r="C701" s="121"/>
      <c r="D701" s="121"/>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spans="1:26" ht="12.75">
      <c r="A702" s="121"/>
      <c r="B702" s="121"/>
      <c r="C702" s="121"/>
      <c r="D702" s="121"/>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spans="1:26" ht="12.75">
      <c r="A703" s="121"/>
      <c r="B703" s="121"/>
      <c r="C703" s="121"/>
      <c r="D703" s="121"/>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spans="1:26" ht="12.75">
      <c r="A704" s="121"/>
      <c r="B704" s="121"/>
      <c r="C704" s="121"/>
      <c r="D704" s="121"/>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spans="1:26" ht="12.75">
      <c r="A705" s="121"/>
      <c r="B705" s="121"/>
      <c r="C705" s="121"/>
      <c r="D705" s="121"/>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spans="1:26" ht="12.75">
      <c r="A706" s="121"/>
      <c r="B706" s="121"/>
      <c r="C706" s="121"/>
      <c r="D706" s="121"/>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spans="1:26" ht="12.75">
      <c r="A707" s="121"/>
      <c r="B707" s="121"/>
      <c r="C707" s="121"/>
      <c r="D707" s="121"/>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spans="1:26" ht="12.75">
      <c r="A708" s="121"/>
      <c r="B708" s="121"/>
      <c r="C708" s="121"/>
      <c r="D708" s="121"/>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spans="1:26" ht="12.75">
      <c r="A709" s="121"/>
      <c r="B709" s="121"/>
      <c r="C709" s="121"/>
      <c r="D709" s="121"/>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spans="1:26" ht="12.75">
      <c r="A710" s="121"/>
      <c r="B710" s="121"/>
      <c r="C710" s="121"/>
      <c r="D710" s="121"/>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spans="1:26" ht="12.75">
      <c r="A711" s="121"/>
      <c r="B711" s="121"/>
      <c r="C711" s="121"/>
      <c r="D711" s="121"/>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spans="1:26" ht="12.75">
      <c r="A712" s="121"/>
      <c r="B712" s="121"/>
      <c r="C712" s="121"/>
      <c r="D712" s="121"/>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spans="1:26" ht="12.75">
      <c r="A713" s="121"/>
      <c r="B713" s="121"/>
      <c r="C713" s="121"/>
      <c r="D713" s="121"/>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spans="1:26" ht="12.75">
      <c r="A714" s="121"/>
      <c r="B714" s="121"/>
      <c r="C714" s="121"/>
      <c r="D714" s="121"/>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spans="1:26" ht="12.75">
      <c r="A715" s="121"/>
      <c r="B715" s="121"/>
      <c r="C715" s="121"/>
      <c r="D715" s="121"/>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spans="1:26" ht="12.75">
      <c r="A716" s="121"/>
      <c r="B716" s="121"/>
      <c r="C716" s="121"/>
      <c r="D716" s="121"/>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spans="1:26" ht="12.75">
      <c r="A717" s="121"/>
      <c r="B717" s="121"/>
      <c r="C717" s="121"/>
      <c r="D717" s="121"/>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spans="1:26" ht="12.75">
      <c r="A718" s="121"/>
      <c r="B718" s="121"/>
      <c r="C718" s="121"/>
      <c r="D718" s="121"/>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spans="1:26" ht="12.75">
      <c r="A719" s="121"/>
      <c r="B719" s="121"/>
      <c r="C719" s="121"/>
      <c r="D719" s="121"/>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spans="1:26" ht="12.75">
      <c r="A720" s="121"/>
      <c r="B720" s="121"/>
      <c r="C720" s="121"/>
      <c r="D720" s="121"/>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spans="1:26" ht="12.75">
      <c r="A721" s="121"/>
      <c r="B721" s="121"/>
      <c r="C721" s="121"/>
      <c r="D721" s="121"/>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spans="1:26" ht="12.75">
      <c r="A722" s="121"/>
      <c r="B722" s="121"/>
      <c r="C722" s="121"/>
      <c r="D722" s="121"/>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spans="1:26" ht="12.75">
      <c r="A723" s="121"/>
      <c r="B723" s="121"/>
      <c r="C723" s="121"/>
      <c r="D723" s="121"/>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spans="1:26" ht="12.75">
      <c r="A724" s="121"/>
      <c r="B724" s="121"/>
      <c r="C724" s="121"/>
      <c r="D724" s="121"/>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spans="1:26" ht="12.75">
      <c r="A725" s="121"/>
      <c r="B725" s="121"/>
      <c r="C725" s="121"/>
      <c r="D725" s="121"/>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spans="1:26" ht="12.75">
      <c r="A726" s="121"/>
      <c r="B726" s="121"/>
      <c r="C726" s="121"/>
      <c r="D726" s="121"/>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spans="1:26" ht="12.75">
      <c r="A727" s="121"/>
      <c r="B727" s="121"/>
      <c r="C727" s="121"/>
      <c r="D727" s="121"/>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spans="1:26" ht="12.75">
      <c r="A728" s="121"/>
      <c r="B728" s="121"/>
      <c r="C728" s="121"/>
      <c r="D728" s="121"/>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spans="1:26" ht="12.75">
      <c r="A729" s="121"/>
      <c r="B729" s="121"/>
      <c r="C729" s="121"/>
      <c r="D729" s="121"/>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spans="1:26" ht="12.75">
      <c r="A730" s="121"/>
      <c r="B730" s="121"/>
      <c r="C730" s="121"/>
      <c r="D730" s="121"/>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spans="1:26" ht="12.75">
      <c r="A731" s="121"/>
      <c r="B731" s="121"/>
      <c r="C731" s="121"/>
      <c r="D731" s="121"/>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spans="1:26" ht="12.75">
      <c r="A732" s="121"/>
      <c r="B732" s="121"/>
      <c r="C732" s="121"/>
      <c r="D732" s="121"/>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spans="1:26" ht="12.75">
      <c r="A733" s="121"/>
      <c r="B733" s="121"/>
      <c r="C733" s="121"/>
      <c r="D733" s="121"/>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spans="1:26" ht="12.75">
      <c r="A734" s="121"/>
      <c r="B734" s="121"/>
      <c r="C734" s="121"/>
      <c r="D734" s="121"/>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spans="1:26" ht="12.75">
      <c r="A735" s="121"/>
      <c r="B735" s="121"/>
      <c r="C735" s="121"/>
      <c r="D735" s="121"/>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spans="1:26" ht="12.75">
      <c r="A736" s="121"/>
      <c r="B736" s="121"/>
      <c r="C736" s="121"/>
      <c r="D736" s="121"/>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spans="1:26" ht="12.75">
      <c r="A737" s="121"/>
      <c r="B737" s="121"/>
      <c r="C737" s="121"/>
      <c r="D737" s="121"/>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spans="1:26" ht="12.75">
      <c r="A738" s="121"/>
      <c r="B738" s="121"/>
      <c r="C738" s="121"/>
      <c r="D738" s="121"/>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spans="1:26" ht="12.75">
      <c r="A739" s="121"/>
      <c r="B739" s="121"/>
      <c r="C739" s="121"/>
      <c r="D739" s="121"/>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spans="1:26" ht="12.75">
      <c r="A740" s="121"/>
      <c r="B740" s="121"/>
      <c r="C740" s="121"/>
      <c r="D740" s="121"/>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spans="1:26" ht="12.75">
      <c r="A741" s="121"/>
      <c r="B741" s="121"/>
      <c r="C741" s="121"/>
      <c r="D741" s="121"/>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spans="1:26" ht="12.75">
      <c r="A742" s="121"/>
      <c r="B742" s="121"/>
      <c r="C742" s="121"/>
      <c r="D742" s="121"/>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spans="1:26" ht="12.75">
      <c r="A743" s="121"/>
      <c r="B743" s="121"/>
      <c r="C743" s="121"/>
      <c r="D743" s="121"/>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spans="1:26" ht="12.75">
      <c r="A744" s="121"/>
      <c r="B744" s="121"/>
      <c r="C744" s="121"/>
      <c r="D744" s="121"/>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spans="1:26" ht="12.75">
      <c r="A745" s="121"/>
      <c r="B745" s="121"/>
      <c r="C745" s="121"/>
      <c r="D745" s="121"/>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spans="1:26" ht="12.75">
      <c r="A746" s="121"/>
      <c r="B746" s="121"/>
      <c r="C746" s="121"/>
      <c r="D746" s="121"/>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spans="1:26" ht="12.75">
      <c r="A747" s="121"/>
      <c r="B747" s="121"/>
      <c r="C747" s="121"/>
      <c r="D747" s="121"/>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spans="1:26" ht="12.75">
      <c r="A748" s="121"/>
      <c r="B748" s="121"/>
      <c r="C748" s="121"/>
      <c r="D748" s="121"/>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spans="1:26" ht="12.75">
      <c r="A749" s="121"/>
      <c r="B749" s="121"/>
      <c r="C749" s="121"/>
      <c r="D749" s="121"/>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spans="1:26" ht="12.75">
      <c r="A750" s="121"/>
      <c r="B750" s="121"/>
      <c r="C750" s="121"/>
      <c r="D750" s="121"/>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spans="1:26" ht="12.75">
      <c r="A751" s="121"/>
      <c r="B751" s="121"/>
      <c r="C751" s="121"/>
      <c r="D751" s="121"/>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spans="1:26" ht="12.75">
      <c r="A752" s="121"/>
      <c r="B752" s="121"/>
      <c r="C752" s="121"/>
      <c r="D752" s="121"/>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spans="1:26" ht="12.75">
      <c r="A753" s="121"/>
      <c r="B753" s="121"/>
      <c r="C753" s="121"/>
      <c r="D753" s="121"/>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spans="1:26" ht="12.75">
      <c r="A754" s="121"/>
      <c r="B754" s="121"/>
      <c r="C754" s="121"/>
      <c r="D754" s="121"/>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spans="1:26" ht="12.75">
      <c r="A755" s="121"/>
      <c r="B755" s="121"/>
      <c r="C755" s="121"/>
      <c r="D755" s="121"/>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spans="1:26" ht="12.75">
      <c r="A756" s="121"/>
      <c r="B756" s="121"/>
      <c r="C756" s="121"/>
      <c r="D756" s="121"/>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spans="1:26" ht="12.75">
      <c r="A757" s="121"/>
      <c r="B757" s="121"/>
      <c r="C757" s="121"/>
      <c r="D757" s="121"/>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spans="1:26" ht="12.75">
      <c r="A758" s="121"/>
      <c r="B758" s="121"/>
      <c r="C758" s="121"/>
      <c r="D758" s="121"/>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spans="1:26" ht="12.75">
      <c r="A759" s="121"/>
      <c r="B759" s="121"/>
      <c r="C759" s="121"/>
      <c r="D759" s="121"/>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spans="1:26" ht="12.75">
      <c r="A760" s="121"/>
      <c r="B760" s="121"/>
      <c r="C760" s="121"/>
      <c r="D760" s="121"/>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spans="1:26" ht="12.75">
      <c r="A761" s="121"/>
      <c r="B761" s="121"/>
      <c r="C761" s="121"/>
      <c r="D761" s="121"/>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spans="1:26" ht="12.75">
      <c r="A762" s="121"/>
      <c r="B762" s="121"/>
      <c r="C762" s="121"/>
      <c r="D762" s="121"/>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spans="1:26" ht="12.75">
      <c r="A763" s="121"/>
      <c r="B763" s="121"/>
      <c r="C763" s="121"/>
      <c r="D763" s="121"/>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spans="1:26" ht="12.75">
      <c r="A764" s="121"/>
      <c r="B764" s="121"/>
      <c r="C764" s="121"/>
      <c r="D764" s="121"/>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spans="1:26" ht="12.75">
      <c r="A765" s="121"/>
      <c r="B765" s="121"/>
      <c r="C765" s="121"/>
      <c r="D765" s="121"/>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spans="1:26" ht="12.75">
      <c r="A766" s="121"/>
      <c r="B766" s="121"/>
      <c r="C766" s="121"/>
      <c r="D766" s="121"/>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spans="1:26" ht="12.75">
      <c r="A767" s="121"/>
      <c r="B767" s="121"/>
      <c r="C767" s="121"/>
      <c r="D767" s="121"/>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spans="1:26" ht="12.75">
      <c r="A768" s="121"/>
      <c r="B768" s="121"/>
      <c r="C768" s="121"/>
      <c r="D768" s="121"/>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spans="1:26" ht="12.75">
      <c r="A769" s="121"/>
      <c r="B769" s="121"/>
      <c r="C769" s="121"/>
      <c r="D769" s="121"/>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spans="1:26" ht="12.75">
      <c r="A770" s="121"/>
      <c r="B770" s="121"/>
      <c r="C770" s="121"/>
      <c r="D770" s="121"/>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spans="1:26" ht="12.75">
      <c r="A771" s="121"/>
      <c r="B771" s="121"/>
      <c r="C771" s="121"/>
      <c r="D771" s="121"/>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spans="1:26" ht="12.75">
      <c r="A772" s="121"/>
      <c r="B772" s="121"/>
      <c r="C772" s="121"/>
      <c r="D772" s="121"/>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spans="1:26" ht="12.75">
      <c r="A773" s="121"/>
      <c r="B773" s="121"/>
      <c r="C773" s="121"/>
      <c r="D773" s="121"/>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spans="1:26" ht="12.75">
      <c r="A774" s="121"/>
      <c r="B774" s="121"/>
      <c r="C774" s="121"/>
      <c r="D774" s="121"/>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spans="1:26" ht="12.75">
      <c r="A775" s="121"/>
      <c r="B775" s="121"/>
      <c r="C775" s="121"/>
      <c r="D775" s="121"/>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spans="1:26" ht="12.75">
      <c r="A776" s="121"/>
      <c r="B776" s="121"/>
      <c r="C776" s="121"/>
      <c r="D776" s="121"/>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spans="1:26" ht="12.75">
      <c r="A777" s="121"/>
      <c r="B777" s="121"/>
      <c r="C777" s="121"/>
      <c r="D777" s="121"/>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spans="1:26" ht="12.75">
      <c r="A778" s="121"/>
      <c r="B778" s="121"/>
      <c r="C778" s="121"/>
      <c r="D778" s="121"/>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spans="1:26" ht="12.75">
      <c r="A779" s="121"/>
      <c r="B779" s="121"/>
      <c r="C779" s="121"/>
      <c r="D779" s="121"/>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spans="1:26" ht="12.75">
      <c r="A780" s="121"/>
      <c r="B780" s="121"/>
      <c r="C780" s="121"/>
      <c r="D780" s="121"/>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spans="1:26" ht="12.75">
      <c r="A781" s="121"/>
      <c r="B781" s="121"/>
      <c r="C781" s="121"/>
      <c r="D781" s="121"/>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spans="1:26" ht="12.75">
      <c r="A782" s="121"/>
      <c r="B782" s="121"/>
      <c r="C782" s="121"/>
      <c r="D782" s="121"/>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spans="1:26" ht="12.75">
      <c r="A783" s="121"/>
      <c r="B783" s="121"/>
      <c r="C783" s="121"/>
      <c r="D783" s="121"/>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spans="1:26" ht="12.75">
      <c r="A784" s="121"/>
      <c r="B784" s="121"/>
      <c r="C784" s="121"/>
      <c r="D784" s="121"/>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spans="1:26" ht="12.75">
      <c r="A785" s="121"/>
      <c r="B785" s="121"/>
      <c r="C785" s="121"/>
      <c r="D785" s="121"/>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spans="1:26" ht="12.75">
      <c r="A786" s="121"/>
      <c r="B786" s="121"/>
      <c r="C786" s="121"/>
      <c r="D786" s="121"/>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spans="1:26" ht="12.75">
      <c r="A787" s="121"/>
      <c r="B787" s="121"/>
      <c r="C787" s="121"/>
      <c r="D787" s="121"/>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spans="1:26" ht="12.75">
      <c r="A788" s="121"/>
      <c r="B788" s="121"/>
      <c r="C788" s="121"/>
      <c r="D788" s="121"/>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spans="1:26" ht="12.75">
      <c r="A789" s="121"/>
      <c r="B789" s="121"/>
      <c r="C789" s="121"/>
      <c r="D789" s="121"/>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spans="1:26" ht="12.75">
      <c r="A790" s="121"/>
      <c r="B790" s="121"/>
      <c r="C790" s="121"/>
      <c r="D790" s="121"/>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spans="1:26" ht="12.75">
      <c r="A791" s="121"/>
      <c r="B791" s="121"/>
      <c r="C791" s="121"/>
      <c r="D791" s="121"/>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spans="1:26" ht="12.75">
      <c r="A792" s="121"/>
      <c r="B792" s="121"/>
      <c r="C792" s="121"/>
      <c r="D792" s="121"/>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spans="1:26" ht="12.75">
      <c r="A793" s="121"/>
      <c r="B793" s="121"/>
      <c r="C793" s="121"/>
      <c r="D793" s="121"/>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spans="1:26" ht="12.75">
      <c r="A794" s="121"/>
      <c r="B794" s="121"/>
      <c r="C794" s="121"/>
      <c r="D794" s="121"/>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spans="1:26" ht="12.75">
      <c r="A795" s="121"/>
      <c r="B795" s="121"/>
      <c r="C795" s="121"/>
      <c r="D795" s="121"/>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spans="1:26" ht="12.75">
      <c r="A796" s="121"/>
      <c r="B796" s="121"/>
      <c r="C796" s="121"/>
      <c r="D796" s="121"/>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spans="1:26" ht="12.75">
      <c r="A797" s="121"/>
      <c r="B797" s="121"/>
      <c r="C797" s="121"/>
      <c r="D797" s="121"/>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spans="1:26" ht="12.75">
      <c r="A798" s="121"/>
      <c r="B798" s="121"/>
      <c r="C798" s="121"/>
      <c r="D798" s="121"/>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spans="1:26" ht="12.75">
      <c r="A799" s="121"/>
      <c r="B799" s="121"/>
      <c r="C799" s="121"/>
      <c r="D799" s="121"/>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spans="1:26" ht="12.75">
      <c r="A800" s="121"/>
      <c r="B800" s="121"/>
      <c r="C800" s="121"/>
      <c r="D800" s="121"/>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spans="1:26" ht="12.75">
      <c r="A801" s="121"/>
      <c r="B801" s="121"/>
      <c r="C801" s="121"/>
      <c r="D801" s="121"/>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spans="1:26" ht="12.75">
      <c r="A802" s="121"/>
      <c r="B802" s="121"/>
      <c r="C802" s="121"/>
      <c r="D802" s="121"/>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spans="1:26" ht="12.75">
      <c r="A803" s="121"/>
      <c r="B803" s="121"/>
      <c r="C803" s="121"/>
      <c r="D803" s="121"/>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spans="1:26" ht="12.75">
      <c r="A804" s="121"/>
      <c r="B804" s="121"/>
      <c r="C804" s="121"/>
      <c r="D804" s="121"/>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spans="1:26" ht="12.75">
      <c r="A805" s="121"/>
      <c r="B805" s="121"/>
      <c r="C805" s="121"/>
      <c r="D805" s="121"/>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spans="1:26" ht="12.75">
      <c r="A806" s="121"/>
      <c r="B806" s="121"/>
      <c r="C806" s="121"/>
      <c r="D806" s="121"/>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spans="1:26" ht="12.75">
      <c r="A807" s="121"/>
      <c r="B807" s="121"/>
      <c r="C807" s="121"/>
      <c r="D807" s="121"/>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spans="1:26" ht="12.75">
      <c r="A808" s="121"/>
      <c r="B808" s="121"/>
      <c r="C808" s="121"/>
      <c r="D808" s="121"/>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spans="1:26" ht="12.75">
      <c r="A809" s="121"/>
      <c r="B809" s="121"/>
      <c r="C809" s="121"/>
      <c r="D809" s="121"/>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spans="1:26" ht="12.75">
      <c r="A810" s="121"/>
      <c r="B810" s="121"/>
      <c r="C810" s="121"/>
      <c r="D810" s="121"/>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spans="1:26" ht="12.75">
      <c r="A811" s="121"/>
      <c r="B811" s="121"/>
      <c r="C811" s="121"/>
      <c r="D811" s="121"/>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spans="1:26" ht="12.75">
      <c r="A812" s="121"/>
      <c r="B812" s="121"/>
      <c r="C812" s="121"/>
      <c r="D812" s="121"/>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spans="1:26" ht="12.75">
      <c r="A813" s="121"/>
      <c r="B813" s="121"/>
      <c r="C813" s="121"/>
      <c r="D813" s="121"/>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spans="1:26" ht="12.75">
      <c r="A814" s="121"/>
      <c r="B814" s="121"/>
      <c r="C814" s="121"/>
      <c r="D814" s="121"/>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spans="1:26" ht="12.75">
      <c r="A815" s="121"/>
      <c r="B815" s="121"/>
      <c r="C815" s="121"/>
      <c r="D815" s="121"/>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spans="1:26" ht="12.75">
      <c r="A816" s="121"/>
      <c r="B816" s="121"/>
      <c r="C816" s="121"/>
      <c r="D816" s="121"/>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spans="1:26" ht="12.75">
      <c r="A817" s="121"/>
      <c r="B817" s="121"/>
      <c r="C817" s="121"/>
      <c r="D817" s="121"/>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spans="1:26" ht="12.75">
      <c r="A818" s="121"/>
      <c r="B818" s="121"/>
      <c r="C818" s="121"/>
      <c r="D818" s="121"/>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spans="1:26" ht="12.75">
      <c r="A819" s="121"/>
      <c r="B819" s="121"/>
      <c r="C819" s="121"/>
      <c r="D819" s="121"/>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spans="1:26" ht="12.75">
      <c r="A820" s="121"/>
      <c r="B820" s="121"/>
      <c r="C820" s="121"/>
      <c r="D820" s="121"/>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spans="1:26" ht="12.75">
      <c r="A821" s="121"/>
      <c r="B821" s="121"/>
      <c r="C821" s="121"/>
      <c r="D821" s="121"/>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spans="1:26" ht="12.75">
      <c r="A822" s="121"/>
      <c r="B822" s="121"/>
      <c r="C822" s="121"/>
      <c r="D822" s="121"/>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spans="1:26" ht="12.75">
      <c r="A823" s="121"/>
      <c r="B823" s="121"/>
      <c r="C823" s="121"/>
      <c r="D823" s="121"/>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spans="1:26" ht="12.75">
      <c r="A824" s="121"/>
      <c r="B824" s="121"/>
      <c r="C824" s="121"/>
      <c r="D824" s="121"/>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spans="1:26" ht="12.75">
      <c r="A825" s="121"/>
      <c r="B825" s="121"/>
      <c r="C825" s="121"/>
      <c r="D825" s="121"/>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spans="1:26" ht="12.75">
      <c r="A826" s="121"/>
      <c r="B826" s="121"/>
      <c r="C826" s="121"/>
      <c r="D826" s="121"/>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spans="1:26" ht="12.75">
      <c r="A827" s="121"/>
      <c r="B827" s="121"/>
      <c r="C827" s="121"/>
      <c r="D827" s="121"/>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spans="1:26" ht="12.75">
      <c r="A828" s="121"/>
      <c r="B828" s="121"/>
      <c r="C828" s="121"/>
      <c r="D828" s="121"/>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spans="1:26" ht="12.75">
      <c r="A829" s="121"/>
      <c r="B829" s="121"/>
      <c r="C829" s="121"/>
      <c r="D829" s="121"/>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spans="1:26" ht="12.75">
      <c r="A830" s="121"/>
      <c r="B830" s="121"/>
      <c r="C830" s="121"/>
      <c r="D830" s="121"/>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spans="1:26" ht="12.75">
      <c r="A831" s="121"/>
      <c r="B831" s="121"/>
      <c r="C831" s="121"/>
      <c r="D831" s="121"/>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spans="1:26" ht="12.75">
      <c r="A832" s="121"/>
      <c r="B832" s="121"/>
      <c r="C832" s="121"/>
      <c r="D832" s="121"/>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spans="1:26" ht="12.75">
      <c r="A833" s="121"/>
      <c r="B833" s="121"/>
      <c r="C833" s="121"/>
      <c r="D833" s="121"/>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spans="1:26" ht="12.75">
      <c r="A834" s="121"/>
      <c r="B834" s="121"/>
      <c r="C834" s="121"/>
      <c r="D834" s="121"/>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spans="1:26" ht="12.75">
      <c r="A835" s="121"/>
      <c r="B835" s="121"/>
      <c r="C835" s="121"/>
      <c r="D835" s="121"/>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spans="1:26" ht="12.75">
      <c r="A836" s="121"/>
      <c r="B836" s="121"/>
      <c r="C836" s="121"/>
      <c r="D836" s="121"/>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spans="1:26" ht="12.75">
      <c r="A837" s="121"/>
      <c r="B837" s="121"/>
      <c r="C837" s="121"/>
      <c r="D837" s="121"/>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spans="1:26" ht="12.75">
      <c r="A838" s="121"/>
      <c r="B838" s="121"/>
      <c r="C838" s="121"/>
      <c r="D838" s="121"/>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spans="1:26" ht="12.75">
      <c r="A839" s="121"/>
      <c r="B839" s="121"/>
      <c r="C839" s="121"/>
      <c r="D839" s="121"/>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spans="1:26" ht="12.75">
      <c r="A840" s="121"/>
      <c r="B840" s="121"/>
      <c r="C840" s="121"/>
      <c r="D840" s="121"/>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spans="1:26" ht="12.75">
      <c r="A841" s="121"/>
      <c r="B841" s="121"/>
      <c r="C841" s="121"/>
      <c r="D841" s="121"/>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spans="1:26" ht="12.75">
      <c r="A842" s="121"/>
      <c r="B842" s="121"/>
      <c r="C842" s="121"/>
      <c r="D842" s="121"/>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spans="1:26" ht="12.75">
      <c r="A843" s="121"/>
      <c r="B843" s="121"/>
      <c r="C843" s="121"/>
      <c r="D843" s="121"/>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spans="1:26" ht="12.75">
      <c r="A844" s="121"/>
      <c r="B844" s="121"/>
      <c r="C844" s="121"/>
      <c r="D844" s="121"/>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spans="1:26" ht="12.75">
      <c r="A845" s="121"/>
      <c r="B845" s="121"/>
      <c r="C845" s="121"/>
      <c r="D845" s="121"/>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spans="1:26" ht="12.75">
      <c r="A846" s="121"/>
      <c r="B846" s="121"/>
      <c r="C846" s="121"/>
      <c r="D846" s="121"/>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spans="1:26" ht="12.75">
      <c r="A847" s="121"/>
      <c r="B847" s="121"/>
      <c r="C847" s="121"/>
      <c r="D847" s="121"/>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spans="1:26" ht="12.75">
      <c r="A848" s="121"/>
      <c r="B848" s="121"/>
      <c r="C848" s="121"/>
      <c r="D848" s="121"/>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spans="1:26" ht="12.75">
      <c r="A849" s="121"/>
      <c r="B849" s="121"/>
      <c r="C849" s="121"/>
      <c r="D849" s="121"/>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spans="1:26" ht="12.75">
      <c r="A850" s="121"/>
      <c r="B850" s="121"/>
      <c r="C850" s="121"/>
      <c r="D850" s="121"/>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spans="1:26" ht="12.75">
      <c r="A851" s="121"/>
      <c r="B851" s="121"/>
      <c r="C851" s="121"/>
      <c r="D851" s="121"/>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spans="1:26" ht="12.75">
      <c r="A852" s="121"/>
      <c r="B852" s="121"/>
      <c r="C852" s="121"/>
      <c r="D852" s="121"/>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spans="1:26" ht="12.75">
      <c r="A853" s="121"/>
      <c r="B853" s="121"/>
      <c r="C853" s="121"/>
      <c r="D853" s="121"/>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spans="1:26" ht="12.75">
      <c r="A854" s="121"/>
      <c r="B854" s="121"/>
      <c r="C854" s="121"/>
      <c r="D854" s="121"/>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spans="1:26" ht="12.75">
      <c r="A855" s="121"/>
      <c r="B855" s="121"/>
      <c r="C855" s="121"/>
      <c r="D855" s="121"/>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spans="1:26" ht="12.75">
      <c r="A856" s="121"/>
      <c r="B856" s="121"/>
      <c r="C856" s="121"/>
      <c r="D856" s="121"/>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spans="1:26" ht="12.75">
      <c r="A857" s="121"/>
      <c r="B857" s="121"/>
      <c r="C857" s="121"/>
      <c r="D857" s="121"/>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spans="1:26" ht="12.75">
      <c r="A858" s="121"/>
      <c r="B858" s="121"/>
      <c r="C858" s="121"/>
      <c r="D858" s="121"/>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spans="1:26" ht="12.75">
      <c r="A859" s="121"/>
      <c r="B859" s="121"/>
      <c r="C859" s="121"/>
      <c r="D859" s="121"/>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spans="1:26" ht="12.75">
      <c r="A860" s="121"/>
      <c r="B860" s="121"/>
      <c r="C860" s="121"/>
      <c r="D860" s="121"/>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spans="1:26" ht="12.75">
      <c r="A861" s="121"/>
      <c r="B861" s="121"/>
      <c r="C861" s="121"/>
      <c r="D861" s="121"/>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spans="1:26" ht="12.75">
      <c r="A862" s="121"/>
      <c r="B862" s="121"/>
      <c r="C862" s="121"/>
      <c r="D862" s="121"/>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spans="1:26" ht="12.75">
      <c r="A863" s="121"/>
      <c r="B863" s="121"/>
      <c r="C863" s="121"/>
      <c r="D863" s="121"/>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spans="1:26" ht="12.75">
      <c r="A864" s="121"/>
      <c r="B864" s="121"/>
      <c r="C864" s="121"/>
      <c r="D864" s="121"/>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spans="1:26" ht="12.75">
      <c r="A865" s="121"/>
      <c r="B865" s="121"/>
      <c r="C865" s="121"/>
      <c r="D865" s="121"/>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spans="1:26" ht="12.75">
      <c r="A866" s="121"/>
      <c r="B866" s="121"/>
      <c r="C866" s="121"/>
      <c r="D866" s="121"/>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spans="1:26" ht="12.75">
      <c r="A867" s="121"/>
      <c r="B867" s="121"/>
      <c r="C867" s="121"/>
      <c r="D867" s="121"/>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spans="1:26" ht="12.75">
      <c r="A868" s="121"/>
      <c r="B868" s="121"/>
      <c r="C868" s="121"/>
      <c r="D868" s="121"/>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spans="1:26" ht="12.75">
      <c r="A869" s="121"/>
      <c r="B869" s="121"/>
      <c r="C869" s="121"/>
      <c r="D869" s="121"/>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spans="1:26" ht="12.75">
      <c r="A870" s="121"/>
      <c r="B870" s="121"/>
      <c r="C870" s="121"/>
      <c r="D870" s="121"/>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spans="1:26" ht="12.75">
      <c r="A871" s="121"/>
      <c r="B871" s="121"/>
      <c r="C871" s="121"/>
      <c r="D871" s="121"/>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spans="1:26" ht="12.75">
      <c r="A872" s="121"/>
      <c r="B872" s="121"/>
      <c r="C872" s="121"/>
      <c r="D872" s="121"/>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spans="1:26" ht="12.75">
      <c r="A873" s="121"/>
      <c r="B873" s="121"/>
      <c r="C873" s="121"/>
      <c r="D873" s="121"/>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spans="1:26" ht="12.75">
      <c r="A874" s="121"/>
      <c r="B874" s="121"/>
      <c r="C874" s="121"/>
      <c r="D874" s="121"/>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spans="1:26" ht="12.75">
      <c r="A875" s="121"/>
      <c r="B875" s="121"/>
      <c r="C875" s="121"/>
      <c r="D875" s="121"/>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spans="1:26" ht="12.75">
      <c r="A876" s="121"/>
      <c r="B876" s="121"/>
      <c r="C876" s="121"/>
      <c r="D876" s="121"/>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spans="1:26" ht="12.75">
      <c r="A877" s="121"/>
      <c r="B877" s="121"/>
      <c r="C877" s="121"/>
      <c r="D877" s="121"/>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spans="1:26" ht="12.75">
      <c r="A878" s="121"/>
      <c r="B878" s="121"/>
      <c r="C878" s="121"/>
      <c r="D878" s="121"/>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spans="1:26" ht="12.75">
      <c r="A879" s="121"/>
      <c r="B879" s="121"/>
      <c r="C879" s="121"/>
      <c r="D879" s="121"/>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spans="1:26" ht="12.75">
      <c r="A880" s="121"/>
      <c r="B880" s="121"/>
      <c r="C880" s="121"/>
      <c r="D880" s="121"/>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spans="1:26" ht="12.75">
      <c r="A881" s="121"/>
      <c r="B881" s="121"/>
      <c r="C881" s="121"/>
      <c r="D881" s="121"/>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spans="1:26" ht="12.75">
      <c r="A882" s="121"/>
      <c r="B882" s="121"/>
      <c r="C882" s="121"/>
      <c r="D882" s="121"/>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spans="1:26" ht="12.75">
      <c r="A883" s="121"/>
      <c r="B883" s="121"/>
      <c r="C883" s="121"/>
      <c r="D883" s="121"/>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spans="1:26" ht="12.75">
      <c r="A884" s="121"/>
      <c r="B884" s="121"/>
      <c r="C884" s="121"/>
      <c r="D884" s="121"/>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spans="1:26" ht="12.75">
      <c r="A885" s="121"/>
      <c r="B885" s="121"/>
      <c r="C885" s="121"/>
      <c r="D885" s="121"/>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spans="1:26" ht="12.75">
      <c r="A886" s="121"/>
      <c r="B886" s="121"/>
      <c r="C886" s="121"/>
      <c r="D886" s="121"/>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spans="1:26" ht="12.75">
      <c r="A887" s="121"/>
      <c r="B887" s="121"/>
      <c r="C887" s="121"/>
      <c r="D887" s="121"/>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spans="1:26" ht="12.75">
      <c r="A888" s="121"/>
      <c r="B888" s="121"/>
      <c r="C888" s="121"/>
      <c r="D888" s="121"/>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spans="1:26" ht="12.75">
      <c r="A889" s="121"/>
      <c r="B889" s="121"/>
      <c r="C889" s="121"/>
      <c r="D889" s="121"/>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spans="1:26" ht="12.75">
      <c r="A890" s="121"/>
      <c r="B890" s="121"/>
      <c r="C890" s="121"/>
      <c r="D890" s="121"/>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spans="1:26" ht="12.75">
      <c r="A891" s="121"/>
      <c r="B891" s="121"/>
      <c r="C891" s="121"/>
      <c r="D891" s="121"/>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spans="1:26" ht="12.75">
      <c r="A892" s="121"/>
      <c r="B892" s="121"/>
      <c r="C892" s="121"/>
      <c r="D892" s="121"/>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spans="1:26" ht="12.75">
      <c r="A893" s="121"/>
      <c r="B893" s="121"/>
      <c r="C893" s="121"/>
      <c r="D893" s="121"/>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spans="1:26" ht="12.75">
      <c r="A894" s="121"/>
      <c r="B894" s="121"/>
      <c r="C894" s="121"/>
      <c r="D894" s="121"/>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spans="1:26" ht="12.75">
      <c r="A895" s="121"/>
      <c r="B895" s="121"/>
      <c r="C895" s="121"/>
      <c r="D895" s="121"/>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spans="1:26" ht="12.75">
      <c r="A896" s="121"/>
      <c r="B896" s="121"/>
      <c r="C896" s="121"/>
      <c r="D896" s="121"/>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spans="1:26" ht="12.75">
      <c r="A897" s="121"/>
      <c r="B897" s="121"/>
      <c r="C897" s="121"/>
      <c r="D897" s="121"/>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spans="1:26" ht="12.75">
      <c r="A898" s="121"/>
      <c r="B898" s="121"/>
      <c r="C898" s="121"/>
      <c r="D898" s="121"/>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spans="1:26" ht="12.75">
      <c r="A899" s="121"/>
      <c r="B899" s="121"/>
      <c r="C899" s="121"/>
      <c r="D899" s="121"/>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spans="1:26" ht="12.75">
      <c r="A900" s="121"/>
      <c r="B900" s="121"/>
      <c r="C900" s="121"/>
      <c r="D900" s="121"/>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spans="1:26" ht="12.75">
      <c r="A901" s="121"/>
      <c r="B901" s="121"/>
      <c r="C901" s="121"/>
      <c r="D901" s="121"/>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spans="1:26" ht="12.75">
      <c r="A902" s="121"/>
      <c r="B902" s="121"/>
      <c r="C902" s="121"/>
      <c r="D902" s="121"/>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spans="1:26" ht="12.75">
      <c r="A903" s="121"/>
      <c r="B903" s="121"/>
      <c r="C903" s="121"/>
      <c r="D903" s="121"/>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spans="1:26" ht="12.75">
      <c r="A904" s="121"/>
      <c r="B904" s="121"/>
      <c r="C904" s="121"/>
      <c r="D904" s="121"/>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spans="1:26" ht="12.75">
      <c r="A905" s="121"/>
      <c r="B905" s="121"/>
      <c r="C905" s="121"/>
      <c r="D905" s="121"/>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spans="1:26" ht="12.75">
      <c r="A906" s="121"/>
      <c r="B906" s="121"/>
      <c r="C906" s="121"/>
      <c r="D906" s="121"/>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spans="1:26" ht="12.75">
      <c r="A907" s="121"/>
      <c r="B907" s="121"/>
      <c r="C907" s="121"/>
      <c r="D907" s="121"/>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spans="1:26" ht="12.75">
      <c r="A908" s="121"/>
      <c r="B908" s="121"/>
      <c r="C908" s="121"/>
      <c r="D908" s="121"/>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spans="1:26" ht="12.75">
      <c r="A909" s="121"/>
      <c r="B909" s="121"/>
      <c r="C909" s="121"/>
      <c r="D909" s="121"/>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spans="1:26" ht="12.75">
      <c r="A910" s="121"/>
      <c r="B910" s="121"/>
      <c r="C910" s="121"/>
      <c r="D910" s="121"/>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spans="1:26" ht="12.75">
      <c r="A911" s="121"/>
      <c r="B911" s="121"/>
      <c r="C911" s="121"/>
      <c r="D911" s="121"/>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spans="1:26" ht="12.75">
      <c r="A912" s="121"/>
      <c r="B912" s="121"/>
      <c r="C912" s="121"/>
      <c r="D912" s="121"/>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spans="1:26" ht="12.75">
      <c r="A913" s="121"/>
      <c r="B913" s="121"/>
      <c r="C913" s="121"/>
      <c r="D913" s="121"/>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spans="1:26" ht="12.75">
      <c r="A914" s="121"/>
      <c r="B914" s="121"/>
      <c r="C914" s="121"/>
      <c r="D914" s="121"/>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spans="1:26" ht="12.75">
      <c r="A915" s="121"/>
      <c r="B915" s="121"/>
      <c r="C915" s="121"/>
      <c r="D915" s="121"/>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spans="1:26" ht="12.75">
      <c r="A916" s="121"/>
      <c r="B916" s="121"/>
      <c r="C916" s="121"/>
      <c r="D916" s="121"/>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spans="1:26" ht="12.75">
      <c r="A917" s="121"/>
      <c r="B917" s="121"/>
      <c r="C917" s="121"/>
      <c r="D917" s="121"/>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spans="1:26" ht="12.75">
      <c r="A918" s="121"/>
      <c r="B918" s="121"/>
      <c r="C918" s="121"/>
      <c r="D918" s="121"/>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spans="1:26" ht="12.75">
      <c r="A919" s="121"/>
      <c r="B919" s="121"/>
      <c r="C919" s="121"/>
      <c r="D919" s="121"/>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spans="1:26" ht="12.75">
      <c r="A920" s="121"/>
      <c r="B920" s="121"/>
      <c r="C920" s="121"/>
      <c r="D920" s="121"/>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spans="1:26" ht="12.75">
      <c r="A921" s="121"/>
      <c r="B921" s="121"/>
      <c r="C921" s="121"/>
      <c r="D921" s="121"/>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spans="1:26" ht="12.75">
      <c r="A922" s="121"/>
      <c r="B922" s="121"/>
      <c r="C922" s="121"/>
      <c r="D922" s="121"/>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spans="1:26" ht="12.75">
      <c r="A923" s="121"/>
      <c r="B923" s="121"/>
      <c r="C923" s="121"/>
      <c r="D923" s="121"/>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spans="1:26" ht="12.75">
      <c r="A924" s="121"/>
      <c r="B924" s="121"/>
      <c r="C924" s="121"/>
      <c r="D924" s="121"/>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spans="1:26" ht="12.75">
      <c r="A925" s="121"/>
      <c r="B925" s="121"/>
      <c r="C925" s="121"/>
      <c r="D925" s="121"/>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spans="1:26" ht="12.75">
      <c r="A926" s="121"/>
      <c r="B926" s="121"/>
      <c r="C926" s="121"/>
      <c r="D926" s="121"/>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spans="1:26" ht="12.75">
      <c r="A927" s="121"/>
      <c r="B927" s="121"/>
      <c r="C927" s="121"/>
      <c r="D927" s="121"/>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spans="1:26" ht="12.75">
      <c r="A928" s="121"/>
      <c r="B928" s="121"/>
      <c r="C928" s="121"/>
      <c r="D928" s="121"/>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spans="1:26" ht="12.75">
      <c r="A929" s="121"/>
      <c r="B929" s="121"/>
      <c r="C929" s="121"/>
      <c r="D929" s="121"/>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spans="1:26" ht="12.75">
      <c r="A930" s="121"/>
      <c r="B930" s="121"/>
      <c r="C930" s="121"/>
      <c r="D930" s="121"/>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spans="1:26" ht="12.75">
      <c r="A931" s="121"/>
      <c r="B931" s="121"/>
      <c r="C931" s="121"/>
      <c r="D931" s="121"/>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spans="1:26" ht="12.75">
      <c r="A932" s="121"/>
      <c r="B932" s="121"/>
      <c r="C932" s="121"/>
      <c r="D932" s="121"/>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spans="1:26" ht="12.75">
      <c r="A933" s="121"/>
      <c r="B933" s="121"/>
      <c r="C933" s="121"/>
      <c r="D933" s="121"/>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spans="1:26" ht="12.75">
      <c r="A934" s="121"/>
      <c r="B934" s="121"/>
      <c r="C934" s="121"/>
      <c r="D934" s="121"/>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spans="1:26" ht="12.75">
      <c r="A935" s="121"/>
      <c r="B935" s="121"/>
      <c r="C935" s="121"/>
      <c r="D935" s="121"/>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spans="1:26" ht="12.75">
      <c r="A936" s="121"/>
      <c r="B936" s="121"/>
      <c r="C936" s="121"/>
      <c r="D936" s="121"/>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spans="1:26" ht="12.75">
      <c r="A937" s="121"/>
      <c r="B937" s="121"/>
      <c r="C937" s="121"/>
      <c r="D937" s="121"/>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spans="1:26" ht="12.75">
      <c r="A938" s="121"/>
      <c r="B938" s="121"/>
      <c r="C938" s="121"/>
      <c r="D938" s="121"/>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spans="1:26" ht="12.75">
      <c r="A939" s="121"/>
      <c r="B939" s="121"/>
      <c r="C939" s="121"/>
      <c r="D939" s="121"/>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spans="1:26" ht="12.75">
      <c r="A940" s="121"/>
      <c r="B940" s="121"/>
      <c r="C940" s="121"/>
      <c r="D940" s="121"/>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spans="1:26" ht="12.75">
      <c r="A941" s="121"/>
      <c r="B941" s="121"/>
      <c r="C941" s="121"/>
      <c r="D941" s="121"/>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spans="1:26" ht="12.75">
      <c r="A942" s="121"/>
      <c r="B942" s="121"/>
      <c r="C942" s="121"/>
      <c r="D942" s="121"/>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spans="1:26" ht="12.75">
      <c r="A943" s="121"/>
      <c r="B943" s="121"/>
      <c r="C943" s="121"/>
      <c r="D943" s="121"/>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spans="1:26" ht="12.75">
      <c r="A944" s="121"/>
      <c r="B944" s="121"/>
      <c r="C944" s="121"/>
      <c r="D944" s="121"/>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spans="1:26" ht="12.75">
      <c r="A945" s="121"/>
      <c r="B945" s="121"/>
      <c r="C945" s="121"/>
      <c r="D945" s="121"/>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spans="1:26" ht="12.75">
      <c r="A946" s="121"/>
      <c r="B946" s="121"/>
      <c r="C946" s="121"/>
      <c r="D946" s="121"/>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spans="1:26" ht="12.75">
      <c r="A947" s="121"/>
      <c r="B947" s="121"/>
      <c r="C947" s="121"/>
      <c r="D947" s="121"/>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spans="1:26" ht="12.75">
      <c r="A948" s="121"/>
      <c r="B948" s="121"/>
      <c r="C948" s="121"/>
      <c r="D948" s="121"/>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spans="1:26" ht="12.75">
      <c r="A949" s="121"/>
      <c r="B949" s="121"/>
      <c r="C949" s="121"/>
      <c r="D949" s="121"/>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spans="1:26" ht="12.75">
      <c r="A950" s="121"/>
      <c r="B950" s="121"/>
      <c r="C950" s="121"/>
      <c r="D950" s="121"/>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spans="1:26" ht="12.75">
      <c r="A951" s="121"/>
      <c r="B951" s="121"/>
      <c r="C951" s="121"/>
      <c r="D951" s="121"/>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spans="1:26" ht="12.75">
      <c r="A952" s="121"/>
      <c r="B952" s="121"/>
      <c r="C952" s="121"/>
      <c r="D952" s="121"/>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spans="1:26" ht="12.75">
      <c r="A953" s="121"/>
      <c r="B953" s="121"/>
      <c r="C953" s="121"/>
      <c r="D953" s="121"/>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spans="1:26" ht="12.75">
      <c r="A954" s="121"/>
      <c r="B954" s="121"/>
      <c r="C954" s="121"/>
      <c r="D954" s="121"/>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spans="1:26" ht="12.75">
      <c r="A955" s="121"/>
      <c r="B955" s="121"/>
      <c r="C955" s="121"/>
      <c r="D955" s="121"/>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spans="1:26" ht="12.75">
      <c r="A956" s="121"/>
      <c r="B956" s="121"/>
      <c r="C956" s="121"/>
      <c r="D956" s="121"/>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spans="1:26" ht="12.75">
      <c r="A957" s="121"/>
      <c r="B957" s="121"/>
      <c r="C957" s="121"/>
      <c r="D957" s="121"/>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spans="1:26" ht="12.75">
      <c r="A958" s="121"/>
      <c r="B958" s="121"/>
      <c r="C958" s="121"/>
      <c r="D958" s="121"/>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spans="1:26" ht="12.75">
      <c r="A959" s="121"/>
      <c r="B959" s="121"/>
      <c r="C959" s="121"/>
      <c r="D959" s="121"/>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spans="1:26" ht="12.75">
      <c r="A960" s="121"/>
      <c r="B960" s="121"/>
      <c r="C960" s="121"/>
      <c r="D960" s="121"/>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spans="1:26" ht="12.75">
      <c r="A961" s="121"/>
      <c r="B961" s="121"/>
      <c r="C961" s="121"/>
      <c r="D961" s="121"/>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spans="1:26" ht="12.75">
      <c r="A962" s="121"/>
      <c r="B962" s="121"/>
      <c r="C962" s="121"/>
      <c r="D962" s="121"/>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spans="1:26" ht="12.75">
      <c r="A963" s="121"/>
      <c r="B963" s="121"/>
      <c r="C963" s="121"/>
      <c r="D963" s="121"/>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spans="1:26" ht="12.75">
      <c r="A964" s="121"/>
      <c r="B964" s="121"/>
      <c r="C964" s="121"/>
      <c r="D964" s="121"/>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spans="1:26" ht="12.75">
      <c r="A965" s="121"/>
      <c r="B965" s="121"/>
      <c r="C965" s="121"/>
      <c r="D965" s="121"/>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spans="1:26" ht="12.75">
      <c r="A966" s="121"/>
      <c r="B966" s="121"/>
      <c r="C966" s="121"/>
      <c r="D966" s="121"/>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spans="1:26" ht="12.75">
      <c r="A967" s="121"/>
      <c r="B967" s="121"/>
      <c r="C967" s="121"/>
      <c r="D967" s="121"/>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spans="1:26" ht="12.75">
      <c r="A968" s="121"/>
      <c r="B968" s="121"/>
      <c r="C968" s="121"/>
      <c r="D968" s="121"/>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spans="1:26" ht="12.75">
      <c r="A969" s="121"/>
      <c r="B969" s="121"/>
      <c r="C969" s="121"/>
      <c r="D969" s="121"/>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spans="1:26" ht="12.75">
      <c r="A970" s="121"/>
      <c r="B970" s="121"/>
      <c r="C970" s="121"/>
      <c r="D970" s="121"/>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spans="1:26" ht="12.75">
      <c r="A971" s="121"/>
      <c r="B971" s="121"/>
      <c r="C971" s="121"/>
      <c r="D971" s="121"/>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spans="1:26" ht="12.75">
      <c r="A972" s="121"/>
      <c r="B972" s="121"/>
      <c r="C972" s="121"/>
      <c r="D972" s="121"/>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spans="1:26" ht="12.75">
      <c r="A973" s="121"/>
      <c r="B973" s="121"/>
      <c r="C973" s="121"/>
      <c r="D973" s="121"/>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spans="1:26" ht="12.75">
      <c r="A974" s="121"/>
      <c r="B974" s="121"/>
      <c r="C974" s="121"/>
      <c r="D974" s="121"/>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spans="1:26" ht="12.75">
      <c r="A975" s="121"/>
      <c r="B975" s="121"/>
      <c r="C975" s="121"/>
      <c r="D975" s="121"/>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spans="1:26" ht="12.75">
      <c r="A976" s="121"/>
      <c r="B976" s="121"/>
      <c r="C976" s="121"/>
      <c r="D976" s="121"/>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spans="1:26" ht="12.75">
      <c r="A977" s="121"/>
      <c r="B977" s="121"/>
      <c r="C977" s="121"/>
      <c r="D977" s="121"/>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spans="1:26" ht="12.75">
      <c r="A978" s="121"/>
      <c r="B978" s="121"/>
      <c r="C978" s="121"/>
      <c r="D978" s="121"/>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spans="1:26" ht="12.75">
      <c r="A979" s="121"/>
      <c r="B979" s="121"/>
      <c r="C979" s="121"/>
      <c r="D979" s="121"/>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spans="1:26" ht="12.75">
      <c r="A980" s="121"/>
      <c r="B980" s="121"/>
      <c r="C980" s="121"/>
      <c r="D980" s="121"/>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spans="1:26" ht="12.75">
      <c r="A981" s="121"/>
      <c r="B981" s="121"/>
      <c r="C981" s="121"/>
      <c r="D981" s="121"/>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spans="1:26" ht="12.75">
      <c r="A982" s="121"/>
      <c r="B982" s="121"/>
      <c r="C982" s="121"/>
      <c r="D982" s="121"/>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spans="1:26" ht="12.75">
      <c r="A983" s="121"/>
      <c r="B983" s="121"/>
      <c r="C983" s="121"/>
      <c r="D983" s="121"/>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spans="1:26" ht="12.75">
      <c r="A984" s="121"/>
      <c r="B984" s="121"/>
      <c r="C984" s="121"/>
      <c r="D984" s="121"/>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spans="1:26" ht="12.75">
      <c r="A985" s="121"/>
      <c r="B985" s="121"/>
      <c r="C985" s="121"/>
      <c r="D985" s="121"/>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spans="1:26" ht="12.75">
      <c r="A986" s="121"/>
      <c r="B986" s="121"/>
      <c r="C986" s="121"/>
      <c r="D986" s="121"/>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spans="1:26" ht="12.75">
      <c r="A987" s="121"/>
      <c r="B987" s="121"/>
      <c r="C987" s="121"/>
      <c r="D987" s="121"/>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spans="1:26" ht="12.75">
      <c r="A988" s="121"/>
      <c r="B988" s="121"/>
      <c r="C988" s="121"/>
      <c r="D988" s="121"/>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spans="1:26" ht="12.75">
      <c r="A989" s="121"/>
      <c r="B989" s="121"/>
      <c r="C989" s="121"/>
      <c r="D989" s="121"/>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spans="1:26" ht="12.75">
      <c r="A990" s="121"/>
      <c r="B990" s="121"/>
      <c r="C990" s="121"/>
      <c r="D990" s="121"/>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spans="1:26" ht="12.75">
      <c r="A991" s="121"/>
      <c r="B991" s="121"/>
      <c r="C991" s="121"/>
      <c r="D991" s="121"/>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spans="1:26" ht="12.75">
      <c r="A992" s="121"/>
      <c r="B992" s="121"/>
      <c r="C992" s="121"/>
      <c r="D992" s="121"/>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spans="1:26" ht="12.75">
      <c r="A993" s="121"/>
      <c r="B993" s="121"/>
      <c r="C993" s="121"/>
      <c r="D993" s="121"/>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spans="1:26" ht="12.75">
      <c r="A994" s="121"/>
      <c r="B994" s="121"/>
      <c r="C994" s="121"/>
      <c r="D994" s="121"/>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spans="1:26" ht="12.75">
      <c r="A995" s="121"/>
      <c r="B995" s="121"/>
      <c r="C995" s="121"/>
      <c r="D995" s="121"/>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spans="1:26" ht="12.75">
      <c r="A996" s="121"/>
      <c r="B996" s="121"/>
      <c r="C996" s="121"/>
      <c r="D996" s="121"/>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spans="1:26" ht="12.75">
      <c r="A997" s="121"/>
      <c r="B997" s="121"/>
      <c r="C997" s="121"/>
      <c r="D997" s="121"/>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spans="1:26" ht="12.75">
      <c r="A998" s="121"/>
      <c r="B998" s="121"/>
      <c r="C998" s="121"/>
      <c r="D998" s="121"/>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spans="1:26" ht="12.75">
      <c r="A999" s="121"/>
      <c r="B999" s="121"/>
      <c r="C999" s="121"/>
      <c r="D999" s="121"/>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spans="1:26" ht="12.75">
      <c r="A1000" s="121"/>
      <c r="B1000" s="121"/>
      <c r="C1000" s="121"/>
      <c r="D1000" s="121"/>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row r="1001" spans="1:26" ht="12.75">
      <c r="A1001" s="121"/>
      <c r="B1001" s="121"/>
      <c r="C1001" s="121"/>
      <c r="D1001" s="121"/>
      <c r="E1001" s="121"/>
      <c r="F1001" s="121"/>
      <c r="G1001" s="121"/>
      <c r="H1001" s="121"/>
      <c r="I1001" s="121"/>
      <c r="J1001" s="121"/>
      <c r="K1001" s="121"/>
      <c r="L1001" s="121"/>
      <c r="M1001" s="121"/>
      <c r="N1001" s="121"/>
      <c r="O1001" s="121"/>
      <c r="P1001" s="121"/>
      <c r="Q1001" s="121"/>
      <c r="R1001" s="121"/>
      <c r="S1001" s="121"/>
      <c r="T1001" s="121"/>
      <c r="U1001" s="121"/>
      <c r="V1001" s="121"/>
      <c r="W1001" s="121"/>
      <c r="X1001" s="121"/>
      <c r="Y1001" s="121"/>
      <c r="Z1001" s="121"/>
    </row>
    <row r="1002" spans="1:26" ht="12.75">
      <c r="A1002" s="121"/>
      <c r="B1002" s="121"/>
      <c r="C1002" s="121"/>
      <c r="D1002" s="121"/>
      <c r="E1002" s="121"/>
      <c r="F1002" s="121"/>
      <c r="G1002" s="121"/>
      <c r="H1002" s="121"/>
      <c r="I1002" s="121"/>
      <c r="J1002" s="121"/>
      <c r="K1002" s="121"/>
      <c r="L1002" s="121"/>
      <c r="M1002" s="121"/>
      <c r="N1002" s="121"/>
      <c r="O1002" s="121"/>
      <c r="P1002" s="121"/>
      <c r="Q1002" s="121"/>
      <c r="R1002" s="121"/>
      <c r="S1002" s="121"/>
      <c r="T1002" s="121"/>
      <c r="U1002" s="121"/>
      <c r="V1002" s="121"/>
      <c r="W1002" s="121"/>
      <c r="X1002" s="121"/>
      <c r="Y1002" s="121"/>
      <c r="Z1002" s="121"/>
    </row>
    <row r="1003" spans="1:26" ht="12.75">
      <c r="A1003" s="121"/>
      <c r="B1003" s="121"/>
      <c r="C1003" s="121"/>
      <c r="D1003" s="121"/>
      <c r="E1003" s="121"/>
      <c r="F1003" s="121"/>
      <c r="G1003" s="121"/>
      <c r="H1003" s="121"/>
      <c r="I1003" s="121"/>
      <c r="J1003" s="121"/>
      <c r="K1003" s="121"/>
      <c r="L1003" s="121"/>
      <c r="M1003" s="121"/>
      <c r="N1003" s="121"/>
      <c r="O1003" s="121"/>
      <c r="P1003" s="121"/>
      <c r="Q1003" s="121"/>
      <c r="R1003" s="121"/>
      <c r="S1003" s="121"/>
      <c r="T1003" s="121"/>
      <c r="U1003" s="121"/>
      <c r="V1003" s="121"/>
      <c r="W1003" s="121"/>
      <c r="X1003" s="121"/>
      <c r="Y1003" s="121"/>
      <c r="Z1003" s="121"/>
    </row>
    <row r="1004" spans="1:26" ht="12.75">
      <c r="A1004" s="121"/>
      <c r="B1004" s="121"/>
      <c r="C1004" s="121"/>
      <c r="D1004" s="121"/>
      <c r="E1004" s="121"/>
      <c r="F1004" s="121"/>
      <c r="G1004" s="121"/>
      <c r="H1004" s="121"/>
      <c r="I1004" s="121"/>
      <c r="J1004" s="121"/>
      <c r="K1004" s="121"/>
      <c r="L1004" s="121"/>
      <c r="M1004" s="121"/>
      <c r="N1004" s="121"/>
      <c r="O1004" s="121"/>
      <c r="P1004" s="121"/>
      <c r="Q1004" s="121"/>
      <c r="R1004" s="121"/>
      <c r="S1004" s="121"/>
      <c r="T1004" s="121"/>
      <c r="U1004" s="121"/>
      <c r="V1004" s="121"/>
      <c r="W1004" s="121"/>
      <c r="X1004" s="121"/>
      <c r="Y1004" s="121"/>
      <c r="Z1004" s="121"/>
    </row>
    <row r="1005" spans="1:26" ht="12.75">
      <c r="A1005" s="121"/>
      <c r="B1005" s="121"/>
      <c r="C1005" s="121"/>
      <c r="D1005" s="121"/>
      <c r="E1005" s="121"/>
      <c r="F1005" s="121"/>
      <c r="G1005" s="121"/>
      <c r="H1005" s="121"/>
      <c r="I1005" s="121"/>
      <c r="J1005" s="121"/>
      <c r="K1005" s="121"/>
      <c r="L1005" s="121"/>
      <c r="M1005" s="121"/>
      <c r="N1005" s="121"/>
      <c r="O1005" s="121"/>
      <c r="P1005" s="121"/>
      <c r="Q1005" s="121"/>
      <c r="R1005" s="121"/>
      <c r="S1005" s="121"/>
      <c r="T1005" s="121"/>
      <c r="U1005" s="121"/>
      <c r="V1005" s="121"/>
      <c r="W1005" s="121"/>
      <c r="X1005" s="121"/>
      <c r="Y1005" s="121"/>
      <c r="Z1005" s="121"/>
    </row>
    <row r="1006" spans="1:26" ht="12.75">
      <c r="A1006" s="121"/>
      <c r="B1006" s="121"/>
      <c r="C1006" s="121"/>
      <c r="D1006" s="121"/>
      <c r="E1006" s="121"/>
      <c r="F1006" s="121"/>
      <c r="G1006" s="121"/>
      <c r="H1006" s="121"/>
      <c r="I1006" s="121"/>
      <c r="J1006" s="121"/>
      <c r="K1006" s="121"/>
      <c r="L1006" s="121"/>
      <c r="M1006" s="121"/>
      <c r="N1006" s="121"/>
      <c r="O1006" s="121"/>
      <c r="P1006" s="121"/>
      <c r="Q1006" s="121"/>
      <c r="R1006" s="121"/>
      <c r="S1006" s="121"/>
      <c r="T1006" s="121"/>
      <c r="U1006" s="121"/>
      <c r="V1006" s="121"/>
      <c r="W1006" s="121"/>
      <c r="X1006" s="121"/>
      <c r="Y1006" s="121"/>
      <c r="Z1006" s="121"/>
    </row>
    <row r="1007" spans="1:26" ht="12.75">
      <c r="A1007" s="121"/>
      <c r="B1007" s="121"/>
      <c r="C1007" s="121"/>
      <c r="D1007" s="121"/>
      <c r="E1007" s="121"/>
      <c r="F1007" s="121"/>
      <c r="G1007" s="121"/>
      <c r="H1007" s="121"/>
      <c r="I1007" s="121"/>
      <c r="J1007" s="121"/>
      <c r="K1007" s="121"/>
      <c r="L1007" s="121"/>
      <c r="M1007" s="121"/>
      <c r="N1007" s="121"/>
      <c r="O1007" s="121"/>
      <c r="P1007" s="121"/>
      <c r="Q1007" s="121"/>
      <c r="R1007" s="121"/>
      <c r="S1007" s="121"/>
      <c r="T1007" s="121"/>
      <c r="U1007" s="121"/>
      <c r="V1007" s="121"/>
      <c r="W1007" s="121"/>
      <c r="X1007" s="121"/>
      <c r="Y1007" s="121"/>
      <c r="Z1007" s="121"/>
    </row>
    <row r="1008" spans="1:26" ht="12.75">
      <c r="A1008" s="121"/>
      <c r="B1008" s="121"/>
      <c r="C1008" s="121"/>
      <c r="D1008" s="121"/>
      <c r="E1008" s="121"/>
      <c r="F1008" s="121"/>
      <c r="G1008" s="121"/>
      <c r="H1008" s="121"/>
      <c r="I1008" s="121"/>
      <c r="J1008" s="121"/>
      <c r="K1008" s="121"/>
      <c r="L1008" s="121"/>
      <c r="M1008" s="121"/>
      <c r="N1008" s="121"/>
      <c r="O1008" s="121"/>
      <c r="P1008" s="121"/>
      <c r="Q1008" s="121"/>
      <c r="R1008" s="121"/>
      <c r="S1008" s="121"/>
      <c r="T1008" s="121"/>
      <c r="U1008" s="121"/>
      <c r="V1008" s="121"/>
      <c r="W1008" s="121"/>
      <c r="X1008" s="121"/>
      <c r="Y1008" s="121"/>
      <c r="Z1008" s="121"/>
    </row>
    <row r="1009" spans="1:26" ht="12.75">
      <c r="A1009" s="121"/>
      <c r="B1009" s="121"/>
      <c r="C1009" s="121"/>
      <c r="D1009" s="121"/>
      <c r="E1009" s="121"/>
      <c r="F1009" s="121"/>
      <c r="G1009" s="121"/>
      <c r="H1009" s="121"/>
      <c r="I1009" s="121"/>
      <c r="J1009" s="121"/>
      <c r="K1009" s="121"/>
      <c r="L1009" s="121"/>
      <c r="M1009" s="121"/>
      <c r="N1009" s="121"/>
      <c r="O1009" s="121"/>
      <c r="P1009" s="121"/>
      <c r="Q1009" s="121"/>
      <c r="R1009" s="121"/>
      <c r="S1009" s="121"/>
      <c r="T1009" s="121"/>
      <c r="U1009" s="121"/>
      <c r="V1009" s="121"/>
      <c r="W1009" s="121"/>
      <c r="X1009" s="121"/>
      <c r="Y1009" s="121"/>
      <c r="Z1009" s="121"/>
    </row>
    <row r="1010" spans="1:26" ht="12.75">
      <c r="A1010" s="121"/>
      <c r="B1010" s="121"/>
      <c r="C1010" s="121"/>
      <c r="D1010" s="121"/>
      <c r="E1010" s="121"/>
      <c r="F1010" s="121"/>
      <c r="G1010" s="121"/>
      <c r="H1010" s="121"/>
      <c r="I1010" s="121"/>
      <c r="J1010" s="121"/>
      <c r="K1010" s="121"/>
      <c r="L1010" s="121"/>
      <c r="M1010" s="121"/>
      <c r="N1010" s="121"/>
      <c r="O1010" s="121"/>
      <c r="P1010" s="121"/>
      <c r="Q1010" s="121"/>
      <c r="R1010" s="121"/>
      <c r="S1010" s="121"/>
      <c r="T1010" s="121"/>
      <c r="U1010" s="121"/>
      <c r="V1010" s="121"/>
      <c r="W1010" s="121"/>
      <c r="X1010" s="121"/>
      <c r="Y1010" s="121"/>
      <c r="Z1010" s="121"/>
    </row>
    <row r="1011" spans="1:26" ht="12.75">
      <c r="A1011" s="121"/>
      <c r="B1011" s="121"/>
      <c r="C1011" s="121"/>
      <c r="D1011" s="121"/>
      <c r="E1011" s="121"/>
      <c r="F1011" s="121"/>
      <c r="G1011" s="121"/>
      <c r="H1011" s="121"/>
      <c r="I1011" s="121"/>
      <c r="J1011" s="121"/>
      <c r="K1011" s="121"/>
      <c r="L1011" s="121"/>
      <c r="M1011" s="121"/>
      <c r="N1011" s="121"/>
      <c r="O1011" s="121"/>
      <c r="P1011" s="121"/>
      <c r="Q1011" s="121"/>
      <c r="R1011" s="121"/>
      <c r="S1011" s="121"/>
      <c r="T1011" s="121"/>
      <c r="U1011" s="121"/>
      <c r="V1011" s="121"/>
      <c r="W1011" s="121"/>
      <c r="X1011" s="121"/>
      <c r="Y1011" s="121"/>
      <c r="Z1011" s="121"/>
    </row>
    <row r="1012" spans="1:26" ht="12.75">
      <c r="A1012" s="121"/>
      <c r="B1012" s="121"/>
      <c r="C1012" s="121"/>
      <c r="D1012" s="121"/>
      <c r="E1012" s="121"/>
      <c r="F1012" s="121"/>
      <c r="G1012" s="121"/>
      <c r="H1012" s="121"/>
      <c r="I1012" s="121"/>
      <c r="J1012" s="121"/>
      <c r="K1012" s="121"/>
      <c r="L1012" s="121"/>
      <c r="M1012" s="121"/>
      <c r="N1012" s="121"/>
      <c r="O1012" s="121"/>
      <c r="P1012" s="121"/>
      <c r="Q1012" s="121"/>
      <c r="R1012" s="121"/>
      <c r="S1012" s="121"/>
      <c r="T1012" s="121"/>
      <c r="U1012" s="121"/>
      <c r="V1012" s="121"/>
      <c r="W1012" s="121"/>
      <c r="X1012" s="121"/>
      <c r="Y1012" s="121"/>
      <c r="Z1012" s="121"/>
    </row>
  </sheetData>
  <mergeCells count="19">
    <mergeCell ref="F163:G163"/>
    <mergeCell ref="D162:E162"/>
    <mergeCell ref="F161:G161"/>
    <mergeCell ref="D159:E159"/>
    <mergeCell ref="D160:E160"/>
    <mergeCell ref="D161:E161"/>
    <mergeCell ref="D163:E163"/>
    <mergeCell ref="F159:G159"/>
    <mergeCell ref="F160:G160"/>
    <mergeCell ref="B12:D12"/>
    <mergeCell ref="E12:G12"/>
    <mergeCell ref="H12:I12"/>
    <mergeCell ref="B161:C161"/>
    <mergeCell ref="F157:G157"/>
    <mergeCell ref="D158:E158"/>
    <mergeCell ref="A155:B155"/>
    <mergeCell ref="A153:B153"/>
    <mergeCell ref="D157:E157"/>
    <mergeCell ref="F158:G158"/>
  </mergeCells>
  <hyperlinks>
    <hyperlink ref="A16" r:id="rId1" xr:uid="{00000000-0004-0000-0C00-000000000000}"/>
    <hyperlink ref="A18" r:id="rId2" xr:uid="{00000000-0004-0000-0C00-000001000000}"/>
    <hyperlink ref="A19" r:id="rId3" xr:uid="{00000000-0004-0000-0C00-000002000000}"/>
    <hyperlink ref="A22" r:id="rId4" xr:uid="{00000000-0004-0000-0C00-000003000000}"/>
    <hyperlink ref="A23" r:id="rId5" xr:uid="{00000000-0004-0000-0C00-000004000000}"/>
    <hyperlink ref="A26" r:id="rId6" xr:uid="{00000000-0004-0000-0C00-000005000000}"/>
    <hyperlink ref="A27" r:id="rId7" xr:uid="{00000000-0004-0000-0C00-000006000000}"/>
    <hyperlink ref="A30" r:id="rId8" xr:uid="{00000000-0004-0000-0C00-000007000000}"/>
    <hyperlink ref="A31" r:id="rId9" xr:uid="{00000000-0004-0000-0C00-000008000000}"/>
    <hyperlink ref="A32" r:id="rId10" xr:uid="{00000000-0004-0000-0C00-000009000000}"/>
    <hyperlink ref="A33" r:id="rId11" xr:uid="{00000000-0004-0000-0C00-00000A000000}"/>
    <hyperlink ref="A38" r:id="rId12" xr:uid="{00000000-0004-0000-0C00-00000B000000}"/>
    <hyperlink ref="A39" r:id="rId13" xr:uid="{00000000-0004-0000-0C00-00000C000000}"/>
    <hyperlink ref="A40" r:id="rId14" xr:uid="{00000000-0004-0000-0C00-00000D000000}"/>
    <hyperlink ref="A44" r:id="rId15" xr:uid="{00000000-0004-0000-0C00-00000E000000}"/>
    <hyperlink ref="A45" r:id="rId16" xr:uid="{00000000-0004-0000-0C00-00000F000000}"/>
    <hyperlink ref="A47" r:id="rId17" xr:uid="{00000000-0004-0000-0C00-000010000000}"/>
    <hyperlink ref="A48" r:id="rId18" xr:uid="{00000000-0004-0000-0C00-000011000000}"/>
    <hyperlink ref="A49" r:id="rId19" xr:uid="{00000000-0004-0000-0C00-000012000000}"/>
    <hyperlink ref="A50" r:id="rId20" xr:uid="{00000000-0004-0000-0C00-000013000000}"/>
    <hyperlink ref="A53" r:id="rId21" xr:uid="{00000000-0004-0000-0C00-000014000000}"/>
    <hyperlink ref="A54" r:id="rId22" xr:uid="{00000000-0004-0000-0C00-000015000000}"/>
    <hyperlink ref="A55" r:id="rId23" xr:uid="{00000000-0004-0000-0C00-000016000000}"/>
    <hyperlink ref="A56" r:id="rId24" xr:uid="{00000000-0004-0000-0C00-000017000000}"/>
    <hyperlink ref="A57" r:id="rId25" xr:uid="{00000000-0004-0000-0C00-000018000000}"/>
    <hyperlink ref="A61" r:id="rId26" xr:uid="{00000000-0004-0000-0C00-000019000000}"/>
    <hyperlink ref="A65" r:id="rId27" xr:uid="{00000000-0004-0000-0C00-00001A000000}"/>
    <hyperlink ref="A66" r:id="rId28" xr:uid="{00000000-0004-0000-0C00-00001B000000}"/>
    <hyperlink ref="A67" r:id="rId29" xr:uid="{00000000-0004-0000-0C00-00001C000000}"/>
    <hyperlink ref="A68" r:id="rId30" xr:uid="{00000000-0004-0000-0C00-00001D000000}"/>
    <hyperlink ref="A69" r:id="rId31" xr:uid="{00000000-0004-0000-0C00-00001E000000}"/>
    <hyperlink ref="A70" r:id="rId32" xr:uid="{00000000-0004-0000-0C00-00001F000000}"/>
    <hyperlink ref="A71" r:id="rId33" xr:uid="{00000000-0004-0000-0C00-000020000000}"/>
    <hyperlink ref="A74" r:id="rId34" xr:uid="{00000000-0004-0000-0C00-000021000000}"/>
    <hyperlink ref="A75" r:id="rId35" xr:uid="{00000000-0004-0000-0C00-000022000000}"/>
    <hyperlink ref="A76" r:id="rId36" xr:uid="{00000000-0004-0000-0C00-000023000000}"/>
    <hyperlink ref="A77" r:id="rId37" xr:uid="{00000000-0004-0000-0C00-000024000000}"/>
    <hyperlink ref="A78" r:id="rId38" xr:uid="{00000000-0004-0000-0C00-000025000000}"/>
    <hyperlink ref="A79" r:id="rId39" xr:uid="{00000000-0004-0000-0C00-000026000000}"/>
    <hyperlink ref="A83" r:id="rId40" xr:uid="{00000000-0004-0000-0C00-000027000000}"/>
    <hyperlink ref="A84" r:id="rId41" xr:uid="{00000000-0004-0000-0C00-000028000000}"/>
    <hyperlink ref="A85" r:id="rId42" xr:uid="{00000000-0004-0000-0C00-000029000000}"/>
    <hyperlink ref="A86" r:id="rId43" xr:uid="{00000000-0004-0000-0C00-00002A000000}"/>
    <hyperlink ref="A88" r:id="rId44" xr:uid="{00000000-0004-0000-0C00-00002B000000}"/>
    <hyperlink ref="A90" r:id="rId45" xr:uid="{00000000-0004-0000-0C00-00002C000000}"/>
    <hyperlink ref="A92" r:id="rId46" xr:uid="{00000000-0004-0000-0C00-00002D000000}"/>
    <hyperlink ref="A93" r:id="rId47" xr:uid="{00000000-0004-0000-0C00-00002E000000}"/>
    <hyperlink ref="A94" r:id="rId48" xr:uid="{00000000-0004-0000-0C00-00002F000000}"/>
    <hyperlink ref="A98" r:id="rId49" xr:uid="{00000000-0004-0000-0C00-000030000000}"/>
    <hyperlink ref="A101" r:id="rId50" xr:uid="{00000000-0004-0000-0C00-000031000000}"/>
    <hyperlink ref="A102" r:id="rId51" xr:uid="{00000000-0004-0000-0C00-000032000000}"/>
    <hyperlink ref="A103" r:id="rId52" xr:uid="{00000000-0004-0000-0C00-000033000000}"/>
    <hyperlink ref="A106" r:id="rId53" xr:uid="{00000000-0004-0000-0C00-000034000000}"/>
    <hyperlink ref="A107" r:id="rId54" xr:uid="{00000000-0004-0000-0C00-000035000000}"/>
    <hyperlink ref="A113" r:id="rId55" xr:uid="{00000000-0004-0000-0C00-000036000000}"/>
    <hyperlink ref="A115" r:id="rId56" xr:uid="{00000000-0004-0000-0C00-000037000000}"/>
    <hyperlink ref="A117" r:id="rId57" xr:uid="{00000000-0004-0000-0C00-000038000000}"/>
    <hyperlink ref="A119" r:id="rId58" xr:uid="{00000000-0004-0000-0C00-000039000000}"/>
    <hyperlink ref="A120" r:id="rId59" xr:uid="{00000000-0004-0000-0C00-00003A000000}"/>
    <hyperlink ref="A121" r:id="rId60" xr:uid="{00000000-0004-0000-0C00-00003B000000}"/>
    <hyperlink ref="A124" r:id="rId61" xr:uid="{00000000-0004-0000-0C00-00003C000000}"/>
    <hyperlink ref="A125" r:id="rId62" xr:uid="{00000000-0004-0000-0C00-00003D000000}"/>
    <hyperlink ref="A126" r:id="rId63" xr:uid="{00000000-0004-0000-0C00-00003E000000}"/>
    <hyperlink ref="A128" r:id="rId64" xr:uid="{00000000-0004-0000-0C00-00003F000000}"/>
    <hyperlink ref="A129" r:id="rId65" xr:uid="{00000000-0004-0000-0C00-000040000000}"/>
    <hyperlink ref="A130" r:id="rId66" xr:uid="{00000000-0004-0000-0C00-000041000000}"/>
    <hyperlink ref="A132" r:id="rId67" xr:uid="{00000000-0004-0000-0C00-000042000000}"/>
    <hyperlink ref="A133" r:id="rId68" xr:uid="{00000000-0004-0000-0C00-000043000000}"/>
    <hyperlink ref="A134" r:id="rId69" xr:uid="{00000000-0004-0000-0C00-000044000000}"/>
    <hyperlink ref="A135" r:id="rId70" xr:uid="{00000000-0004-0000-0C00-000045000000}"/>
    <hyperlink ref="A137" r:id="rId71" xr:uid="{00000000-0004-0000-0C00-000046000000}"/>
    <hyperlink ref="A138" r:id="rId72" xr:uid="{00000000-0004-0000-0C00-000047000000}"/>
    <hyperlink ref="A139" r:id="rId73" xr:uid="{00000000-0004-0000-0C00-000048000000}"/>
    <hyperlink ref="A144" r:id="rId74" xr:uid="{00000000-0004-0000-0C00-000049000000}"/>
    <hyperlink ref="A145" r:id="rId75" xr:uid="{00000000-0004-0000-0C00-00004A000000}"/>
    <hyperlink ref="D153" r:id="rId76" display="Source" xr:uid="{BF4E11D4-4D8B-4265-BFD5-57250E6C648B}"/>
    <hyperlink ref="E153" r:id="rId77" display="Source 2" xr:uid="{D3A2883E-4945-479F-A382-1480C07465FA}"/>
    <hyperlink ref="D158" r:id="rId78" location=":~:text=A%20soft%2Dshell%20crab%20will,of%20its%20weight%20in%20meat." xr:uid="{07506E55-0968-4C6B-B78E-B83D3E8995BE}"/>
    <hyperlink ref="D163:E163" r:id="rId79" display="Averaged recovery percent from Table 8 of cited paper (p. 12) = 32.7%" xr:uid="{25FF7852-1456-42B5-8EE1-2B6272667507}"/>
    <hyperlink ref="F163" r:id="rId80" location=":~:text=The%20meat%20yield%20from%20snow,king%20crab%20and%20Dungeness%20crab." xr:uid="{A3C5EF91-919A-4E16-98FE-C8C2DB0952A1}"/>
    <hyperlink ref="D162" r:id="rId81" location=":~:text=The%20meat%20yield%20from%20snow,king%20crab%20and%20Dungeness%20crab." xr:uid="{B1F20239-C776-4B2E-8FF4-50884C986F0E}"/>
    <hyperlink ref="D161" r:id="rId82" xr:uid="{02454EF1-1841-461D-AFD0-ECFF5F633A69}"/>
    <hyperlink ref="F161" r:id="rId83" xr:uid="{4C0E72B3-D956-4A0D-9405-CB5954599BA8}"/>
    <hyperlink ref="D160:E160" r:id="rId84" display="&quot;An average blue crab weighs about 1/3 pound, but the edible portion is quite low. An experienced crab picker can produce about 2 1/4 ounces of meat from each pound of live blue crabs. This is about a 14 percent yield.&quot;" xr:uid="{B3671B6C-7B62-41B2-B3E4-EB26E43B6468}"/>
    <hyperlink ref="F159" r:id="rId85" location=":~:text=The%20meat%20yield%20from%20snow,king%20crab%20and%20Dungeness%20crab." xr:uid="{D62BB281-0B68-4D48-9353-CD71F31CEB78}"/>
    <hyperlink ref="D159:E159" r:id="rId86" display="&quot;Dungeness crabs should be larger in size compared to other types of crab--between 6 and 10 inches in length, which will yield you at least 25% of its body weight in meat&quot;" xr:uid="{166A972E-7CA2-4AD0-B990-A2F079CBC304}"/>
  </hyperlinks>
  <pageMargins left="0.7" right="0.7" top="0.75" bottom="0.75" header="0.3" footer="0.3"/>
  <pageSetup orientation="portrait" horizontalDpi="0" verticalDpi="0" r:id="rId87"/>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Q25"/>
  <sheetViews>
    <sheetView workbookViewId="0">
      <selection activeCell="G18" sqref="G18"/>
    </sheetView>
  </sheetViews>
  <sheetFormatPr defaultColWidth="14.42578125" defaultRowHeight="15" customHeight="1"/>
  <sheetData>
    <row r="1" spans="1:17" ht="15" customHeight="1">
      <c r="A1" s="8" t="s">
        <v>2534</v>
      </c>
      <c r="B1" s="129"/>
      <c r="C1" s="129"/>
      <c r="D1" s="129"/>
      <c r="E1" s="129"/>
      <c r="F1" s="129"/>
      <c r="G1" s="129"/>
      <c r="H1" s="129"/>
      <c r="I1" s="129"/>
      <c r="J1" s="129"/>
      <c r="K1" s="129"/>
      <c r="L1" s="3"/>
      <c r="M1" s="129"/>
      <c r="N1" s="129"/>
      <c r="O1" s="129"/>
      <c r="P1" s="129"/>
      <c r="Q1" s="3"/>
    </row>
    <row r="2" spans="1:17" ht="12.75">
      <c r="A2" s="4"/>
      <c r="B2" s="3"/>
      <c r="C2" s="3"/>
      <c r="D2" s="3"/>
      <c r="E2" s="3"/>
      <c r="F2" s="3"/>
      <c r="G2" s="3"/>
      <c r="H2" s="3"/>
      <c r="I2" s="3"/>
      <c r="J2" s="3"/>
      <c r="K2" s="3"/>
      <c r="L2" s="3"/>
      <c r="M2" s="3"/>
      <c r="N2" s="3"/>
      <c r="O2" s="3"/>
      <c r="P2" s="3"/>
      <c r="Q2" s="3"/>
    </row>
    <row r="3" spans="1:17" ht="12.75">
      <c r="A3" s="5" t="s">
        <v>2535</v>
      </c>
      <c r="B3" s="3"/>
      <c r="C3" s="3"/>
      <c r="D3" s="3"/>
      <c r="E3" s="3"/>
      <c r="F3" s="3"/>
      <c r="G3" s="3"/>
      <c r="H3" s="3"/>
      <c r="I3" s="3"/>
      <c r="J3" s="3"/>
      <c r="K3" s="3"/>
      <c r="L3" s="3"/>
      <c r="M3" s="3"/>
      <c r="N3" s="3"/>
      <c r="O3" s="3"/>
      <c r="P3" s="3"/>
      <c r="Q3" s="3"/>
    </row>
    <row r="4" spans="1:17" ht="12.75">
      <c r="A4" s="4"/>
      <c r="B4" s="3"/>
      <c r="C4" s="3"/>
      <c r="D4" s="3"/>
      <c r="E4" s="3"/>
      <c r="F4" s="3"/>
      <c r="G4" s="3"/>
      <c r="H4" s="3"/>
      <c r="I4" s="3"/>
      <c r="J4" s="3"/>
      <c r="K4" s="3"/>
      <c r="L4" s="3"/>
      <c r="M4" s="3"/>
      <c r="N4" s="3"/>
      <c r="O4" s="3"/>
      <c r="P4" s="3"/>
      <c r="Q4" s="3"/>
    </row>
    <row r="5" spans="1:17" ht="63.75">
      <c r="A5" s="4"/>
      <c r="B5" s="3" t="s">
        <v>2536</v>
      </c>
      <c r="C5" s="3" t="s">
        <v>2537</v>
      </c>
      <c r="D5" s="3" t="s">
        <v>2538</v>
      </c>
      <c r="E5" s="3" t="s">
        <v>2539</v>
      </c>
      <c r="F5" s="3" t="s">
        <v>2540</v>
      </c>
      <c r="G5" s="3" t="s">
        <v>2541</v>
      </c>
      <c r="H5" s="3" t="s">
        <v>2542</v>
      </c>
      <c r="I5" s="3" t="s">
        <v>2543</v>
      </c>
      <c r="J5" s="3" t="s">
        <v>2544</v>
      </c>
      <c r="K5" s="3" t="s">
        <v>2545</v>
      </c>
      <c r="L5" s="3" t="s">
        <v>2546</v>
      </c>
      <c r="M5" s="3" t="s">
        <v>65</v>
      </c>
      <c r="N5" s="3" t="s">
        <v>2547</v>
      </c>
      <c r="O5" s="3" t="s">
        <v>2548</v>
      </c>
      <c r="P5" s="3" t="s">
        <v>2549</v>
      </c>
      <c r="Q5" s="3" t="s">
        <v>2550</v>
      </c>
    </row>
    <row r="6" spans="1:17" ht="12.75">
      <c r="A6" s="4" t="s">
        <v>18</v>
      </c>
      <c r="B6" s="130">
        <f>'USDA food loss data'!C8</f>
        <v>81.2</v>
      </c>
      <c r="C6" s="83">
        <f>'USDA food loss data'!L8</f>
        <v>41.6</v>
      </c>
      <c r="D6" s="78">
        <f>'USDA food loss data'!O8</f>
        <v>0.51200000000000001</v>
      </c>
      <c r="E6" s="84">
        <f>'Overall estimates'!B5</f>
        <v>370.4</v>
      </c>
      <c r="F6" s="84">
        <f t="shared" ref="F6:F13" si="0">E6*D6</f>
        <v>189.6448</v>
      </c>
      <c r="G6" s="131">
        <f t="shared" ref="G6:G13" si="1">(C6/2.205)/F6</f>
        <v>9.9481837371377627E-2</v>
      </c>
      <c r="H6" s="132">
        <f t="shared" ref="H6:H13" si="2">G6*325000000/365</f>
        <v>88579.718207391037</v>
      </c>
      <c r="I6" s="78">
        <f t="array" ref="I6:I8">TRANSPOSE('Overall estimates'!B15:D15)</f>
        <v>1</v>
      </c>
      <c r="J6" s="132">
        <f t="shared" ref="J6:J13" si="3">H6*I6</f>
        <v>88579.718207391037</v>
      </c>
      <c r="K6" s="132">
        <v>34696.280969541498</v>
      </c>
      <c r="L6" s="133">
        <f t="shared" ref="L6:L14" si="4">J6/K6</f>
        <v>2.5530032537248499</v>
      </c>
      <c r="M6" s="134">
        <f t="array" ref="M6:M8">TRANSPOSE('Overall estimates'!B7:D7)</f>
        <v>1098</v>
      </c>
      <c r="N6" s="132">
        <f t="shared" ref="N6:O6" si="5">M6*H6</f>
        <v>97260530.591715366</v>
      </c>
      <c r="O6" s="132">
        <f t="shared" si="5"/>
        <v>97260530.591715366</v>
      </c>
      <c r="P6" s="132">
        <v>38096516.497565798</v>
      </c>
      <c r="Q6" s="133">
        <f t="shared" ref="Q6:Q14" si="6">O6/P6</f>
        <v>2.5530032541933299</v>
      </c>
    </row>
    <row r="7" spans="1:17" ht="12.75">
      <c r="A7" s="4" t="s">
        <v>21</v>
      </c>
      <c r="B7" s="130">
        <f>'USDA food loss data'!C9</f>
        <v>106.4</v>
      </c>
      <c r="C7" s="83">
        <f>'USDA food loss data'!L9</f>
        <v>52.3</v>
      </c>
      <c r="D7" s="78">
        <f>'USDA food loss data'!O9</f>
        <v>0.49099999999999999</v>
      </c>
      <c r="E7" s="84">
        <f>'Overall estimates'!C5</f>
        <v>2.1923000000000004</v>
      </c>
      <c r="F7" s="84">
        <f t="shared" si="0"/>
        <v>1.0764193000000002</v>
      </c>
      <c r="G7" s="131">
        <f t="shared" si="1"/>
        <v>22.034927153088017</v>
      </c>
      <c r="H7" s="132">
        <f t="shared" si="2"/>
        <v>19620140.615763303</v>
      </c>
      <c r="I7" s="78">
        <v>1</v>
      </c>
      <c r="J7" s="132">
        <f t="shared" si="3"/>
        <v>19620140.615763303</v>
      </c>
      <c r="K7" s="132">
        <v>9440492.7722338699</v>
      </c>
      <c r="L7" s="133">
        <f t="shared" si="4"/>
        <v>2.0782962382503536</v>
      </c>
      <c r="M7" s="134">
        <v>49</v>
      </c>
      <c r="N7" s="132">
        <f t="shared" ref="N7:O7" si="7">M7*H7</f>
        <v>961386890.17240179</v>
      </c>
      <c r="O7" s="132">
        <f t="shared" si="7"/>
        <v>961386890.17240179</v>
      </c>
      <c r="P7" s="132">
        <v>462584145.83946002</v>
      </c>
      <c r="Q7" s="133">
        <f t="shared" si="6"/>
        <v>2.0782962382503518</v>
      </c>
    </row>
    <row r="8" spans="1:17" ht="12.75">
      <c r="A8" s="4" t="s">
        <v>23</v>
      </c>
      <c r="B8" s="130">
        <f>'USDA food loss data'!C10</f>
        <v>236.3</v>
      </c>
      <c r="C8" s="83">
        <f>'USDA food loss data'!L10</f>
        <v>159.6</v>
      </c>
      <c r="D8" s="78">
        <f>'USDA food loss data'!O10</f>
        <v>0.67500000000000004</v>
      </c>
      <c r="E8" s="84">
        <f>'Overall estimates'!D5*'Overall estimates'!D6</f>
        <v>32512.800000000003</v>
      </c>
      <c r="F8" s="84">
        <f t="shared" si="0"/>
        <v>21946.140000000003</v>
      </c>
      <c r="G8" s="131">
        <f t="shared" si="1"/>
        <v>3.2981176817860622E-3</v>
      </c>
      <c r="H8" s="132">
        <f t="shared" si="2"/>
        <v>2936.6801276177262</v>
      </c>
      <c r="I8" s="78">
        <v>1</v>
      </c>
      <c r="J8" s="132">
        <f t="shared" si="3"/>
        <v>2936.6801276177262</v>
      </c>
      <c r="K8" s="132">
        <v>1747.5999208532</v>
      </c>
      <c r="L8" s="133">
        <f t="shared" si="4"/>
        <v>1.6804075650129364</v>
      </c>
      <c r="M8" s="134">
        <v>2007.5</v>
      </c>
      <c r="N8" s="132">
        <f t="shared" ref="N8:O8" si="8">M8*H8</f>
        <v>5895385.3561925851</v>
      </c>
      <c r="O8" s="132">
        <f t="shared" si="8"/>
        <v>5895385.3561925851</v>
      </c>
      <c r="P8" s="132">
        <v>3508306.84111284</v>
      </c>
      <c r="Q8" s="133">
        <f t="shared" si="6"/>
        <v>1.6804075650129167</v>
      </c>
    </row>
    <row r="9" spans="1:17" ht="12.75">
      <c r="A9" s="4" t="s">
        <v>25</v>
      </c>
      <c r="B9" s="130">
        <f>'USDA food loss data'!C11</f>
        <v>64.099999999999994</v>
      </c>
      <c r="C9" s="83">
        <f>'USDA food loss data'!L11</f>
        <v>31.7</v>
      </c>
      <c r="D9" s="78">
        <f>'USDA food loss data'!O11</f>
        <v>0.495</v>
      </c>
      <c r="E9" s="84">
        <f>'Overall estimates'!I5</f>
        <v>97.6</v>
      </c>
      <c r="F9" s="84">
        <f t="shared" si="0"/>
        <v>48.311999999999998</v>
      </c>
      <c r="G9" s="131">
        <f t="shared" si="1"/>
        <v>0.29757445838632413</v>
      </c>
      <c r="H9" s="132">
        <f t="shared" si="2"/>
        <v>264963.55883713794</v>
      </c>
      <c r="I9" s="78">
        <f t="array" ref="I9:I11">TRANSPOSE('Overall estimates'!I15:K15)</f>
        <v>1</v>
      </c>
      <c r="J9" s="132">
        <f t="shared" si="3"/>
        <v>264963.55883713794</v>
      </c>
      <c r="K9" s="132">
        <v>81380.3245481536</v>
      </c>
      <c r="L9" s="133">
        <f t="shared" si="4"/>
        <v>3.2558675614565313</v>
      </c>
      <c r="M9" s="134">
        <f t="array" ref="M9:M11">TRANSPOSE('Overall estimates'!I7:K7)</f>
        <v>168</v>
      </c>
      <c r="N9" s="132">
        <f t="shared" ref="N9:O9" si="9">M9*H9</f>
        <v>44513877.884639174</v>
      </c>
      <c r="O9" s="132">
        <f t="shared" si="9"/>
        <v>44513877.884639174</v>
      </c>
      <c r="P9" s="132">
        <v>13671894.5240898</v>
      </c>
      <c r="Q9" s="133">
        <f t="shared" si="6"/>
        <v>3.2558675614565322</v>
      </c>
    </row>
    <row r="10" spans="1:17" ht="12.75">
      <c r="A10" s="4" t="s">
        <v>27</v>
      </c>
      <c r="B10" s="130">
        <f>'USDA food loss data'!C12</f>
        <v>36.200000000000003</v>
      </c>
      <c r="C10" s="83">
        <f>'USDA food loss data'!L12</f>
        <v>22</v>
      </c>
      <c r="D10" s="78">
        <f>'USDA food loss data'!O12</f>
        <v>0.60699999999999998</v>
      </c>
      <c r="E10" s="84">
        <f>'Overall estimates'!J5</f>
        <v>16.927599999999998</v>
      </c>
      <c r="F10" s="84">
        <f t="shared" si="0"/>
        <v>10.275053199999999</v>
      </c>
      <c r="G10" s="131">
        <f t="shared" si="1"/>
        <v>0.97102409776706067</v>
      </c>
      <c r="H10" s="132">
        <f t="shared" si="2"/>
        <v>864610.49801176635</v>
      </c>
      <c r="I10" s="78">
        <v>1</v>
      </c>
      <c r="J10" s="132">
        <f t="shared" si="3"/>
        <v>864610.49801176635</v>
      </c>
      <c r="K10" s="132">
        <v>619134.01029490202</v>
      </c>
      <c r="L10" s="133">
        <f t="shared" si="4"/>
        <v>1.3964836103898419</v>
      </c>
      <c r="M10" s="134">
        <v>504</v>
      </c>
      <c r="N10" s="132">
        <f t="shared" ref="N10:O10" si="10">M10*H10</f>
        <v>435763690.99793023</v>
      </c>
      <c r="O10" s="132">
        <f t="shared" si="10"/>
        <v>435763690.99793023</v>
      </c>
      <c r="P10" s="132">
        <v>312043541.18862998</v>
      </c>
      <c r="Q10" s="133">
        <f t="shared" si="6"/>
        <v>1.3964836103898448</v>
      </c>
    </row>
    <row r="11" spans="1:17" ht="12.75">
      <c r="A11" s="4" t="s">
        <v>29</v>
      </c>
      <c r="B11" s="130">
        <f>'USDA food loss data'!C13</f>
        <v>16.399999999999999</v>
      </c>
      <c r="C11" s="83">
        <f>'USDA food loss data'!L13</f>
        <v>8.1</v>
      </c>
      <c r="D11" s="78">
        <f>'USDA food loss data'!O13</f>
        <v>0.496</v>
      </c>
      <c r="E11" s="84">
        <f>'Overall estimates'!K5</f>
        <v>11.692299999999999</v>
      </c>
      <c r="F11" s="84">
        <f t="shared" si="0"/>
        <v>5.7993807999999998</v>
      </c>
      <c r="G11" s="131">
        <f t="shared" si="1"/>
        <v>0.63342441450906306</v>
      </c>
      <c r="H11" s="132">
        <f t="shared" si="2"/>
        <v>564008.04031628906</v>
      </c>
      <c r="I11" s="78">
        <v>1</v>
      </c>
      <c r="J11" s="132">
        <f t="shared" si="3"/>
        <v>564008.04031628906</v>
      </c>
      <c r="K11" s="132">
        <v>320720.39929827</v>
      </c>
      <c r="L11" s="133">
        <f t="shared" si="4"/>
        <v>1.758566157782067</v>
      </c>
      <c r="M11" s="134">
        <v>137.25</v>
      </c>
      <c r="N11" s="132">
        <f t="shared" ref="N11:O11" si="11">M11*H11</f>
        <v>77410103.533410668</v>
      </c>
      <c r="O11" s="132">
        <f t="shared" si="11"/>
        <v>77410103.533410668</v>
      </c>
      <c r="P11" s="132">
        <v>44018874.803687602</v>
      </c>
      <c r="Q11" s="133">
        <f t="shared" si="6"/>
        <v>1.7585661577820653</v>
      </c>
    </row>
    <row r="12" spans="1:17" ht="12.75">
      <c r="A12" s="4" t="s">
        <v>32</v>
      </c>
      <c r="B12" s="83">
        <f>16-B13</f>
        <v>9.6999999999999993</v>
      </c>
      <c r="C12" s="83">
        <f>3.4+0.2+0.2+1.6+0.4+0.3</f>
        <v>6.1000000000000005</v>
      </c>
      <c r="D12" s="78">
        <f>'Fish and shellfish edible p'!B5*'USDA food loss data'!O14</f>
        <v>0.30567012987012993</v>
      </c>
      <c r="E12" s="84">
        <f t="array" ref="E12:E13">TRANSPOSE('Overall estimates'!B23:C23)</f>
        <v>5.4372858933454848</v>
      </c>
      <c r="F12" s="84">
        <f t="shared" si="0"/>
        <v>1.6620158851599398</v>
      </c>
      <c r="G12" s="131">
        <f t="shared" si="1"/>
        <v>1.6645087053610388</v>
      </c>
      <c r="H12" s="132">
        <f t="shared" si="2"/>
        <v>1482096.7924447604</v>
      </c>
      <c r="I12" s="78">
        <f t="array" ref="I12:I13">TRANSPOSE('Overall estimates'!B31:C31)</f>
        <v>1</v>
      </c>
      <c r="J12" s="132">
        <f t="shared" si="3"/>
        <v>1482096.7924447604</v>
      </c>
      <c r="K12" s="132">
        <v>1486798.2416282</v>
      </c>
      <c r="L12" s="133">
        <f t="shared" si="4"/>
        <v>0.99683787009440428</v>
      </c>
      <c r="M12" s="135">
        <f t="array" ref="M12:M13">TRANSPOSE('Overall estimates'!B24:C24)</f>
        <v>326.12154360376775</v>
      </c>
      <c r="N12" s="132">
        <f t="shared" ref="N12:O12" si="12">M12*H12</f>
        <v>483343693.72227824</v>
      </c>
      <c r="O12" s="132">
        <f t="shared" si="12"/>
        <v>483343693.72227824</v>
      </c>
      <c r="P12" s="132">
        <v>369775502.63301301</v>
      </c>
      <c r="Q12" s="133">
        <f t="shared" si="6"/>
        <v>1.3071274064414617</v>
      </c>
    </row>
    <row r="13" spans="1:17" ht="12.75">
      <c r="A13" s="4" t="s">
        <v>50</v>
      </c>
      <c r="B13" s="83">
        <f>5.8+0.5</f>
        <v>6.3</v>
      </c>
      <c r="C13" s="83">
        <f>3.2+0.4</f>
        <v>3.6</v>
      </c>
      <c r="D13" s="78">
        <f>'Fish and shellfish edible p'!B6*'USDA food loss data'!O15</f>
        <v>0.21294200000000002</v>
      </c>
      <c r="E13" s="84">
        <v>0.02</v>
      </c>
      <c r="F13" s="84">
        <f t="shared" si="0"/>
        <v>4.2588400000000007E-3</v>
      </c>
      <c r="G13" s="131">
        <f t="shared" si="1"/>
        <v>383.35628040135094</v>
      </c>
      <c r="H13" s="132">
        <f t="shared" si="2"/>
        <v>341344633.2340796</v>
      </c>
      <c r="I13" s="78">
        <v>1</v>
      </c>
      <c r="J13" s="132">
        <f t="shared" si="3"/>
        <v>341344633.2340796</v>
      </c>
      <c r="K13" s="132">
        <v>24680453.8597317</v>
      </c>
      <c r="L13" s="133">
        <f t="shared" si="4"/>
        <v>13.830565482064046</v>
      </c>
      <c r="M13" s="135">
        <v>149.83750000000001</v>
      </c>
      <c r="N13" s="132">
        <f t="shared" ref="N13:O13" si="13">M13*H13</f>
        <v>51146226482.211403</v>
      </c>
      <c r="O13" s="132">
        <f t="shared" si="13"/>
        <v>51146226482.211403</v>
      </c>
      <c r="P13" s="132">
        <v>3324980148.4300399</v>
      </c>
      <c r="Q13" s="133">
        <f t="shared" si="6"/>
        <v>15.382415593176152</v>
      </c>
    </row>
    <row r="14" spans="1:17" ht="12.75">
      <c r="A14" s="4" t="s">
        <v>2551</v>
      </c>
      <c r="B14" s="83">
        <f t="shared" ref="B14:C14" si="14">SUM(B6:B13)</f>
        <v>556.6</v>
      </c>
      <c r="C14" s="83">
        <f t="shared" si="14"/>
        <v>325.00000000000006</v>
      </c>
      <c r="D14" s="83" t="s">
        <v>178</v>
      </c>
      <c r="E14" s="83" t="s">
        <v>178</v>
      </c>
      <c r="F14" s="83" t="s">
        <v>178</v>
      </c>
      <c r="G14" s="131">
        <f t="shared" ref="G14:H14" si="15">SUM(G6:G13)</f>
        <v>409.0605191855156</v>
      </c>
      <c r="H14" s="132">
        <f t="shared" si="15"/>
        <v>364231969.13778788</v>
      </c>
      <c r="I14" s="83" t="s">
        <v>178</v>
      </c>
      <c r="J14" s="132">
        <f t="shared" ref="J14:K14" si="16">SUM(J6:J13)</f>
        <v>364231969.13778788</v>
      </c>
      <c r="K14" s="132">
        <f t="shared" si="16"/>
        <v>36665423.488625489</v>
      </c>
      <c r="L14" s="133">
        <f t="shared" si="4"/>
        <v>9.9339359669684857</v>
      </c>
      <c r="M14" s="83" t="s">
        <v>178</v>
      </c>
      <c r="N14" s="132">
        <f t="shared" ref="N14:P14" si="17">SUM(N6:N13)</f>
        <v>53251800654.469971</v>
      </c>
      <c r="O14" s="132">
        <f t="shared" si="17"/>
        <v>53251800654.469971</v>
      </c>
      <c r="P14" s="7">
        <f t="shared" si="17"/>
        <v>4568678930.7575989</v>
      </c>
      <c r="Q14" s="133">
        <f t="shared" si="6"/>
        <v>11.655842194548681</v>
      </c>
    </row>
    <row r="16" spans="1:17" ht="12.75">
      <c r="A16" s="4"/>
      <c r="E16" s="136"/>
      <c r="F16" s="136"/>
      <c r="G16" s="136"/>
      <c r="J16" s="7"/>
    </row>
    <row r="17" spans="1:10" ht="12.75">
      <c r="A17" s="4"/>
      <c r="E17" s="136"/>
      <c r="F17" s="137"/>
      <c r="G17" s="137"/>
      <c r="J17" s="7"/>
    </row>
    <row r="18" spans="1:10" ht="12.75">
      <c r="A18" s="4"/>
      <c r="E18" s="136"/>
      <c r="F18" s="137"/>
      <c r="G18" s="137"/>
      <c r="J18" s="7"/>
    </row>
    <row r="19" spans="1:10" ht="12.75">
      <c r="A19" s="4"/>
      <c r="E19" s="136"/>
      <c r="F19" s="137"/>
      <c r="G19" s="137"/>
      <c r="J19" s="7"/>
    </row>
    <row r="20" spans="1:10" ht="12.75">
      <c r="A20" s="4"/>
      <c r="E20" s="136"/>
      <c r="F20" s="137"/>
      <c r="G20" s="137"/>
      <c r="J20" s="7"/>
    </row>
    <row r="21" spans="1:10" ht="12.75">
      <c r="A21" s="4"/>
      <c r="E21" s="136"/>
      <c r="F21" s="137"/>
      <c r="G21" s="137"/>
      <c r="J21" s="7"/>
    </row>
    <row r="22" spans="1:10" ht="12.75">
      <c r="A22" s="4"/>
      <c r="E22" s="136"/>
      <c r="F22" s="137"/>
      <c r="G22" s="137"/>
      <c r="J22" s="7"/>
    </row>
    <row r="23" spans="1:10" ht="12.75">
      <c r="A23" s="4"/>
      <c r="E23" s="136"/>
      <c r="F23" s="137"/>
      <c r="G23" s="137"/>
      <c r="J23" s="7"/>
    </row>
    <row r="24" spans="1:10" ht="12.75">
      <c r="A24" s="4"/>
      <c r="E24" s="136"/>
      <c r="F24" s="137"/>
      <c r="G24" s="137"/>
      <c r="J24" s="7"/>
    </row>
    <row r="25" spans="1:10" ht="12.75">
      <c r="E25" s="136"/>
      <c r="F25" s="137"/>
      <c r="G25" s="13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Overview of workbook</vt:lpstr>
      <vt:lpstr>Summary</vt:lpstr>
      <vt:lpstr>Overall estimates</vt:lpstr>
      <vt:lpstr>Milk loss proportion</vt:lpstr>
      <vt:lpstr>Male offspring</vt:lpstr>
      <vt:lpstr>Fish and shellfish calculations</vt:lpstr>
      <vt:lpstr>Feed fish</vt:lpstr>
      <vt:lpstr>Elasticities</vt:lpstr>
      <vt:lpstr>Mortality</vt:lpstr>
      <vt:lpstr>FAO livestock data U.S.</vt:lpstr>
      <vt:lpstr>Fishcount fish weights</vt:lpstr>
      <vt:lpstr>Shellfish weights</vt:lpstr>
      <vt:lpstr>USDA food loss data</vt:lpstr>
      <vt:lpstr>Welf Footpt Data</vt:lpstr>
      <vt:lpstr>Fish and shellfish edible p</vt:lpstr>
      <vt:lpstr>USDA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c:creator>
  <cp:lastModifiedBy>Soemano Zeijlmans</cp:lastModifiedBy>
  <dcterms:created xsi:type="dcterms:W3CDTF">2022-12-20T15:49:41Z</dcterms:created>
  <dcterms:modified xsi:type="dcterms:W3CDTF">2024-04-24T22:51:48Z</dcterms:modified>
</cp:coreProperties>
</file>