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joranias\Documents\GitHub\DMI_IBNP\ARM Results\Scenario 1\"/>
    </mc:Choice>
  </mc:AlternateContent>
  <xr:revisionPtr revIDLastSave="0" documentId="13_ncr:1_{935A445C-584D-4707-A14B-31B2754F30B2}" xr6:coauthVersionLast="47" xr6:coauthVersionMax="47" xr10:uidLastSave="{00000000-0000-0000-0000-000000000000}"/>
  <bookViews>
    <workbookView xWindow="28680" yWindow="-120" windowWidth="29040" windowHeight="15840" xr2:uid="{9B94C235-4B85-4887-832D-FBC296CFB081}"/>
  </bookViews>
  <sheets>
    <sheet name="Summary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</externalReference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" i="1" l="1"/>
  <c r="G16" i="1" l="1"/>
  <c r="C16" i="1"/>
  <c r="G15" i="1"/>
  <c r="C15" i="1"/>
  <c r="D15" i="1" s="1"/>
  <c r="C14" i="1"/>
  <c r="D14" i="1" s="1"/>
  <c r="E14" i="1" s="1"/>
  <c r="H14" i="1" s="1"/>
  <c r="G13" i="1"/>
  <c r="C13" i="1"/>
  <c r="E12" i="1"/>
  <c r="D12" i="1"/>
  <c r="E11" i="1"/>
  <c r="D11" i="1"/>
  <c r="G10" i="1"/>
  <c r="C10" i="1"/>
  <c r="G9" i="1"/>
  <c r="C9" i="1"/>
  <c r="G8" i="1"/>
  <c r="C8" i="1"/>
  <c r="G7" i="1"/>
  <c r="C7" i="1"/>
  <c r="G6" i="1"/>
  <c r="C6" i="1"/>
  <c r="G5" i="1"/>
  <c r="C5" i="1"/>
  <c r="G4" i="1"/>
  <c r="C4" i="1"/>
  <c r="G3" i="1"/>
  <c r="C3" i="1"/>
  <c r="G2" i="1"/>
  <c r="C2" i="1"/>
  <c r="E15" i="1" l="1"/>
  <c r="G18" i="1"/>
  <c r="H15" i="1"/>
  <c r="I15" i="1" l="1"/>
  <c r="B7" i="1" l="1"/>
  <c r="B6" i="1"/>
  <c r="B4" i="1"/>
  <c r="B2" i="1"/>
  <c r="B10" i="1" l="1"/>
  <c r="D10" i="1" s="1"/>
  <c r="E10" i="1" s="1"/>
  <c r="H10" i="1" s="1"/>
  <c r="I10" i="1" s="1"/>
  <c r="B13" i="1"/>
  <c r="D13" i="1" s="1"/>
  <c r="E13" i="1" s="1"/>
  <c r="H13" i="1" s="1"/>
  <c r="I13" i="1" s="1"/>
  <c r="B9" i="1"/>
  <c r="D9" i="1" s="1"/>
  <c r="E9" i="1" s="1"/>
  <c r="H9" i="1" s="1"/>
  <c r="I9" i="1" s="1"/>
  <c r="B8" i="1"/>
  <c r="D8" i="1" s="1"/>
  <c r="E8" i="1" s="1"/>
  <c r="H8" i="1" s="1"/>
  <c r="I8" i="1" s="1"/>
  <c r="B5" i="1"/>
  <c r="D5" i="1" s="1"/>
  <c r="E5" i="1" s="1"/>
  <c r="H5" i="1" s="1"/>
  <c r="I5" i="1" s="1"/>
  <c r="B3" i="1"/>
  <c r="D3" i="1" s="1"/>
  <c r="E3" i="1" s="1"/>
  <c r="H3" i="1" s="1"/>
  <c r="I3" i="1" s="1"/>
  <c r="B16" i="1"/>
  <c r="D16" i="1" s="1"/>
  <c r="E16" i="1" s="1"/>
  <c r="H16" i="1" s="1"/>
  <c r="I16" i="1" s="1"/>
  <c r="D7" i="1"/>
  <c r="E7" i="1" s="1"/>
  <c r="H7" i="1" s="1"/>
  <c r="I7" i="1" s="1"/>
  <c r="D6" i="1"/>
  <c r="E6" i="1" s="1"/>
  <c r="H6" i="1" s="1"/>
  <c r="I6" i="1" s="1"/>
  <c r="D4" i="1"/>
  <c r="E4" i="1" s="1"/>
  <c r="H4" i="1" s="1"/>
  <c r="I4" i="1" s="1"/>
  <c r="B18" i="1"/>
  <c r="D2" i="1"/>
  <c r="E2" i="1" l="1"/>
  <c r="D18" i="1"/>
  <c r="H2" i="1" l="1"/>
  <c r="E18" i="1"/>
  <c r="I2" i="1" l="1"/>
  <c r="H18" i="1"/>
  <c r="I18" i="1" s="1"/>
</calcChain>
</file>

<file path=xl/sharedStrings.xml><?xml version="1.0" encoding="utf-8"?>
<sst xmlns="http://schemas.openxmlformats.org/spreadsheetml/2006/main" count="68" uniqueCount="49">
  <si>
    <t>Company_Code</t>
  </si>
  <si>
    <t>Claim Liability</t>
  </si>
  <si>
    <t>LAE Percentage</t>
  </si>
  <si>
    <t>LAE Liability</t>
  </si>
  <si>
    <t>Claim_Liability_Total</t>
  </si>
  <si>
    <t>From Unified Files</t>
  </si>
  <si>
    <t>ASL</t>
  </si>
  <si>
    <t>AMH</t>
  </si>
  <si>
    <t>GTL</t>
  </si>
  <si>
    <t>NFL</t>
  </si>
  <si>
    <t>NSL</t>
  </si>
  <si>
    <t>PEN</t>
  </si>
  <si>
    <t>PHS</t>
  </si>
  <si>
    <t>PRT</t>
  </si>
  <si>
    <t>USH</t>
  </si>
  <si>
    <t>Total</t>
  </si>
  <si>
    <t>GBR</t>
  </si>
  <si>
    <t>XCH</t>
  </si>
  <si>
    <t>SLI</t>
  </si>
  <si>
    <t>ULI</t>
  </si>
  <si>
    <t>PLICA-NonMS</t>
  </si>
  <si>
    <t>PLICA-MS</t>
  </si>
  <si>
    <t>Pattern Selection</t>
  </si>
  <si>
    <t>Difference</t>
  </si>
  <si>
    <t>Difference %</t>
  </si>
  <si>
    <t>Comment</t>
  </si>
  <si>
    <t>NA</t>
  </si>
  <si>
    <t>Threshold</t>
  </si>
  <si>
    <t>We are removing all 10k+ claims. Unified is only removing some</t>
  </si>
  <si>
    <t>No Exclusions</t>
  </si>
  <si>
    <t>Patterns calculation difference.</t>
  </si>
  <si>
    <t>Difference in payments of 24k from Excel file to SQL database not related to LOB 51 or outliers. Also 10 k difference in premiums</t>
  </si>
  <si>
    <t>Patterns calculation difference. There seems to be missing premiums in the SQL database for valuation 04.2022, 05.2022 and 06.2022. These differences don't affect results</t>
  </si>
  <si>
    <t>Unified is not excludng LOB 51 for newer periods and LOB 51 premiums</t>
  </si>
  <si>
    <t>129k difference in paid and 1M difference in premiums.I can't track the reason since original file inputs are harcoded.</t>
  </si>
  <si>
    <t>Differences y paid because we are excluding claims over 30k they are mannually adjusting ultimate for 2 LL. Also some smal allocation between MS and NMS differences.</t>
  </si>
  <si>
    <t>Unified is selected IEL Method for 5 months instead of 3</t>
  </si>
  <si>
    <t>Patterns calculation difference. Small premium difference. Unified put hardcoded patterns</t>
  </si>
  <si>
    <t>Average Volume12 &amp; Volume6</t>
  </si>
  <si>
    <t>Average Volume3 &amp; Volume6</t>
  </si>
  <si>
    <t>Volume12MS and Avergae 3, 6 and 12 NMS</t>
  </si>
  <si>
    <t>Different patterns very similar. Selections goes in the middle. Seems reasonable</t>
  </si>
  <si>
    <t>Volume 12 is slower than volume 6 and 3. I'd select average of VW 6 and 12. Won't impact results.</t>
  </si>
  <si>
    <t>Pattern Selection Comments</t>
  </si>
  <si>
    <t>Volume 3 much faster that Volume 6 and 12. Could add weight to Volume 3 in the average.</t>
  </si>
  <si>
    <t>Volume 12 is slower that Volume 6 and 3. Could add weight to Volume 12 in the average.</t>
  </si>
  <si>
    <t>Could selected Volume 6 that is in the middle of Volume 3 and 12. Volume 12 is slower.</t>
  </si>
  <si>
    <t>Triangles is really incomplete. I'd use Volume 12 that is the one with more information but, ideally I'd combined this block with other one for patterns calculation.</t>
  </si>
  <si>
    <t>Triangles are very volitle since ther are not really complete. Selections look reasonable. Combined triangle (MS+NMS) look muich completed and stable. I'd project on a combined basis with a lower threshold. With 30k the total is 90k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</si>
</sst>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9"/>
      <color theme="1"/>
      <name val="Arial Narrow"/>
      <family val="2"/>
    </font>
    <font>
      <sz val="9"/>
      <color theme="1"/>
      <name val="Arial Narrow"/>
      <family val="2"/>
    </font>
    <font>
      <sz val="9"/>
      <color rgb="FFFF0000"/>
      <name val="Arial Narrow"/>
      <family val="2"/>
    </font>
    <font>
      <b/>
      <sz val="9"/>
      <color theme="1"/>
      <name val="Arial Narrow"/>
      <family val="2"/>
    </font>
    <font>
      <b/>
      <sz val="9"/>
      <color theme="0"/>
      <name val="Aptos Narrow"/>
      <family val="2"/>
    </font>
    <font>
      <sz val="9"/>
      <color theme="3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4">
    <xf numFmtId="0" fontId="0" fillId="0" borderId="0" xfId="0"/>
    <xf numFmtId="0" fontId="4" fillId="2" borderId="1" xfId="0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10" fontId="0" fillId="0" borderId="0" xfId="0" applyNumberFormat="1"/>
    <xf numFmtId="10" fontId="5" fillId="0" borderId="0" xfId="0" applyNumberFormat="1" applyFont="1"/>
    <xf numFmtId="10" fontId="2" fillId="0" borderId="0" xfId="1" applyNumberFormat="1" applyFont="1"/>
    <xf numFmtId="0" fontId="3" fillId="0" borderId="0" xfId="0" applyFont="1"/>
    <xf numFmtId="164" fontId="3" fillId="0" borderId="0" xfId="0" applyNumberFormat="1" applyFont="1"/>
    <xf numFmtId="0" fontId="0" fillId="3" borderId="0" xfId="0" applyFill="1"/>
    <xf numFmtId="164" fontId="0" fillId="0" borderId="0" xfId="2" applyNumberFormat="1" applyFont="1"/>
    <xf numFmtId="164" fontId="0" fillId="0" borderId="0" xfId="0" applyNumberFormat="1"/>
    <xf numFmtId="9" fontId="0" fillId="0" borderId="0" xfId="1" applyFont="1"/>
    <xf numFmtId="9" fontId="0" fillId="0" borderId="0" xfId="1" applyFont="1" applyAlignment="1">
      <alignment wrapText="1"/>
    </xf>
    <xf numFmtId="0" fontId="0" fillId="0" borderId="0" xfId="0" applyAlignment="1">
      <alignment wrapText="1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26" Type="http://schemas.openxmlformats.org/officeDocument/2006/relationships/externalLink" Target="externalLinks/externalLink25.xml"/><Relationship Id="rId3" Type="http://schemas.openxmlformats.org/officeDocument/2006/relationships/externalLink" Target="externalLinks/externalLink2.xml"/><Relationship Id="rId21" Type="http://schemas.openxmlformats.org/officeDocument/2006/relationships/externalLink" Target="externalLinks/externalLink20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externalLink" Target="externalLinks/externalLink24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externalLink" Target="externalLinks/externalLink19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24" Type="http://schemas.openxmlformats.org/officeDocument/2006/relationships/externalLink" Target="externalLinks/externalLink23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styles" Target="styles.xml"/><Relationship Id="rId10" Type="http://schemas.openxmlformats.org/officeDocument/2006/relationships/externalLink" Target="externalLinks/externalLink9.xml"/><Relationship Id="rId19" Type="http://schemas.openxmlformats.org/officeDocument/2006/relationships/externalLink" Target="externalLinks/externalLink18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oranias\Documents\GitHub\DMI_IBNP\ARM%20Results\Unified_IBNP_ASL.xlsx" TargetMode="External"/><Relationship Id="rId1" Type="http://schemas.openxmlformats.org/officeDocument/2006/relationships/externalLinkPath" Target="Unified_IBNP_ASL.xlsx" TargetMode="External"/></Relationships>
</file>

<file path=xl/externalLinks/_rels/externalLink1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RDS02\Unified$\04_Inforce_Management\01_Products_Specs\Health_Block_Information\20240613_ShareFile_WriteUps\NFL\NFL%20Claim%20Liability%2003-24.xlsx" TargetMode="External"/><Relationship Id="rId1" Type="http://schemas.openxmlformats.org/officeDocument/2006/relationships/externalLinkPath" Target="file:///\\RDS02\Unified$\04_Inforce_Management\01_Products_Specs\Health_Block_Information\20240613_ShareFile_WriteUps\NFL\NFL%20Claim%20Liability%2003-24.xlsx" TargetMode="External"/></Relationships>
</file>

<file path=xl/externalLinks/_rels/externalLink1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oranias\Documents\GitHub\DMI_IBNP\ARM%20Results\Unified_IBNP_NSL.xlsx" TargetMode="External"/><Relationship Id="rId1" Type="http://schemas.openxmlformats.org/officeDocument/2006/relationships/externalLinkPath" Target="Unified_IBNP_NSL.xlsx" TargetMode="External"/></Relationships>
</file>

<file path=xl/externalLinks/_rels/externalLink1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RDS02\Unified$\04_Inforce_Management\01_Products_Specs\Health_Block_Information\20240613_ShareFile_WriteUps\NSL\NSL%20Claim%20Liability%20033124.xlsx" TargetMode="External"/><Relationship Id="rId1" Type="http://schemas.openxmlformats.org/officeDocument/2006/relationships/externalLinkPath" Target="file:///\\RDS02\Unified$\04_Inforce_Management\01_Products_Specs\Health_Block_Information\20240613_ShareFile_WriteUps\NSL\NSL%20Claim%20Liability%20033124.xlsx" TargetMode="External"/></Relationships>
</file>

<file path=xl/externalLinks/_rels/externalLink1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oranias\Documents\GitHub\DMI_IBNP\ARM%20Results\Unified_IBNP_PEN.xlsx" TargetMode="External"/><Relationship Id="rId1" Type="http://schemas.openxmlformats.org/officeDocument/2006/relationships/externalLinkPath" Target="Unified_IBNP_PEN.xlsx" TargetMode="External"/></Relationships>
</file>

<file path=xl/externalLinks/_rels/externalLink1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RDS02\Unified$\04_Inforce_Management\01_Products_Specs\Health_Block_Information\20240613_ShareFile_WriteUps\PEN\PEN%20Claim%20Liability%2003-24.xlsx" TargetMode="External"/><Relationship Id="rId1" Type="http://schemas.openxmlformats.org/officeDocument/2006/relationships/externalLinkPath" Target="file:///\\RDS02\Unified$\04_Inforce_Management\01_Products_Specs\Health_Block_Information\20240613_ShareFile_WriteUps\PEN\PEN%20Claim%20Liability%2003-24.xlsx" TargetMode="External"/></Relationships>
</file>

<file path=xl/externalLinks/_rels/externalLink1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oranias\Documents\GitHub\DMI_IBNP\ARM%20Results\Unified_IBNP_PHS.xlsx" TargetMode="External"/><Relationship Id="rId1" Type="http://schemas.openxmlformats.org/officeDocument/2006/relationships/externalLinkPath" Target="Unified_IBNP_PHS.xlsx" TargetMode="External"/></Relationships>
</file>

<file path=xl/externalLinks/_rels/externalLink1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RDS02\Unified$\04_Inforce_Management\01_Products_Specs\Health_Block_Information\20240613_ShareFile_WriteUps\PHS\PHS%20Claim%20Liability%2003-24.xlsx" TargetMode="External"/><Relationship Id="rId1" Type="http://schemas.openxmlformats.org/officeDocument/2006/relationships/externalLinkPath" Target="file:///\\RDS02\Unified$\04_Inforce_Management\01_Products_Specs\Health_Block_Information\20240613_ShareFile_WriteUps\PHS\PHS%20Claim%20Liability%2003-24.xlsx" TargetMode="External"/></Relationships>
</file>

<file path=xl/externalLinks/_rels/externalLink1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oranias\Documents\GitHub\DMI_IBNP\ARM%20Results\Unified_IBNP_PRT.xlsx" TargetMode="External"/><Relationship Id="rId1" Type="http://schemas.openxmlformats.org/officeDocument/2006/relationships/externalLinkPath" Target="Unified_IBNP_PRT.xlsx" TargetMode="External"/></Relationships>
</file>

<file path=xl/externalLinks/_rels/externalLink1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RDS02\Unified$\04_Inforce_Management\01_Products_Specs\Health_Block_Information\20240613_ShareFile_WriteUps\PRT\PRT%20Claim%20Liability%203-24.xlsx" TargetMode="External"/><Relationship Id="rId1" Type="http://schemas.openxmlformats.org/officeDocument/2006/relationships/externalLinkPath" Target="file:///\\RDS02\Unified$\04_Inforce_Management\01_Products_Specs\Health_Block_Information\20240613_ShareFile_WriteUps\PRT\PRT%20Claim%20Liability%203-24.xlsx" TargetMode="External"/></Relationships>
</file>

<file path=xl/externalLinks/_rels/externalLink1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oranias\Documents\GitHub\DMI_IBNP\ARM%20Results\Unified_IBNP_SLI.xlsx" TargetMode="External"/><Relationship Id="rId1" Type="http://schemas.openxmlformats.org/officeDocument/2006/relationships/externalLinkPath" Target="Unified_IBNP_SLI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RDS02\Unified$\04_Inforce_Management\01_Products_Specs\Health_Block_Information\20240613_ShareFile_WriteUps\American%20Standard%20Life\ASL%20Claim%20Liability%2003-24.xlsx" TargetMode="External"/><Relationship Id="rId1" Type="http://schemas.openxmlformats.org/officeDocument/2006/relationships/externalLinkPath" Target="file:///\\RDS02\Unified$\04_Inforce_Management\01_Products_Specs\Health_Block_Information\20240613_ShareFile_WriteUps\American%20Standard%20Life\ASL%20Claim%20Liability%2003-24.xlsx" TargetMode="External"/></Relationships>
</file>

<file path=xl/externalLinks/_rels/externalLink2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RDS02\Unified$\04_Inforce_Management\01_Products_Specs\Health_Block_Information\20240613_ShareFile_WriteUps\SLICA\SLI%20Claim%20Liability%2003-24.xlsx" TargetMode="External"/><Relationship Id="rId1" Type="http://schemas.openxmlformats.org/officeDocument/2006/relationships/externalLinkPath" Target="file:///\\RDS02\Unified$\04_Inforce_Management\01_Products_Specs\Health_Block_Information\20240613_ShareFile_WriteUps\SLICA\SLI%20Claim%20Liability%2003-24.xlsx" TargetMode="External"/></Relationships>
</file>

<file path=xl/externalLinks/_rels/externalLink2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RDS02\Unified$\04_Inforce_Management\01_Products_Specs\Health_Block_Information\20240613_ShareFile_WriteUps\ULI%20Med%20Supp\NB%20MS%20Claim%20Liability%20033124.xlsx" TargetMode="External"/><Relationship Id="rId1" Type="http://schemas.openxmlformats.org/officeDocument/2006/relationships/externalLinkPath" Target="file:///\\RDS02\Unified$\04_Inforce_Management\01_Products_Specs\Health_Block_Information\20240613_ShareFile_WriteUps\ULI%20Med%20Supp\NB%20MS%20Claim%20Liability%20033124.xlsx" TargetMode="External"/></Relationships>
</file>

<file path=xl/externalLinks/_rels/externalLink2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RDS02\Unified$\04_Inforce_Management\01_Products_Specs\Health_Block_Information\20240613_ShareFile_WriteUps\USH\USH%20Claim%20Liability%2003-24%20-%20Split%20MS.xlsx" TargetMode="External"/><Relationship Id="rId1" Type="http://schemas.openxmlformats.org/officeDocument/2006/relationships/externalLinkPath" Target="file:///\\RDS02\Unified$\04_Inforce_Management\01_Products_Specs\Health_Block_Information\20240613_ShareFile_WriteUps\USH\USH%20Claim%20Liability%2003-24%20-%20Split%20MS.xlsx" TargetMode="External"/></Relationships>
</file>

<file path=xl/externalLinks/_rels/externalLink2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oranias\Documents\GitHub\DMI_IBNP\ARM%20Results\Unified_IBNP_XCH.xlsx" TargetMode="External"/><Relationship Id="rId1" Type="http://schemas.openxmlformats.org/officeDocument/2006/relationships/externalLinkPath" Target="Unified_IBNP_XCH.xlsx" TargetMode="External"/></Relationships>
</file>

<file path=xl/externalLinks/_rels/externalLink2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RDS02\Unified$\04_Inforce_Management\01_Products_Specs\Health_Block_Information\20240613_ShareFile_WriteUps\Xchange%20Benefits\XChange%20Claim%20Liability%20033124.xlsx" TargetMode="External"/><Relationship Id="rId1" Type="http://schemas.openxmlformats.org/officeDocument/2006/relationships/externalLinkPath" Target="file:///\\RDS02\Unified$\04_Inforce_Management\01_Products_Specs\Health_Block_Information\20240613_ShareFile_WriteUps\Xchange%20Benefits\XChange%20Claim%20Liability%20033124.xlsx" TargetMode="External"/></Relationships>
</file>

<file path=xl/externalLinks/_rels/externalLink2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oranias\Documents\GitHub\DMI_IBNP\ARM%20Results\Scenario%201\Unified_IBNP_Split_USH.xlsx" TargetMode="External"/><Relationship Id="rId1" Type="http://schemas.openxmlformats.org/officeDocument/2006/relationships/externalLinkPath" Target="Unified_IBNP_Split_USH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oranias\Documents\GitHub\DMI_IBNP\ARM%20Results\Unified_IBNP_AMH.xlsx" TargetMode="External"/><Relationship Id="rId1" Type="http://schemas.openxmlformats.org/officeDocument/2006/relationships/externalLinkPath" Target="Unified_IBNP_AMH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RDS02\Unified$\04_Inforce_Management\01_Products_Specs\Health_Block_Information\20240613_ShareFile_WriteUps\Associated%20Mutual%20Hospital\AMH%20Claim%20Liability%2003-24.xlsx" TargetMode="External"/><Relationship Id="rId1" Type="http://schemas.openxmlformats.org/officeDocument/2006/relationships/externalLinkPath" Target="file:///\\RDS02\Unified$\04_Inforce_Management\01_Products_Specs\Health_Block_Information\20240613_ShareFile_WriteUps\Associated%20Mutual%20Hospital\AMH%20Claim%20Liability%2003-24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oranias\Documents\GitHub\DMI_IBNP\ARM%20Results\Unified_IBNP_GBR.xlsx" TargetMode="External"/><Relationship Id="rId1" Type="http://schemas.openxmlformats.org/officeDocument/2006/relationships/externalLinkPath" Target="Unified_IBNP_GBR.xlsx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RDS02\Unified$\04_Inforce_Management\01_Products_Specs\Health_Block_Information\20240613_ShareFile_WriteUps\Gerber%20Life\Gerber%20Claim%20Liability%20033124.xlsx" TargetMode="External"/><Relationship Id="rId1" Type="http://schemas.openxmlformats.org/officeDocument/2006/relationships/externalLinkPath" Target="file:///\\RDS02\Unified$\04_Inforce_Management\01_Products_Specs\Health_Block_Information\20240613_ShareFile_WriteUps\Gerber%20Life\Gerber%20Claim%20Liability%20033124.xlsx" TargetMode="External"/></Relationships>
</file>

<file path=xl/externalLinks/_rels/externalLink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oranias\Documents\GitHub\DMI_IBNP\ARM%20Results\Unified_IBNP_GTL.xlsx" TargetMode="External"/><Relationship Id="rId1" Type="http://schemas.openxmlformats.org/officeDocument/2006/relationships/externalLinkPath" Target="Unified_IBNP_GTL.xlsx" TargetMode="External"/></Relationships>
</file>

<file path=xl/externalLinks/_rels/externalLink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RDS02\Unified$\04_Inforce_Management\01_Products_Specs\Health_Block_Information\20240613_ShareFile_WriteUps\GTL\GTL%20Claim%20Liability%203-24.xlsx" TargetMode="External"/><Relationship Id="rId1" Type="http://schemas.openxmlformats.org/officeDocument/2006/relationships/externalLinkPath" Target="file:///\\RDS02\Unified$\04_Inforce_Management\01_Products_Specs\Health_Block_Information\20240613_ShareFile_WriteUps\GTL\GTL%20Claim%20Liability%203-24.xlsx" TargetMode="External"/></Relationships>
</file>

<file path=xl/externalLinks/_rels/externalLink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oranias\Documents\GitHub\DMI_IBNP\ARM%20Results\Unified_IBNP_NFL.xlsx" TargetMode="External"/><Relationship Id="rId1" Type="http://schemas.openxmlformats.org/officeDocument/2006/relationships/externalLinkPath" Target="Unified_IBNP_NF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Plot Patterns"/>
      <sheetName val="Summary"/>
    </sheetNames>
    <sheetDataSet>
      <sheetData sheetId="0" refreshError="1"/>
      <sheetData sheetId="1" refreshError="1"/>
      <sheetData sheetId="2">
        <row r="33">
          <cell r="H33">
            <v>8029.532608560934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ocument"/>
      <sheetName val="Completion Factors"/>
      <sheetName val="EOB Information"/>
      <sheetName val="PT"/>
      <sheetName val="Sch H"/>
      <sheetName val="Summary"/>
      <sheetName val="Premium"/>
      <sheetName val="PL"/>
      <sheetName val="Plan Code Tabl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35">
          <cell r="H35">
            <v>7.4999999999999997E-2</v>
          </cell>
        </row>
        <row r="36">
          <cell r="H36">
            <v>32709.246771985087</v>
          </cell>
        </row>
      </sheetData>
      <sheetData sheetId="6" refreshError="1"/>
      <sheetData sheetId="7" refreshError="1"/>
      <sheetData sheetId="8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Plot Patterns"/>
      <sheetName val="Summary"/>
    </sheetNames>
    <sheetDataSet>
      <sheetData sheetId="0" refreshError="1"/>
      <sheetData sheetId="1" refreshError="1"/>
      <sheetData sheetId="2">
        <row r="33">
          <cell r="H33">
            <v>42028.499060217509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LAN CODE TABLE"/>
      <sheetName val="Split_By_LOB"/>
      <sheetName val="EOB Information"/>
      <sheetName val="Claim Triangle"/>
      <sheetName val="Sch H"/>
      <sheetName val="PL"/>
      <sheetName val="Premium"/>
      <sheetName val="Summary"/>
      <sheetName val="Assume split"/>
      <sheetName val="Completion Factor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8">
          <cell r="B8">
            <v>2216</v>
          </cell>
        </row>
        <row r="35">
          <cell r="H35">
            <v>7.4999999999999997E-2</v>
          </cell>
        </row>
        <row r="36">
          <cell r="H36">
            <v>43941.36</v>
          </cell>
        </row>
      </sheetData>
      <sheetData sheetId="8" refreshError="1"/>
      <sheetData sheetId="9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Plot Patterns"/>
      <sheetName val="Summary"/>
    </sheetNames>
    <sheetDataSet>
      <sheetData sheetId="0" refreshError="1"/>
      <sheetData sheetId="1" refreshError="1"/>
      <sheetData sheetId="2">
        <row r="33">
          <cell r="H33">
            <v>155678.95716630341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By_LOB"/>
      <sheetName val="EOB Information"/>
      <sheetName val="PT"/>
      <sheetName val="Sch H"/>
      <sheetName val="Completion Factors"/>
      <sheetName val="Summary"/>
      <sheetName val="Premium"/>
      <sheetName val="P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35">
          <cell r="H35">
            <v>7.4999999999999997E-2</v>
          </cell>
        </row>
        <row r="36">
          <cell r="H36">
            <v>158653.1571364796</v>
          </cell>
        </row>
      </sheetData>
      <sheetData sheetId="6" refreshError="1"/>
      <sheetData sheetId="7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Plot Patterns"/>
      <sheetName val="Summary"/>
    </sheetNames>
    <sheetDataSet>
      <sheetData sheetId="0" refreshError="1"/>
      <sheetData sheetId="1" refreshError="1"/>
      <sheetData sheetId="2">
        <row r="33">
          <cell r="H33">
            <v>152530.06150600832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OB"/>
      <sheetName val="Claim Triangle"/>
      <sheetName val="Completion Factors"/>
      <sheetName val="Summary"/>
      <sheetName val="Premium"/>
    </sheetNames>
    <sheetDataSet>
      <sheetData sheetId="0" refreshError="1"/>
      <sheetData sheetId="1" refreshError="1"/>
      <sheetData sheetId="2" refreshError="1"/>
      <sheetData sheetId="3">
        <row r="35">
          <cell r="H35">
            <v>7.4999999999999997E-2</v>
          </cell>
        </row>
        <row r="36">
          <cell r="H36">
            <v>167515.8389747378</v>
          </cell>
        </row>
      </sheetData>
      <sheetData sheetId="4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Plot Patterns"/>
      <sheetName val="Summary"/>
    </sheetNames>
    <sheetDataSet>
      <sheetData sheetId="0" refreshError="1"/>
      <sheetData sheetId="1" refreshError="1"/>
      <sheetData sheetId="2">
        <row r="33">
          <cell r="H33">
            <v>51622.471640507771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ocument"/>
      <sheetName val="Completion Factors"/>
      <sheetName val="CL_By_LOB"/>
      <sheetName val="Claim Data"/>
      <sheetName val="PlanCodeTable"/>
      <sheetName val="PT"/>
      <sheetName val="Summary"/>
      <sheetName val="Premium"/>
      <sheetName val="P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8">
          <cell r="B8">
            <v>12308.86</v>
          </cell>
        </row>
        <row r="35">
          <cell r="H35">
            <v>7.4999999999999997E-2</v>
          </cell>
        </row>
        <row r="36">
          <cell r="H36">
            <v>61403.00276625227</v>
          </cell>
        </row>
      </sheetData>
      <sheetData sheetId="7" refreshError="1"/>
      <sheetData sheetId="8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Plot Patterns"/>
      <sheetName val="Summary"/>
    </sheetNames>
    <sheetDataSet>
      <sheetData sheetId="0" refreshError="1"/>
      <sheetData sheetId="1" refreshError="1"/>
      <sheetData sheetId="2">
        <row r="33">
          <cell r="H33">
            <v>12714.785569524904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L_by_LOB"/>
      <sheetName val="EOB Information"/>
      <sheetName val="PT"/>
      <sheetName val="Sch H"/>
      <sheetName val="Completion Factors"/>
      <sheetName val="Summary"/>
      <sheetName val="Premium"/>
      <sheetName val="PL"/>
      <sheetName val="PLAN CODE TABLE"/>
    </sheetNames>
    <sheetDataSet>
      <sheetData sheetId="0"/>
      <sheetData sheetId="1"/>
      <sheetData sheetId="2"/>
      <sheetData sheetId="3"/>
      <sheetData sheetId="4"/>
      <sheetData sheetId="5">
        <row r="8">
          <cell r="B8">
            <v>199.38</v>
          </cell>
        </row>
        <row r="35">
          <cell r="H35">
            <v>7.4999999999999997E-2</v>
          </cell>
        </row>
        <row r="36">
          <cell r="H36">
            <v>10194.181693825194</v>
          </cell>
        </row>
      </sheetData>
      <sheetData sheetId="6"/>
      <sheetData sheetId="7"/>
      <sheetData sheetId="8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CL_By_LOB"/>
      <sheetName val="EOB Information"/>
      <sheetName val="PT"/>
      <sheetName val="Sch H"/>
      <sheetName val="Summary"/>
      <sheetName val="Premium"/>
      <sheetName val="PL"/>
      <sheetName val="Plan Code Tabl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8">
          <cell r="B8">
            <v>0</v>
          </cell>
        </row>
        <row r="35">
          <cell r="H35">
            <v>7.4999999999999997E-2</v>
          </cell>
        </row>
        <row r="36">
          <cell r="H36">
            <v>22925.112714356808</v>
          </cell>
        </row>
      </sheetData>
      <sheetData sheetId="6" refreshError="1"/>
      <sheetData sheetId="7" refreshError="1"/>
      <sheetData sheetId="8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laims"/>
      <sheetName val="Summary"/>
      <sheetName val="Completion Factors"/>
      <sheetName val="Premium"/>
    </sheetNames>
    <sheetDataSet>
      <sheetData sheetId="0" refreshError="1"/>
      <sheetData sheetId="1">
        <row r="35">
          <cell r="H35">
            <v>7.4999999999999997E-2</v>
          </cell>
        </row>
      </sheetData>
      <sheetData sheetId="2" refreshError="1"/>
      <sheetData sheetId="3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ch H"/>
      <sheetName val="CL_By_LOB"/>
      <sheetName val="EOB Information"/>
      <sheetName val="PT"/>
      <sheetName val="Completion Factors"/>
      <sheetName val="Summary"/>
      <sheetName val="Premium"/>
      <sheetName val="PL"/>
      <sheetName val="Plan Code Table"/>
      <sheetName val="For Data for State Pages - IBNR"/>
    </sheetNames>
    <sheetDataSet>
      <sheetData sheetId="0"/>
      <sheetData sheetId="1"/>
      <sheetData sheetId="2"/>
      <sheetData sheetId="3"/>
      <sheetData sheetId="4"/>
      <sheetData sheetId="5">
        <row r="35">
          <cell r="L35">
            <v>7.4999999999999997E-2</v>
          </cell>
        </row>
        <row r="36">
          <cell r="L36">
            <v>70721.566596096614</v>
          </cell>
        </row>
      </sheetData>
      <sheetData sheetId="6"/>
      <sheetData sheetId="7"/>
      <sheetData sheetId="8"/>
      <sheetData sheetId="9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Plot Patterns"/>
      <sheetName val="Summary"/>
    </sheetNames>
    <sheetDataSet>
      <sheetData sheetId="0" refreshError="1"/>
      <sheetData sheetId="1" refreshError="1"/>
      <sheetData sheetId="2">
        <row r="33">
          <cell r="H33">
            <v>776979.44325409923</v>
          </cell>
        </row>
      </sheetData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Premium"/>
      <sheetName val="Summary"/>
    </sheetNames>
    <sheetDataSet>
      <sheetData sheetId="0" refreshError="1"/>
      <sheetData sheetId="1" refreshError="1"/>
      <sheetData sheetId="2">
        <row r="8">
          <cell r="B8">
            <v>257512.95000000007</v>
          </cell>
        </row>
        <row r="35">
          <cell r="H35">
            <v>7.4999999999999997E-2</v>
          </cell>
        </row>
        <row r="36">
          <cell r="H36">
            <v>777303.67606529</v>
          </cell>
        </row>
      </sheetData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Plot Patterns"/>
      <sheetName val="Summary"/>
    </sheetNames>
    <sheetDataSet>
      <sheetData sheetId="0"/>
      <sheetData sheetId="1"/>
      <sheetData sheetId="2">
        <row r="33">
          <cell r="L33">
            <v>69595.103743926258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Plot Patterns"/>
      <sheetName val="Summary"/>
    </sheetNames>
    <sheetDataSet>
      <sheetData sheetId="0" refreshError="1"/>
      <sheetData sheetId="1" refreshError="1"/>
      <sheetData sheetId="2">
        <row r="33">
          <cell r="H33">
            <v>2653.5626681097033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By_LOB"/>
      <sheetName val="EOB Information"/>
      <sheetName val="Claim Triangle"/>
      <sheetName val="Completion Factors"/>
      <sheetName val="Premium"/>
      <sheetName val="PL"/>
      <sheetName val="Summary"/>
      <sheetName val="Assume split"/>
      <sheetName val="PLAN LOOKUP"/>
    </sheetNames>
    <sheetDataSet>
      <sheetData sheetId="0"/>
      <sheetData sheetId="1"/>
      <sheetData sheetId="2"/>
      <sheetData sheetId="3"/>
      <sheetData sheetId="4"/>
      <sheetData sheetId="5"/>
      <sheetData sheetId="6">
        <row r="8">
          <cell r="B8">
            <v>1578.9799999999998</v>
          </cell>
        </row>
        <row r="35">
          <cell r="H35">
            <v>7.4999999999999997E-2</v>
          </cell>
        </row>
        <row r="36">
          <cell r="H36">
            <v>2852.8990141421973</v>
          </cell>
        </row>
      </sheetData>
      <sheetData sheetId="7"/>
      <sheetData sheetId="8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Plot Patterns"/>
      <sheetName val="Summary"/>
    </sheetNames>
    <sheetDataSet>
      <sheetData sheetId="0" refreshError="1"/>
      <sheetData sheetId="1" refreshError="1"/>
      <sheetData sheetId="2">
        <row r="33">
          <cell r="H33">
            <v>47541.44561101227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CL_Split_By_LOB"/>
      <sheetName val="EOB Information"/>
      <sheetName val="PT"/>
      <sheetName val="Summary"/>
      <sheetName val="Completion Factors"/>
      <sheetName val="Premium"/>
      <sheetName val="PL"/>
    </sheetNames>
    <sheetDataSet>
      <sheetData sheetId="0"/>
      <sheetData sheetId="1"/>
      <sheetData sheetId="2"/>
      <sheetData sheetId="3"/>
      <sheetData sheetId="4">
        <row r="8">
          <cell r="B8">
            <v>14968.550000000003</v>
          </cell>
        </row>
        <row r="35">
          <cell r="H35">
            <v>7.4999999999999997E-2</v>
          </cell>
        </row>
        <row r="36">
          <cell r="H36">
            <v>46527.596958871203</v>
          </cell>
        </row>
      </sheetData>
      <sheetData sheetId="5"/>
      <sheetData sheetId="6"/>
      <sheetData sheetId="7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Plot Patterns"/>
      <sheetName val="Summary"/>
    </sheetNames>
    <sheetDataSet>
      <sheetData sheetId="0" refreshError="1"/>
      <sheetData sheetId="1" refreshError="1"/>
      <sheetData sheetId="2">
        <row r="33">
          <cell r="H33">
            <v>88951.64663672469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ocument"/>
      <sheetName val="CL_By_LOB"/>
      <sheetName val="EOB"/>
      <sheetName val="Plan_Code_Table"/>
      <sheetName val="Claim Triangle"/>
      <sheetName val="Completion Factors"/>
      <sheetName val="Premium"/>
      <sheetName val="Summary"/>
      <sheetName val="Split"/>
      <sheetName val="P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8">
          <cell r="B8">
            <v>5502.54</v>
          </cell>
        </row>
        <row r="35">
          <cell r="H35">
            <v>7.4999999999999997E-2</v>
          </cell>
        </row>
        <row r="36">
          <cell r="H36">
            <v>88593.393911147272</v>
          </cell>
        </row>
      </sheetData>
      <sheetData sheetId="8"/>
      <sheetData sheetId="9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Plot Patterns"/>
      <sheetName val="Summary"/>
    </sheetNames>
    <sheetDataSet>
      <sheetData sheetId="0" refreshError="1"/>
      <sheetData sheetId="1" refreshError="1"/>
      <sheetData sheetId="2">
        <row r="33">
          <cell r="H33">
            <v>30748.26785373695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38D66-6A3A-466E-8973-92ABD33CCFF7}">
  <dimension ref="A1:N18"/>
  <sheetViews>
    <sheetView tabSelected="1" workbookViewId="0">
      <selection activeCell="B15" sqref="B15"/>
    </sheetView>
  </sheetViews>
  <sheetFormatPr defaultRowHeight="11.5" x14ac:dyDescent="0.25"/>
  <cols>
    <col min="1" max="1" width="15.875" bestFit="1" customWidth="1"/>
    <col min="2" max="2" width="14.875" bestFit="1" customWidth="1"/>
    <col min="3" max="3" width="15.5" bestFit="1" customWidth="1"/>
    <col min="4" max="4" width="12.5" bestFit="1" customWidth="1"/>
    <col min="5" max="5" width="21" bestFit="1" customWidth="1"/>
    <col min="7" max="7" width="18.25" bestFit="1" customWidth="1"/>
    <col min="8" max="9" width="18.25" customWidth="1"/>
    <col min="10" max="10" width="26.125" customWidth="1"/>
    <col min="11" max="11" width="3.875" customWidth="1"/>
    <col min="12" max="12" width="40.25" bestFit="1" customWidth="1"/>
    <col min="13" max="13" width="13.625" bestFit="1" customWidth="1"/>
    <col min="14" max="14" width="84" customWidth="1"/>
  </cols>
  <sheetData>
    <row r="1" spans="1:14" ht="1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2" t="s">
        <v>5</v>
      </c>
      <c r="H1" s="2" t="s">
        <v>23</v>
      </c>
      <c r="I1" s="2" t="s">
        <v>24</v>
      </c>
      <c r="J1" s="2" t="s">
        <v>25</v>
      </c>
      <c r="L1" s="2" t="s">
        <v>22</v>
      </c>
      <c r="M1" s="2" t="s">
        <v>27</v>
      </c>
      <c r="N1" s="2" t="s">
        <v>43</v>
      </c>
    </row>
    <row r="2" spans="1:14" ht="34.5" x14ac:dyDescent="0.25">
      <c r="A2" t="s">
        <v>6</v>
      </c>
      <c r="B2" s="10">
        <f>+[1]Summary!$H$33</f>
        <v>8029.532608560934</v>
      </c>
      <c r="C2" s="4">
        <f>+[2]Summary!$H$35</f>
        <v>7.4999999999999997E-2</v>
      </c>
      <c r="D2" s="9">
        <f>+B2*C2</f>
        <v>602.21494564207001</v>
      </c>
      <c r="E2" s="9">
        <f>+B2+D2</f>
        <v>8631.7475542030043</v>
      </c>
      <c r="G2" s="10">
        <f>+[2]Summary!$H$36</f>
        <v>10194.181693825194</v>
      </c>
      <c r="H2" s="10">
        <f>+E2-G2</f>
        <v>-1562.4341396221898</v>
      </c>
      <c r="I2" s="11">
        <f>+H2/G2</f>
        <v>-0.15326724464491204</v>
      </c>
      <c r="J2" s="12" t="s">
        <v>37</v>
      </c>
      <c r="L2" t="s">
        <v>38</v>
      </c>
      <c r="M2" s="10">
        <v>10000</v>
      </c>
      <c r="N2" t="s">
        <v>44</v>
      </c>
    </row>
    <row r="3" spans="1:14" x14ac:dyDescent="0.25">
      <c r="A3" t="s">
        <v>7</v>
      </c>
      <c r="B3" s="10">
        <f>+[3]Summary!$H$33</f>
        <v>2653.5626681097033</v>
      </c>
      <c r="C3" s="3">
        <f>+[4]Summary!$H$35</f>
        <v>7.4999999999999997E-2</v>
      </c>
      <c r="D3" s="9">
        <f t="shared" ref="D3:D16" si="0">+B3*C3</f>
        <v>199.01720010822774</v>
      </c>
      <c r="E3" s="9">
        <f t="shared" ref="E3:E16" si="1">+B3+D3</f>
        <v>2852.5798682179311</v>
      </c>
      <c r="G3" s="10">
        <f>+[4]Summary!$H$36</f>
        <v>2852.8990141421973</v>
      </c>
      <c r="H3" s="10">
        <f t="shared" ref="H3:H16" si="2">+E3-G3</f>
        <v>-0.31914592426619492</v>
      </c>
      <c r="I3" s="11">
        <f t="shared" ref="I3:I16" si="3">+H3/G3</f>
        <v>-1.1186723493686471E-4</v>
      </c>
      <c r="J3" s="12"/>
      <c r="L3" t="s">
        <v>39</v>
      </c>
      <c r="M3" s="10">
        <v>10000</v>
      </c>
      <c r="N3" t="s">
        <v>42</v>
      </c>
    </row>
    <row r="4" spans="1:14" ht="23" x14ac:dyDescent="0.25">
      <c r="A4" t="s">
        <v>16</v>
      </c>
      <c r="B4" s="10">
        <f>+[5]Summary!$H$33</f>
        <v>47541.44561101227</v>
      </c>
      <c r="C4" s="3">
        <f>+[6]Summary!$H$35</f>
        <v>7.4999999999999997E-2</v>
      </c>
      <c r="D4" s="9">
        <f t="shared" si="0"/>
        <v>3565.6084208259203</v>
      </c>
      <c r="E4" s="9">
        <f t="shared" si="1"/>
        <v>51107.05403183819</v>
      </c>
      <c r="G4" s="10">
        <f>+[6]Summary!$H$36</f>
        <v>46527.596958871203</v>
      </c>
      <c r="H4" s="10">
        <f t="shared" si="2"/>
        <v>4579.4570729669867</v>
      </c>
      <c r="I4" s="11">
        <f t="shared" si="3"/>
        <v>9.8424534519052628E-2</v>
      </c>
      <c r="J4" s="12" t="s">
        <v>28</v>
      </c>
      <c r="L4" t="s">
        <v>39</v>
      </c>
      <c r="M4" s="10">
        <v>10000</v>
      </c>
      <c r="N4" t="s">
        <v>41</v>
      </c>
    </row>
    <row r="5" spans="1:14" ht="34.5" x14ac:dyDescent="0.25">
      <c r="A5" t="s">
        <v>8</v>
      </c>
      <c r="B5" s="10">
        <f>+[7]Summary!$H$33</f>
        <v>88951.64663672469</v>
      </c>
      <c r="C5" s="3">
        <f>+[8]Summary!$H$35</f>
        <v>7.4999999999999997E-2</v>
      </c>
      <c r="D5" s="9">
        <f t="shared" si="0"/>
        <v>6671.3734977543518</v>
      </c>
      <c r="E5" s="9">
        <f t="shared" si="1"/>
        <v>95623.02013447904</v>
      </c>
      <c r="G5" s="10">
        <f>+[8]Summary!$H$36</f>
        <v>88593.393911147272</v>
      </c>
      <c r="H5" s="10">
        <f t="shared" si="2"/>
        <v>7029.6262233317684</v>
      </c>
      <c r="I5" s="11">
        <f t="shared" si="3"/>
        <v>7.9347069944989038E-2</v>
      </c>
      <c r="J5" s="12" t="s">
        <v>28</v>
      </c>
      <c r="L5" t="s">
        <v>39</v>
      </c>
      <c r="M5" s="10">
        <v>10000</v>
      </c>
      <c r="N5" t="s">
        <v>45</v>
      </c>
    </row>
    <row r="6" spans="1:14" x14ac:dyDescent="0.25">
      <c r="A6" t="s">
        <v>9</v>
      </c>
      <c r="B6" s="10">
        <f>+[9]Summary!$H$33</f>
        <v>30748.26785373695</v>
      </c>
      <c r="C6" s="3">
        <f>+[10]Summary!$H$35</f>
        <v>7.4999999999999997E-2</v>
      </c>
      <c r="D6" s="9">
        <f t="shared" si="0"/>
        <v>2306.1200890302712</v>
      </c>
      <c r="E6" s="9">
        <f t="shared" si="1"/>
        <v>33054.387942767222</v>
      </c>
      <c r="G6" s="10">
        <f>+[10]Summary!$H$36</f>
        <v>32709.246771985087</v>
      </c>
      <c r="H6" s="10">
        <f t="shared" si="2"/>
        <v>345.1411707821353</v>
      </c>
      <c r="I6" s="11">
        <f t="shared" si="3"/>
        <v>1.0551792072379449E-2</v>
      </c>
      <c r="J6" s="12"/>
      <c r="L6" t="s">
        <v>39</v>
      </c>
      <c r="M6" s="10" t="s">
        <v>29</v>
      </c>
      <c r="N6" t="s">
        <v>45</v>
      </c>
    </row>
    <row r="7" spans="1:14" ht="34.5" x14ac:dyDescent="0.25">
      <c r="A7" t="s">
        <v>10</v>
      </c>
      <c r="B7" s="10">
        <f>+[11]Summary!$H$33</f>
        <v>42028.499060217509</v>
      </c>
      <c r="C7" s="3">
        <f>+[12]Summary!$H$35</f>
        <v>7.4999999999999997E-2</v>
      </c>
      <c r="D7" s="9">
        <f t="shared" si="0"/>
        <v>3152.1374295163132</v>
      </c>
      <c r="E7" s="9">
        <f t="shared" si="1"/>
        <v>45180.636489733821</v>
      </c>
      <c r="G7" s="10">
        <f>+[12]Summary!$H$36</f>
        <v>43941.36</v>
      </c>
      <c r="H7" s="10">
        <f t="shared" si="2"/>
        <v>1239.2764897338202</v>
      </c>
      <c r="I7" s="11">
        <f t="shared" si="3"/>
        <v>2.8202961622804123E-2</v>
      </c>
      <c r="J7" s="12" t="s">
        <v>33</v>
      </c>
      <c r="L7" t="s">
        <v>39</v>
      </c>
      <c r="M7" s="10">
        <v>10000</v>
      </c>
      <c r="N7" t="s">
        <v>46</v>
      </c>
    </row>
    <row r="8" spans="1:14" x14ac:dyDescent="0.25">
      <c r="A8" t="s">
        <v>11</v>
      </c>
      <c r="B8" s="10">
        <f>+[13]Summary!$H$33</f>
        <v>155678.95716630341</v>
      </c>
      <c r="C8" s="3">
        <f>+[14]Summary!$H$35</f>
        <v>7.4999999999999997E-2</v>
      </c>
      <c r="D8" s="9">
        <f t="shared" si="0"/>
        <v>11675.921787472756</v>
      </c>
      <c r="E8" s="9">
        <f t="shared" si="1"/>
        <v>167354.87895377618</v>
      </c>
      <c r="G8" s="10">
        <f>+[14]Summary!$H$36</f>
        <v>158653.1571364796</v>
      </c>
      <c r="H8" s="10">
        <f t="shared" si="2"/>
        <v>8701.7218172965804</v>
      </c>
      <c r="I8" s="11">
        <f t="shared" si="3"/>
        <v>5.4847454499824561E-2</v>
      </c>
      <c r="J8" s="12" t="s">
        <v>30</v>
      </c>
      <c r="L8" t="s">
        <v>39</v>
      </c>
      <c r="M8" s="10">
        <v>10000</v>
      </c>
      <c r="N8" t="s">
        <v>41</v>
      </c>
    </row>
    <row r="9" spans="1:14" ht="57.5" x14ac:dyDescent="0.25">
      <c r="A9" t="s">
        <v>12</v>
      </c>
      <c r="B9" s="10">
        <f>+[15]Summary!$H$33</f>
        <v>152530.06150600832</v>
      </c>
      <c r="C9" s="3">
        <f>+[16]Summary!$H$35</f>
        <v>7.4999999999999997E-2</v>
      </c>
      <c r="D9" s="9">
        <f t="shared" si="0"/>
        <v>11439.754612950625</v>
      </c>
      <c r="E9" s="9">
        <f t="shared" si="1"/>
        <v>163969.81611895896</v>
      </c>
      <c r="G9" s="10">
        <f>+[16]Summary!$H$36</f>
        <v>167515.8389747378</v>
      </c>
      <c r="H9" s="10">
        <f t="shared" si="2"/>
        <v>-3546.0228557788359</v>
      </c>
      <c r="I9" s="11">
        <f t="shared" si="3"/>
        <v>-2.1168284011123233E-2</v>
      </c>
      <c r="J9" s="12" t="s">
        <v>31</v>
      </c>
      <c r="L9" t="s">
        <v>39</v>
      </c>
      <c r="M9" s="10" t="s">
        <v>29</v>
      </c>
      <c r="N9" t="s">
        <v>41</v>
      </c>
    </row>
    <row r="10" spans="1:14" ht="69" x14ac:dyDescent="0.25">
      <c r="A10" t="s">
        <v>13</v>
      </c>
      <c r="B10" s="10">
        <f>+[17]Summary!$H$33</f>
        <v>51622.471640507771</v>
      </c>
      <c r="C10" s="3">
        <f>+[18]Summary!$H$35</f>
        <v>7.4999999999999997E-2</v>
      </c>
      <c r="D10" s="9">
        <f t="shared" si="0"/>
        <v>3871.6853730380826</v>
      </c>
      <c r="E10" s="9">
        <f t="shared" si="1"/>
        <v>55494.157013545853</v>
      </c>
      <c r="G10" s="10">
        <f>+[18]Summary!$H$36</f>
        <v>61403.00276625227</v>
      </c>
      <c r="H10" s="10">
        <f t="shared" si="2"/>
        <v>-5908.8457527064165</v>
      </c>
      <c r="I10" s="11">
        <f t="shared" si="3"/>
        <v>-9.6230566690689259E-2</v>
      </c>
      <c r="J10" s="12" t="s">
        <v>32</v>
      </c>
      <c r="L10" t="s">
        <v>39</v>
      </c>
      <c r="M10" s="10">
        <v>50000</v>
      </c>
      <c r="N10" t="s">
        <v>46</v>
      </c>
    </row>
    <row r="11" spans="1:14" x14ac:dyDescent="0.25">
      <c r="A11" s="8" t="s">
        <v>20</v>
      </c>
      <c r="B11" s="10"/>
      <c r="C11" s="5">
        <v>0.05</v>
      </c>
      <c r="D11" s="9">
        <f t="shared" si="0"/>
        <v>0</v>
      </c>
      <c r="E11" s="9">
        <f t="shared" si="1"/>
        <v>0</v>
      </c>
      <c r="G11" s="10"/>
      <c r="H11" s="10"/>
      <c r="I11" s="11"/>
      <c r="J11" s="12" t="s">
        <v>26</v>
      </c>
      <c r="L11" s="8"/>
    </row>
    <row r="12" spans="1:14" x14ac:dyDescent="0.25">
      <c r="A12" s="8" t="s">
        <v>21</v>
      </c>
      <c r="B12" s="10"/>
      <c r="C12" s="5">
        <v>0.05</v>
      </c>
      <c r="D12" s="9">
        <f t="shared" si="0"/>
        <v>0</v>
      </c>
      <c r="E12" s="9">
        <f t="shared" si="1"/>
        <v>0</v>
      </c>
      <c r="G12" s="10"/>
      <c r="H12" s="10"/>
      <c r="I12" s="11"/>
      <c r="J12" s="12" t="s">
        <v>26</v>
      </c>
      <c r="L12" s="8"/>
    </row>
    <row r="13" spans="1:14" ht="23" x14ac:dyDescent="0.25">
      <c r="A13" t="s">
        <v>18</v>
      </c>
      <c r="B13" s="10">
        <f>+[19]Summary!$H$33</f>
        <v>12714.785569524904</v>
      </c>
      <c r="C13" s="3">
        <f>+[20]Summary!$H$35</f>
        <v>7.4999999999999997E-2</v>
      </c>
      <c r="D13" s="9">
        <f t="shared" si="0"/>
        <v>953.60891771436775</v>
      </c>
      <c r="E13" s="9">
        <f t="shared" si="1"/>
        <v>13668.394487239271</v>
      </c>
      <c r="G13" s="10">
        <f>+[20]Summary!$H$36</f>
        <v>22925.112714356808</v>
      </c>
      <c r="H13" s="10">
        <f t="shared" si="2"/>
        <v>-9256.718227117537</v>
      </c>
      <c r="I13" s="11">
        <f t="shared" si="3"/>
        <v>-0.40378070731667698</v>
      </c>
      <c r="J13" s="12" t="s">
        <v>36</v>
      </c>
      <c r="L13" t="s">
        <v>39</v>
      </c>
      <c r="M13" s="10">
        <v>10000</v>
      </c>
      <c r="N13" s="13" t="s">
        <v>47</v>
      </c>
    </row>
    <row r="14" spans="1:14" x14ac:dyDescent="0.25">
      <c r="A14" s="8" t="s">
        <v>19</v>
      </c>
      <c r="B14" s="10"/>
      <c r="C14" s="3">
        <f>+[21]Summary!$H$35</f>
        <v>7.4999999999999997E-2</v>
      </c>
      <c r="D14" s="9">
        <f t="shared" si="0"/>
        <v>0</v>
      </c>
      <c r="E14" s="9">
        <f t="shared" si="1"/>
        <v>0</v>
      </c>
      <c r="G14" s="10"/>
      <c r="H14" s="10">
        <f t="shared" si="2"/>
        <v>0</v>
      </c>
      <c r="I14" s="11"/>
      <c r="J14" s="12" t="s">
        <v>26</v>
      </c>
      <c r="L14" t="s">
        <v>39</v>
      </c>
      <c r="M14" s="10">
        <v>10000</v>
      </c>
    </row>
    <row r="15" spans="1:14" ht="69" x14ac:dyDescent="0.25">
      <c r="A15" t="s">
        <v>14</v>
      </c>
      <c r="B15" s="10">
        <f>+[25]Summary!L33</f>
        <v>69595.103743926258</v>
      </c>
      <c r="C15" s="3">
        <f>+[22]Summary!$L$35</f>
        <v>7.4999999999999997E-2</v>
      </c>
      <c r="D15" s="9">
        <f t="shared" si="0"/>
        <v>5219.632780794469</v>
      </c>
      <c r="E15" s="9">
        <f t="shared" si="1"/>
        <v>74814.736524720734</v>
      </c>
      <c r="G15" s="10">
        <f>+[22]Summary!$L$36</f>
        <v>70721.566596096614</v>
      </c>
      <c r="H15" s="10">
        <f t="shared" si="2"/>
        <v>4093.1699286241201</v>
      </c>
      <c r="I15" s="11">
        <f t="shared" si="3"/>
        <v>5.7877251956265877E-2</v>
      </c>
      <c r="J15" s="12" t="s">
        <v>35</v>
      </c>
      <c r="L15" t="s">
        <v>40</v>
      </c>
      <c r="M15" s="10">
        <v>30000</v>
      </c>
      <c r="N15" s="13" t="s">
        <v>48</v>
      </c>
    </row>
    <row r="16" spans="1:14" ht="46" x14ac:dyDescent="0.25">
      <c r="A16" t="s">
        <v>17</v>
      </c>
      <c r="B16" s="10">
        <f>+[23]Summary!$H$33</f>
        <v>776979.44325409923</v>
      </c>
      <c r="C16" s="3">
        <f>+[24]Summary!$H$35</f>
        <v>7.4999999999999997E-2</v>
      </c>
      <c r="D16" s="9">
        <f t="shared" si="0"/>
        <v>58273.458244057438</v>
      </c>
      <c r="E16" s="9">
        <f t="shared" si="1"/>
        <v>835252.90149815672</v>
      </c>
      <c r="G16" s="10">
        <f>+[24]Summary!$H$36</f>
        <v>777303.67606529</v>
      </c>
      <c r="H16" s="10">
        <f t="shared" si="2"/>
        <v>57949.225432866719</v>
      </c>
      <c r="I16" s="11">
        <f t="shared" si="3"/>
        <v>7.4551590603823728E-2</v>
      </c>
      <c r="J16" s="12" t="s">
        <v>34</v>
      </c>
      <c r="L16" t="s">
        <v>39</v>
      </c>
      <c r="M16" s="10">
        <v>10000</v>
      </c>
      <c r="N16" t="s">
        <v>41</v>
      </c>
    </row>
    <row r="17" spans="1:10" x14ac:dyDescent="0.25">
      <c r="B17" s="10"/>
      <c r="J17" s="13"/>
    </row>
    <row r="18" spans="1:10" x14ac:dyDescent="0.25">
      <c r="A18" s="6" t="s">
        <v>15</v>
      </c>
      <c r="B18" s="7">
        <f>+SUM(B2:B17)</f>
        <v>1439073.7773187319</v>
      </c>
      <c r="C18" s="6"/>
      <c r="D18" s="7">
        <f>+SUM(D2:D17)</f>
        <v>107930.53329890489</v>
      </c>
      <c r="E18" s="7">
        <f>+SUM(E2:E17)</f>
        <v>1547004.3106176369</v>
      </c>
      <c r="F18" s="6"/>
      <c r="G18" s="7">
        <f>+SUM(G2:G17)</f>
        <v>1483341.0326031842</v>
      </c>
      <c r="H18" s="7">
        <f>+SUM(H2:H17)</f>
        <v>63663.278014452881</v>
      </c>
      <c r="I18" s="11">
        <f>+H18/G18</f>
        <v>4.2918841058908232E-2</v>
      </c>
      <c r="J18" s="1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Oranias</dc:creator>
  <cp:lastModifiedBy>Julia Oranias</cp:lastModifiedBy>
  <dcterms:created xsi:type="dcterms:W3CDTF">2024-08-16T11:17:23Z</dcterms:created>
  <dcterms:modified xsi:type="dcterms:W3CDTF">2024-09-20T15:52:09Z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{49AD73FB-2191-42B3-A351-5598DE080B02}</vt:lpwstr>
  </property>
</Properties>
</file>