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3\"/>
    </mc:Choice>
  </mc:AlternateContent>
  <xr:revisionPtr revIDLastSave="0" documentId="13_ncr:1_{87DC33FE-3E93-4F36-AACC-87D73F622CC1}" xr6:coauthVersionLast="47" xr6:coauthVersionMax="47" xr10:uidLastSave="{00000000-0000-0000-0000-000000000000}"/>
  <bookViews>
    <workbookView xWindow="28680" yWindow="-120" windowWidth="29040" windowHeight="15840" xr2:uid="{9B94C235-4B85-4887-832D-FBC296CFB081}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G16" i="1"/>
  <c r="C16" i="1"/>
  <c r="G15" i="1"/>
  <c r="C15" i="1"/>
  <c r="D15" i="1" s="1"/>
  <c r="D14" i="1"/>
  <c r="E14" i="1" s="1"/>
  <c r="H14" i="1" s="1"/>
  <c r="C14" i="1"/>
  <c r="G13" i="1"/>
  <c r="C13" i="1"/>
  <c r="E12" i="1"/>
  <c r="D12" i="1"/>
  <c r="E11" i="1"/>
  <c r="D11" i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G2" i="1"/>
  <c r="C2" i="1"/>
  <c r="E15" i="1" l="1"/>
  <c r="G18" i="1"/>
  <c r="H15" i="1"/>
  <c r="I15" i="1" l="1"/>
  <c r="B7" i="1" l="1"/>
  <c r="B6" i="1"/>
  <c r="B4" i="1"/>
  <c r="B2" i="1"/>
  <c r="B10" i="1" l="1"/>
  <c r="D10" i="1" s="1"/>
  <c r="E10" i="1" s="1"/>
  <c r="H10" i="1" s="1"/>
  <c r="I10" i="1" s="1"/>
  <c r="B13" i="1"/>
  <c r="D13" i="1" s="1"/>
  <c r="E13" i="1" s="1"/>
  <c r="H13" i="1" s="1"/>
  <c r="I13" i="1" s="1"/>
  <c r="B9" i="1"/>
  <c r="D9" i="1" s="1"/>
  <c r="E9" i="1" s="1"/>
  <c r="H9" i="1" s="1"/>
  <c r="I9" i="1" s="1"/>
  <c r="B8" i="1"/>
  <c r="D8" i="1" s="1"/>
  <c r="E8" i="1" s="1"/>
  <c r="H8" i="1" s="1"/>
  <c r="I8" i="1" s="1"/>
  <c r="B5" i="1"/>
  <c r="D5" i="1" s="1"/>
  <c r="E5" i="1" s="1"/>
  <c r="H5" i="1" s="1"/>
  <c r="I5" i="1" s="1"/>
  <c r="B3" i="1"/>
  <c r="D3" i="1" s="1"/>
  <c r="E3" i="1" s="1"/>
  <c r="H3" i="1" s="1"/>
  <c r="I3" i="1" s="1"/>
  <c r="B16" i="1"/>
  <c r="D16" i="1" s="1"/>
  <c r="E16" i="1" s="1"/>
  <c r="H16" i="1" s="1"/>
  <c r="I16" i="1" s="1"/>
  <c r="D7" i="1"/>
  <c r="E7" i="1" s="1"/>
  <c r="H7" i="1" s="1"/>
  <c r="I7" i="1" s="1"/>
  <c r="D6" i="1"/>
  <c r="E6" i="1" s="1"/>
  <c r="H6" i="1" s="1"/>
  <c r="I6" i="1" s="1"/>
  <c r="D4" i="1"/>
  <c r="E4" i="1" s="1"/>
  <c r="H4" i="1" s="1"/>
  <c r="I4" i="1" s="1"/>
  <c r="B18" i="1"/>
  <c r="D2" i="1"/>
  <c r="E2" i="1" l="1"/>
  <c r="D18" i="1"/>
  <c r="H2" i="1" l="1"/>
  <c r="E18" i="1"/>
  <c r="I2" i="1" l="1"/>
  <c r="H18" i="1"/>
  <c r="I18" i="1" s="1"/>
</calcChain>
</file>

<file path=xl/sharedStrings.xml><?xml version="1.0" encoding="utf-8"?>
<sst xmlns="http://schemas.openxmlformats.org/spreadsheetml/2006/main" count="67" uniqueCount="47">
  <si>
    <t>Company_Code</t>
  </si>
  <si>
    <t>Claim Liability</t>
  </si>
  <si>
    <t>LAE Percentage</t>
  </si>
  <si>
    <t>LAE Liability</t>
  </si>
  <si>
    <t>Claim_Liability_Total</t>
  </si>
  <si>
    <t>From Unified Files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</si>
  <si>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</si>
  <si>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</si>
  <si>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</si>
  <si>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</si>
  <si>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</si>
  <si>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</si>
  <si>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</si>
  <si>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</si>
  <si>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</si>
  <si>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</si>
  <si>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</si>
  <si>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</si>
  <si>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</si>
  <si>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</si>
  <si>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</si>
  <si>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</si>
  <si>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Pattern Selection</t>
  </si>
  <si>
    <t>Difference</t>
  </si>
  <si>
    <t>Difference %</t>
  </si>
  <si>
    <t>Comment</t>
  </si>
  <si>
    <t>NA</t>
  </si>
  <si>
    <t>Threshold</t>
  </si>
  <si>
    <t>We are removing all 10k+ claims. Unified is only removing some</t>
  </si>
  <si>
    <t>No Exclusions</t>
  </si>
  <si>
    <t>Patterns calculation difference.</t>
  </si>
  <si>
    <t>Difference in payments of 24k from Excel file to SQL database not related to LOB 51 or outliers. Also 10 k difference in premiums</t>
  </si>
  <si>
    <t>Patterns calculation difference. There seems to be missing premiums in the SQL database for valuation 04.2022, 05.2022 and 06.2022. These differences don't affect results</t>
  </si>
  <si>
    <t>Unified is not excludng LOB 51 for newer periods and LOB 51 premiums</t>
  </si>
  <si>
    <t>129k difference in paid and 1M difference in premiums.I can't track the reason since original file inputs are harcoded.</t>
  </si>
  <si>
    <t>Differences y paid because we are excluding claims over 30k they are mannually adjusting ultimate for 2 LL. Also some smal allocation between MS and NMS differences.</t>
  </si>
  <si>
    <t>Unified is selected IEL Method for 5 months instead of 3</t>
  </si>
  <si>
    <t>Patterns calculation difference. Small premium difference. Unified put hardcoded patterns</t>
  </si>
  <si>
    <t>Different patterns very similar. Selections goes in the middle. Seems reasonable</t>
  </si>
  <si>
    <t>Volume 12 is slower than volume 6 and 3. I'd select average of VW 6 and 12. Won't impact results.</t>
  </si>
  <si>
    <t>Pattern Selection Comments</t>
  </si>
  <si>
    <t>Volume 3 much faster that Volume 6 and 12. Could add weight to Volume 3 in the average.</t>
  </si>
  <si>
    <t>Volume 12 is slower that Volume 6 and 3. Could add weight to Volume 12 in the average.</t>
  </si>
  <si>
    <t>Could selected Volume 6 that is in the middle of Volume 3 and 12. Volume 12 is slower.</t>
  </si>
  <si>
    <t>Triangles is really incomplete. I'd use Volume 12 that is the one with more information but, ideally I'd combined this block with other one for patterns calculation.</t>
  </si>
  <si>
    <t>Triangles are very volitle since ther are not really complete. Selections look reasonable. Combined triangle (MS+NMS) look muich completed and stable. I'd project on a combined basis with a lower threshold. With 30k the total is 90k</t>
  </si>
  <si>
    <t>Average Volume6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</si>
</sst>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10" fontId="2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0" fillId="3" borderId="0" xfId="0" applyFill="1"/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Relationship Id="rId1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3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8326.956967740336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_by_LOB"/>
      <sheetName val="EOB Information"/>
      <sheetName val="PT"/>
      <sheetName val="Sch H"/>
      <sheetName val="Completion Factors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199.38</v>
          </cell>
        </row>
        <row r="35">
          <cell r="H35">
            <v>7.4999999999999997E-2</v>
          </cell>
        </row>
        <row r="36">
          <cell r="H36">
            <v>10194.181693825194</v>
          </cell>
        </row>
      </sheetData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2656.0139413030593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Claim Triangle"/>
      <sheetName val="Completion Factors"/>
      <sheetName val="Premium"/>
      <sheetName val="PL"/>
      <sheetName val="Summary"/>
      <sheetName val="Assume split"/>
      <sheetName val="PLAN LOOKUP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>
            <v>1578.9799999999998</v>
          </cell>
        </row>
        <row r="35">
          <cell r="H35">
            <v>7.4999999999999997E-2</v>
          </cell>
        </row>
        <row r="36">
          <cell r="H36">
            <v>2852.8990141421973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41562.835214043698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L_Split_By_LOB"/>
      <sheetName val="EOB Information"/>
      <sheetName val="PT"/>
      <sheetName val="Summary"/>
      <sheetName val="Completion Factors"/>
      <sheetName val="Premium"/>
      <sheetName val="PL"/>
    </sheetNames>
    <sheetDataSet>
      <sheetData sheetId="0"/>
      <sheetData sheetId="1"/>
      <sheetData sheetId="2"/>
      <sheetData sheetId="3"/>
      <sheetData sheetId="4">
        <row r="8">
          <cell r="B8">
            <v>14968.550000000003</v>
          </cell>
        </row>
        <row r="35">
          <cell r="H35">
            <v>7.4999999999999997E-2</v>
          </cell>
        </row>
        <row r="36">
          <cell r="H36">
            <v>46527.596958871203</v>
          </cell>
        </row>
      </sheetData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91778.340806526656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L_By_LOB"/>
      <sheetName val="EOB"/>
      <sheetName val="Plan_Code_Table"/>
      <sheetName val="Claim Triangle"/>
      <sheetName val="Completion Factors"/>
      <sheetName val="Premium"/>
      <sheetName val="Summary"/>
      <sheetName val="Split"/>
      <sheetName val="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5502.54</v>
          </cell>
        </row>
        <row r="35">
          <cell r="H35">
            <v>7.4999999999999997E-2</v>
          </cell>
        </row>
        <row r="36">
          <cell r="H36">
            <v>88593.393911147272</v>
          </cell>
        </row>
      </sheetData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30038.18089387074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32709.246771985087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44030.965925685203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 CODE TABLE"/>
      <sheetName val="Split_By_LOB"/>
      <sheetName val="EOB Information"/>
      <sheetName val="Claim Triangle"/>
      <sheetName val="Sch H"/>
      <sheetName val="PL"/>
      <sheetName val="Premium"/>
      <sheetName val="Summary"/>
      <sheetName val="Assume split"/>
      <sheetName val="Completion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2216</v>
          </cell>
        </row>
        <row r="35">
          <cell r="H35">
            <v>7.4999999999999997E-2</v>
          </cell>
        </row>
        <row r="36">
          <cell r="H36">
            <v>43941.36</v>
          </cell>
        </row>
      </sheetData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149991.23906574678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PT"/>
      <sheetName val="Sch H"/>
      <sheetName val="Completion Factors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158653.1571364796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154413.06806839554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OB"/>
      <sheetName val="Claim Triangle"/>
      <sheetName val="Completion Factors"/>
      <sheetName val="Summary"/>
      <sheetName val="Premium"/>
    </sheetNames>
    <sheetDataSet>
      <sheetData sheetId="0" refreshError="1"/>
      <sheetData sheetId="1" refreshError="1"/>
      <sheetData sheetId="2" refreshError="1"/>
      <sheetData sheetId="3">
        <row r="35">
          <cell r="H35">
            <v>7.4999999999999997E-2</v>
          </cell>
        </row>
        <row r="36">
          <cell r="H36">
            <v>167515.8389747378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51206.964940978418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CL_By_LOB"/>
      <sheetName val="Claim Data"/>
      <sheetName val="PlanCodeTable"/>
      <sheetName val="PT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B8">
            <v>12308.86</v>
          </cell>
        </row>
        <row r="35">
          <cell r="H35">
            <v>7.4999999999999997E-2</v>
          </cell>
        </row>
        <row r="36">
          <cell r="H36">
            <v>61403.00276625227</v>
          </cell>
        </row>
      </sheetData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11846.479198751302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CL_By_LOB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0</v>
          </cell>
        </row>
        <row r="35">
          <cell r="H35">
            <v>7.4999999999999997E-2</v>
          </cell>
        </row>
        <row r="36">
          <cell r="H36">
            <v>22925.112714356808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ims"/>
      <sheetName val="Summary"/>
      <sheetName val="Completion Factors"/>
      <sheetName val="Premium"/>
    </sheetNames>
    <sheetDataSet>
      <sheetData sheetId="0" refreshError="1"/>
      <sheetData sheetId="1">
        <row r="35">
          <cell r="H35">
            <v>7.4999999999999997E-2</v>
          </cell>
        </row>
      </sheetData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/>
      <sheetData sheetId="4"/>
      <sheetData sheetId="5">
        <row r="35">
          <cell r="L35">
            <v>7.4999999999999997E-2</v>
          </cell>
        </row>
        <row r="36">
          <cell r="L36">
            <v>70721.566596096614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753918.26752040989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remium"/>
      <sheetName val="Summary"/>
    </sheetNames>
    <sheetDataSet>
      <sheetData sheetId="0" refreshError="1"/>
      <sheetData sheetId="1" refreshError="1"/>
      <sheetData sheetId="2">
        <row r="8">
          <cell r="B8">
            <v>257512.95000000007</v>
          </cell>
        </row>
        <row r="35">
          <cell r="H35">
            <v>7.4999999999999997E-2</v>
          </cell>
        </row>
        <row r="36">
          <cell r="H36">
            <v>777303.67606529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L33">
            <v>54056.931450765034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1:N18"/>
  <sheetViews>
    <sheetView tabSelected="1" workbookViewId="0">
      <selection activeCell="B15" sqref="B15"/>
    </sheetView>
  </sheetViews>
  <sheetFormatPr defaultRowHeight="11.5" x14ac:dyDescent="0.25"/>
  <cols>
    <col min="1" max="1" width="15.875" bestFit="1" customWidth="1"/>
    <col min="2" max="2" width="14.875" bestFit="1" customWidth="1"/>
    <col min="3" max="3" width="15.5" bestFit="1" customWidth="1"/>
    <col min="4" max="4" width="12.5" bestFit="1" customWidth="1"/>
    <col min="5" max="5" width="21" bestFit="1" customWidth="1"/>
    <col min="7" max="7" width="18.25" bestFit="1" customWidth="1"/>
    <col min="8" max="9" width="18.25" customWidth="1"/>
    <col min="10" max="10" width="26.125" customWidth="1"/>
    <col min="11" max="11" width="3.875" customWidth="1"/>
    <col min="12" max="12" width="40.25" bestFit="1" customWidth="1"/>
    <col min="13" max="13" width="13.625" bestFit="1" customWidth="1"/>
    <col min="14" max="14" width="84" customWidth="1"/>
  </cols>
  <sheetData>
    <row r="1" spans="1:14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23</v>
      </c>
      <c r="I1" s="2" t="s">
        <v>24</v>
      </c>
      <c r="J1" s="2" t="s">
        <v>25</v>
      </c>
      <c r="L1" s="2" t="s">
        <v>22</v>
      </c>
      <c r="M1" s="2" t="s">
        <v>27</v>
      </c>
      <c r="N1" s="2" t="s">
        <v>40</v>
      </c>
    </row>
    <row r="2" spans="1:14" ht="34.5" x14ac:dyDescent="0.25">
      <c r="A2" t="s">
        <v>6</v>
      </c>
      <c r="B2" s="10">
        <f>+[1]Summary!$H$33</f>
        <v>8326.956967740336</v>
      </c>
      <c r="C2" s="4">
        <f>+[2]Summary!$H$35</f>
        <v>7.4999999999999997E-2</v>
      </c>
      <c r="D2" s="9">
        <f>+B2*C2</f>
        <v>624.52177258052518</v>
      </c>
      <c r="E2" s="9">
        <f>+B2+D2</f>
        <v>8951.4787403208611</v>
      </c>
      <c r="G2" s="10">
        <f>+[2]Summary!$H$36</f>
        <v>10194.181693825194</v>
      </c>
      <c r="H2" s="10">
        <f>+E2-G2</f>
        <v>-1242.702953504333</v>
      </c>
      <c r="I2" s="11">
        <f>+H2/G2</f>
        <v>-0.12190315915764591</v>
      </c>
      <c r="J2" s="12" t="s">
        <v>37</v>
      </c>
      <c r="L2" t="s">
        <v>46</v>
      </c>
      <c r="M2" s="10">
        <v>10000</v>
      </c>
      <c r="N2" t="s">
        <v>41</v>
      </c>
    </row>
    <row r="3" spans="1:14" x14ac:dyDescent="0.25">
      <c r="A3" t="s">
        <v>7</v>
      </c>
      <c r="B3" s="10">
        <f>+[3]Summary!$H$33</f>
        <v>2656.0139413030593</v>
      </c>
      <c r="C3" s="3">
        <f>+[4]Summary!$H$35</f>
        <v>7.4999999999999997E-2</v>
      </c>
      <c r="D3" s="9">
        <f t="shared" ref="D3:D16" si="0">+B3*C3</f>
        <v>199.20104559772943</v>
      </c>
      <c r="E3" s="9">
        <f t="shared" ref="E3:E16" si="1">+B3+D3</f>
        <v>2855.2149869007885</v>
      </c>
      <c r="G3" s="10">
        <f>+[4]Summary!$H$36</f>
        <v>2852.8990141421973</v>
      </c>
      <c r="H3" s="10">
        <f t="shared" ref="H3:H16" si="2">+E3-G3</f>
        <v>2.3159727585912151</v>
      </c>
      <c r="I3" s="11">
        <f t="shared" ref="I3:I16" si="3">+H3/G3</f>
        <v>8.1179626306806944E-4</v>
      </c>
      <c r="J3" s="12"/>
      <c r="L3" t="s">
        <v>46</v>
      </c>
      <c r="M3" s="10">
        <v>10000</v>
      </c>
      <c r="N3" t="s">
        <v>39</v>
      </c>
    </row>
    <row r="4" spans="1:14" ht="23" x14ac:dyDescent="0.25">
      <c r="A4" t="s">
        <v>16</v>
      </c>
      <c r="B4" s="10">
        <f>+[5]Summary!$H$33</f>
        <v>41562.835214043698</v>
      </c>
      <c r="C4" s="3">
        <f>+[6]Summary!$H$35</f>
        <v>7.4999999999999997E-2</v>
      </c>
      <c r="D4" s="9">
        <f t="shared" si="0"/>
        <v>3117.2126410532774</v>
      </c>
      <c r="E4" s="9">
        <f t="shared" si="1"/>
        <v>44680.047855096978</v>
      </c>
      <c r="G4" s="10">
        <f>+[6]Summary!$H$36</f>
        <v>46527.596958871203</v>
      </c>
      <c r="H4" s="10">
        <f t="shared" si="2"/>
        <v>-1847.5491037742249</v>
      </c>
      <c r="I4" s="11">
        <f t="shared" si="3"/>
        <v>-3.970867236937671E-2</v>
      </c>
      <c r="J4" s="12" t="s">
        <v>28</v>
      </c>
      <c r="L4" t="s">
        <v>46</v>
      </c>
      <c r="M4" s="10">
        <v>10000</v>
      </c>
      <c r="N4" t="s">
        <v>38</v>
      </c>
    </row>
    <row r="5" spans="1:14" ht="34.5" x14ac:dyDescent="0.25">
      <c r="A5" t="s">
        <v>8</v>
      </c>
      <c r="B5" s="10">
        <f>+[7]Summary!$H$33</f>
        <v>91778.340806526656</v>
      </c>
      <c r="C5" s="3">
        <f>+[8]Summary!$H$35</f>
        <v>7.4999999999999997E-2</v>
      </c>
      <c r="D5" s="9">
        <f t="shared" si="0"/>
        <v>6883.3755604894986</v>
      </c>
      <c r="E5" s="9">
        <f t="shared" si="1"/>
        <v>98661.716367016154</v>
      </c>
      <c r="G5" s="10">
        <f>+[8]Summary!$H$36</f>
        <v>88593.393911147272</v>
      </c>
      <c r="H5" s="10">
        <f t="shared" si="2"/>
        <v>10068.322455868882</v>
      </c>
      <c r="I5" s="11">
        <f t="shared" si="3"/>
        <v>0.11364642454003598</v>
      </c>
      <c r="J5" s="12" t="s">
        <v>28</v>
      </c>
      <c r="L5" t="s">
        <v>46</v>
      </c>
      <c r="M5" s="10">
        <v>10000</v>
      </c>
      <c r="N5" t="s">
        <v>42</v>
      </c>
    </row>
    <row r="6" spans="1:14" x14ac:dyDescent="0.25">
      <c r="A6" t="s">
        <v>9</v>
      </c>
      <c r="B6" s="10">
        <f>+[9]Summary!$H$33</f>
        <v>30038.18089387074</v>
      </c>
      <c r="C6" s="3">
        <f>+[10]Summary!$H$35</f>
        <v>7.4999999999999997E-2</v>
      </c>
      <c r="D6" s="9">
        <f t="shared" si="0"/>
        <v>2252.8635670403055</v>
      </c>
      <c r="E6" s="9">
        <f t="shared" si="1"/>
        <v>32291.044460911045</v>
      </c>
      <c r="G6" s="10">
        <f>+[10]Summary!$H$36</f>
        <v>32709.246771985087</v>
      </c>
      <c r="H6" s="10">
        <f t="shared" si="2"/>
        <v>-418.20231107404106</v>
      </c>
      <c r="I6" s="11">
        <f t="shared" si="3"/>
        <v>-1.2785446084690162E-2</v>
      </c>
      <c r="J6" s="12"/>
      <c r="L6" t="s">
        <v>46</v>
      </c>
      <c r="M6" s="10" t="s">
        <v>29</v>
      </c>
      <c r="N6" t="s">
        <v>42</v>
      </c>
    </row>
    <row r="7" spans="1:14" ht="34.5" x14ac:dyDescent="0.25">
      <c r="A7" t="s">
        <v>10</v>
      </c>
      <c r="B7" s="10">
        <f>+[11]Summary!$H$33</f>
        <v>44030.965925685203</v>
      </c>
      <c r="C7" s="3">
        <f>+[12]Summary!$H$35</f>
        <v>7.4999999999999997E-2</v>
      </c>
      <c r="D7" s="9">
        <f t="shared" si="0"/>
        <v>3302.3224444263901</v>
      </c>
      <c r="E7" s="9">
        <f t="shared" si="1"/>
        <v>47333.288370111593</v>
      </c>
      <c r="G7" s="10">
        <f>+[12]Summary!$H$36</f>
        <v>43941.36</v>
      </c>
      <c r="H7" s="10">
        <f t="shared" si="2"/>
        <v>3391.9283701115928</v>
      </c>
      <c r="I7" s="11">
        <f t="shared" si="3"/>
        <v>7.7192157232083683E-2</v>
      </c>
      <c r="J7" s="12" t="s">
        <v>33</v>
      </c>
      <c r="L7" t="s">
        <v>46</v>
      </c>
      <c r="M7" s="10">
        <v>10000</v>
      </c>
      <c r="N7" t="s">
        <v>43</v>
      </c>
    </row>
    <row r="8" spans="1:14" x14ac:dyDescent="0.25">
      <c r="A8" t="s">
        <v>11</v>
      </c>
      <c r="B8" s="10">
        <f>+[13]Summary!$H$33</f>
        <v>149991.23906574678</v>
      </c>
      <c r="C8" s="3">
        <f>+[14]Summary!$H$35</f>
        <v>7.4999999999999997E-2</v>
      </c>
      <c r="D8" s="9">
        <f t="shared" si="0"/>
        <v>11249.342929931008</v>
      </c>
      <c r="E8" s="9">
        <f t="shared" si="1"/>
        <v>161240.58199567779</v>
      </c>
      <c r="G8" s="10">
        <f>+[14]Summary!$H$36</f>
        <v>158653.1571364796</v>
      </c>
      <c r="H8" s="10">
        <f t="shared" si="2"/>
        <v>2587.4248591981886</v>
      </c>
      <c r="I8" s="11">
        <f t="shared" si="3"/>
        <v>1.6308688121298372E-2</v>
      </c>
      <c r="J8" s="12" t="s">
        <v>30</v>
      </c>
      <c r="L8" t="s">
        <v>46</v>
      </c>
      <c r="M8" s="10">
        <v>10000</v>
      </c>
      <c r="N8" t="s">
        <v>38</v>
      </c>
    </row>
    <row r="9" spans="1:14" ht="57.5" x14ac:dyDescent="0.25">
      <c r="A9" t="s">
        <v>12</v>
      </c>
      <c r="B9" s="10">
        <f>+[15]Summary!$H$33</f>
        <v>154413.06806839554</v>
      </c>
      <c r="C9" s="3">
        <f>+[16]Summary!$H$35</f>
        <v>7.4999999999999997E-2</v>
      </c>
      <c r="D9" s="9">
        <f t="shared" si="0"/>
        <v>11580.980105129665</v>
      </c>
      <c r="E9" s="9">
        <f t="shared" si="1"/>
        <v>165994.0481735252</v>
      </c>
      <c r="G9" s="10">
        <f>+[16]Summary!$H$36</f>
        <v>167515.8389747378</v>
      </c>
      <c r="H9" s="10">
        <f t="shared" si="2"/>
        <v>-1521.790801212599</v>
      </c>
      <c r="I9" s="11">
        <f t="shared" si="3"/>
        <v>-9.0844591802575307E-3</v>
      </c>
      <c r="J9" s="12" t="s">
        <v>31</v>
      </c>
      <c r="L9" t="s">
        <v>46</v>
      </c>
      <c r="M9" s="10" t="s">
        <v>29</v>
      </c>
      <c r="N9" t="s">
        <v>38</v>
      </c>
    </row>
    <row r="10" spans="1:14" ht="69" x14ac:dyDescent="0.25">
      <c r="A10" t="s">
        <v>13</v>
      </c>
      <c r="B10" s="10">
        <f>+[17]Summary!$H$33</f>
        <v>51206.964940978418</v>
      </c>
      <c r="C10" s="3">
        <f>+[18]Summary!$H$35</f>
        <v>7.4999999999999997E-2</v>
      </c>
      <c r="D10" s="9">
        <f t="shared" si="0"/>
        <v>3840.5223705733811</v>
      </c>
      <c r="E10" s="9">
        <f t="shared" si="1"/>
        <v>55047.487311551798</v>
      </c>
      <c r="G10" s="10">
        <f>+[18]Summary!$H$36</f>
        <v>61403.00276625227</v>
      </c>
      <c r="H10" s="10">
        <f t="shared" si="2"/>
        <v>-6355.5154547004713</v>
      </c>
      <c r="I10" s="11">
        <f t="shared" si="3"/>
        <v>-0.10350496178329456</v>
      </c>
      <c r="J10" s="12" t="s">
        <v>32</v>
      </c>
      <c r="L10" t="s">
        <v>46</v>
      </c>
      <c r="M10" s="10">
        <v>50000</v>
      </c>
      <c r="N10" t="s">
        <v>43</v>
      </c>
    </row>
    <row r="11" spans="1:14" x14ac:dyDescent="0.25">
      <c r="A11" s="8" t="s">
        <v>20</v>
      </c>
      <c r="B11" s="10"/>
      <c r="C11" s="5">
        <v>0.05</v>
      </c>
      <c r="D11" s="9">
        <f t="shared" si="0"/>
        <v>0</v>
      </c>
      <c r="E11" s="9">
        <f t="shared" si="1"/>
        <v>0</v>
      </c>
      <c r="G11" s="10"/>
      <c r="H11" s="10"/>
      <c r="I11" s="11"/>
      <c r="J11" s="12" t="s">
        <v>26</v>
      </c>
      <c r="L11" s="8"/>
    </row>
    <row r="12" spans="1:14" x14ac:dyDescent="0.25">
      <c r="A12" s="8" t="s">
        <v>21</v>
      </c>
      <c r="B12" s="10"/>
      <c r="C12" s="5">
        <v>0.05</v>
      </c>
      <c r="D12" s="9">
        <f t="shared" si="0"/>
        <v>0</v>
      </c>
      <c r="E12" s="9">
        <f t="shared" si="1"/>
        <v>0</v>
      </c>
      <c r="G12" s="10"/>
      <c r="H12" s="10"/>
      <c r="I12" s="11"/>
      <c r="J12" s="12" t="s">
        <v>26</v>
      </c>
      <c r="L12" s="8"/>
    </row>
    <row r="13" spans="1:14" ht="23" x14ac:dyDescent="0.25">
      <c r="A13" t="s">
        <v>18</v>
      </c>
      <c r="B13" s="10">
        <f>+[19]Summary!$H$33</f>
        <v>11846.479198751302</v>
      </c>
      <c r="C13" s="3">
        <f>+[20]Summary!$H$35</f>
        <v>7.4999999999999997E-2</v>
      </c>
      <c r="D13" s="9">
        <f t="shared" si="0"/>
        <v>888.48593990634765</v>
      </c>
      <c r="E13" s="9">
        <f t="shared" si="1"/>
        <v>12734.96513865765</v>
      </c>
      <c r="G13" s="10">
        <f>+[20]Summary!$H$36</f>
        <v>22925.112714356808</v>
      </c>
      <c r="H13" s="10">
        <f t="shared" si="2"/>
        <v>-10190.147575699159</v>
      </c>
      <c r="I13" s="11">
        <f t="shared" si="3"/>
        <v>-0.44449716355451541</v>
      </c>
      <c r="J13" s="12" t="s">
        <v>36</v>
      </c>
      <c r="L13" t="s">
        <v>46</v>
      </c>
      <c r="M13" s="10">
        <v>10000</v>
      </c>
      <c r="N13" s="13" t="s">
        <v>44</v>
      </c>
    </row>
    <row r="14" spans="1:14" x14ac:dyDescent="0.25">
      <c r="A14" s="8" t="s">
        <v>19</v>
      </c>
      <c r="B14" s="10"/>
      <c r="C14" s="3">
        <f>+[21]Summary!$H$35</f>
        <v>7.4999999999999997E-2</v>
      </c>
      <c r="D14" s="9">
        <f t="shared" si="0"/>
        <v>0</v>
      </c>
      <c r="E14" s="9">
        <f t="shared" si="1"/>
        <v>0</v>
      </c>
      <c r="G14" s="10"/>
      <c r="H14" s="10">
        <f t="shared" si="2"/>
        <v>0</v>
      </c>
      <c r="I14" s="11"/>
      <c r="J14" s="12" t="s">
        <v>26</v>
      </c>
      <c r="L14" s="8"/>
      <c r="M14" s="10">
        <v>10000</v>
      </c>
    </row>
    <row r="15" spans="1:14" ht="69" x14ac:dyDescent="0.25">
      <c r="A15" t="s">
        <v>14</v>
      </c>
      <c r="B15" s="10">
        <f>+[25]Summary!L33</f>
        <v>54056.931450765034</v>
      </c>
      <c r="C15" s="3">
        <f>+[22]Summary!$L$35</f>
        <v>7.4999999999999997E-2</v>
      </c>
      <c r="D15" s="9">
        <f t="shared" si="0"/>
        <v>4054.2698588073772</v>
      </c>
      <c r="E15" s="9">
        <f t="shared" si="1"/>
        <v>58111.201309572411</v>
      </c>
      <c r="G15" s="10">
        <f>+[22]Summary!$L$36</f>
        <v>70721.566596096614</v>
      </c>
      <c r="H15" s="10">
        <f t="shared" si="2"/>
        <v>-12610.365286524204</v>
      </c>
      <c r="I15" s="11">
        <f t="shared" si="3"/>
        <v>-0.17831003883927279</v>
      </c>
      <c r="J15" s="12" t="s">
        <v>35</v>
      </c>
      <c r="L15" t="s">
        <v>46</v>
      </c>
      <c r="M15" s="10">
        <v>30000</v>
      </c>
      <c r="N15" s="13" t="s">
        <v>45</v>
      </c>
    </row>
    <row r="16" spans="1:14" ht="46" x14ac:dyDescent="0.25">
      <c r="A16" t="s">
        <v>17</v>
      </c>
      <c r="B16" s="10">
        <f>+[23]Summary!$H$33</f>
        <v>753918.26752040989</v>
      </c>
      <c r="C16" s="3">
        <f>+[24]Summary!$H$35</f>
        <v>7.4999999999999997E-2</v>
      </c>
      <c r="D16" s="9">
        <f t="shared" si="0"/>
        <v>56543.870064030743</v>
      </c>
      <c r="E16" s="9">
        <f t="shared" si="1"/>
        <v>810462.13758444064</v>
      </c>
      <c r="G16" s="10">
        <f>+[24]Summary!$H$36</f>
        <v>777303.67606529</v>
      </c>
      <c r="H16" s="10">
        <f t="shared" si="2"/>
        <v>33158.461519150645</v>
      </c>
      <c r="I16" s="11">
        <f t="shared" si="3"/>
        <v>4.265831043923364E-2</v>
      </c>
      <c r="J16" s="12" t="s">
        <v>34</v>
      </c>
      <c r="L16" t="s">
        <v>46</v>
      </c>
      <c r="M16" s="10">
        <v>10000</v>
      </c>
      <c r="N16" t="s">
        <v>38</v>
      </c>
    </row>
    <row r="17" spans="1:10" x14ac:dyDescent="0.25">
      <c r="B17" s="10"/>
      <c r="J17" s="13"/>
    </row>
    <row r="18" spans="1:10" x14ac:dyDescent="0.25">
      <c r="A18" s="6" t="s">
        <v>15</v>
      </c>
      <c r="B18" s="7">
        <f>+SUM(B2:B17)</f>
        <v>1393826.2439942164</v>
      </c>
      <c r="C18" s="6"/>
      <c r="D18" s="7">
        <f>+SUM(D2:D17)</f>
        <v>104536.96829956624</v>
      </c>
      <c r="E18" s="7">
        <f>+SUM(E2:E17)</f>
        <v>1498363.2122937827</v>
      </c>
      <c r="F18" s="6"/>
      <c r="G18" s="7">
        <f>+SUM(G2:G17)</f>
        <v>1483341.0326031842</v>
      </c>
      <c r="H18" s="7">
        <f>+SUM(H2:H17)</f>
        <v>15022.179690598867</v>
      </c>
      <c r="I18" s="11">
        <f>+H18/G18</f>
        <v>1.0127259585232227E-2</v>
      </c>
      <c r="J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2024-08-16T11:17:23Z</dcterms:created>
  <dcterms:modified xsi:type="dcterms:W3CDTF">2024-09-20T15:53:45Z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