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risk-my.sharepoint.com/personal/sofia_moretti_actrisk_com/Documents/Documents/GitHub/DMI_IBNP/Process Results/"/>
    </mc:Choice>
  </mc:AlternateContent>
  <xr:revisionPtr revIDLastSave="23" documentId="13_ncr:1_{C067BE93-D781-453F-B177-2605913D9F35}" xr6:coauthVersionLast="47" xr6:coauthVersionMax="47" xr10:uidLastSave="{1E37E24E-C18B-499F-B3ED-973AFECD8969}"/>
  <bookViews>
    <workbookView xWindow="-108" yWindow="-108" windowWidth="23256" windowHeight="12576" xr2:uid="{9B94C235-4B85-4887-832D-FBC296CFB081}"/>
  </bookViews>
  <sheets>
    <sheet name="Claims Liabilit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6" i="1"/>
  <c r="D17" i="1" l="1"/>
  <c r="D7" i="1"/>
  <c r="D8" i="1" l="1"/>
  <c r="D18" i="1"/>
  <c r="D9" i="1" l="1"/>
  <c r="D10" i="1" s="1"/>
  <c r="D11" i="1" s="1"/>
  <c r="D12" i="1" s="1"/>
  <c r="D13" i="1" s="1"/>
  <c r="D19" i="1"/>
  <c r="B18" i="1"/>
  <c r="C18" i="1" s="1"/>
  <c r="B15" i="1" l="1"/>
  <c r="B14" i="1"/>
  <c r="B17" i="1"/>
  <c r="E18" i="1"/>
  <c r="F18" i="1" s="1"/>
  <c r="C15" i="1" l="1"/>
  <c r="E15" i="1"/>
  <c r="F15" i="1"/>
  <c r="C14" i="1"/>
  <c r="E14" i="1"/>
  <c r="F14" i="1"/>
  <c r="C17" i="1"/>
  <c r="E17" i="1"/>
  <c r="F17" i="1" s="1"/>
  <c r="B10" i="1"/>
  <c r="C10" i="1" s="1"/>
  <c r="B9" i="1"/>
  <c r="C9" i="1" s="1"/>
  <c r="B7" i="1"/>
  <c r="C7" i="1" s="1"/>
  <c r="B5" i="1"/>
  <c r="C5" i="1" s="1"/>
  <c r="B13" i="1" l="1"/>
  <c r="C13" i="1" s="1"/>
  <c r="B16" i="1"/>
  <c r="C16" i="1" s="1"/>
  <c r="B12" i="1"/>
  <c r="C12" i="1" s="1"/>
  <c r="B11" i="1"/>
  <c r="C11" i="1" s="1"/>
  <c r="B8" i="1"/>
  <c r="C8" i="1" s="1"/>
  <c r="B6" i="1"/>
  <c r="C6" i="1" s="1"/>
  <c r="B19" i="1"/>
  <c r="C19" i="1" s="1"/>
  <c r="E10" i="1"/>
  <c r="F10" i="1" s="1"/>
  <c r="E9" i="1"/>
  <c r="F9" i="1" s="1"/>
  <c r="E7" i="1"/>
  <c r="F7" i="1" s="1"/>
  <c r="B21" i="1"/>
  <c r="E5" i="1"/>
  <c r="F5" i="1" s="1"/>
  <c r="C21" i="1" l="1"/>
  <c r="E19" i="1"/>
  <c r="E6" i="1"/>
  <c r="F6" i="1" s="1"/>
  <c r="E8" i="1"/>
  <c r="F8" i="1" s="1"/>
  <c r="E11" i="1"/>
  <c r="F11" i="1" s="1"/>
  <c r="E12" i="1"/>
  <c r="F12" i="1" s="1"/>
  <c r="E16" i="1"/>
  <c r="F16" i="1" s="1"/>
  <c r="E13" i="1"/>
  <c r="F13" i="1" s="1"/>
  <c r="E21" i="1"/>
  <c r="F19" i="1" l="1"/>
  <c r="F21" i="1"/>
  <c r="F26" i="1" l="1"/>
  <c r="K26" i="1" l="1"/>
  <c r="J26" i="1"/>
  <c r="I26" i="1"/>
  <c r="H26" i="1"/>
  <c r="G26" i="1"/>
  <c r="E26" i="1"/>
  <c r="D26" i="1"/>
  <c r="C26" i="1"/>
  <c r="B26" i="1"/>
  <c r="L26" i="1" s="1"/>
  <c r="A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tc={FEE7276F-F39D-4233-9473-6D1FFD4DFD91}</author>
  </authors>
  <commentList>
    <comment ref="C22" authorId="0" shapeId="0" xr:uid="{FEE7276F-F39D-4233-9473-6D1FFD4DFD91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defined by Karl</t>
      </text>
    </comment>
  </commentList>
</comments>
</file>

<file path=xl/sharedStrings.xml><?xml version="1.0" encoding="utf-8"?>
<sst xmlns="http://schemas.openxmlformats.org/spreadsheetml/2006/main" count="42" uniqueCount="38">
  <si>
    <t>Company_Code</t>
  </si>
  <si>
    <t>Claim Liability</t>
  </si>
  <si>
    <t>LAE Percentage</t>
  </si>
  <si>
    <t>LAE Liability</t>
  </si>
  <si>
    <t>Claim_Liability_Total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</si>
  <si>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</si>
  <si>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</si>
  <si>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</si>
  <si>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</si>
  <si>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</si>
  <si>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</si>
  <si>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</si>
  <si>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</si>
  <si>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</si>
  <si>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</si>
  <si>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</si>
  <si>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</si>
  <si>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</si>
  <si>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</si>
  <si>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</si>
  <si>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</si>
  <si>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Load</t>
  </si>
  <si>
    <t>Valuation Month</t>
  </si>
  <si>
    <t>XCH Allocation</t>
  </si>
  <si>
    <t>TY 2020</t>
  </si>
  <si>
    <t>TY 2019</t>
  </si>
  <si>
    <t>TY 2021</t>
  </si>
  <si>
    <t>TY 2022</t>
  </si>
  <si>
    <t>TY 2023</t>
  </si>
  <si>
    <t>Pre-HCCUA 2019</t>
  </si>
  <si>
    <t>HCCUA 2022</t>
  </si>
  <si>
    <t>HCCUA 2023</t>
  </si>
  <si>
    <t>HCCUA 2020</t>
  </si>
  <si>
    <t>HCCUA 2021</t>
  </si>
  <si>
    <t>Check</t>
  </si>
  <si>
    <t>Claims Liability Reserves - December 2024</t>
  </si>
  <si>
    <t>TY 2024</t>
  </si>
  <si>
    <t>* We don’t yet have premium data for this block. These are Decembar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</si>
</sst>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2" applyNumberFormat="1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0" fontId="0" fillId="3" borderId="0" xfId="0" applyNumberFormat="1" applyFill="1"/>
    <xf numFmtId="164" fontId="0" fillId="3" borderId="0" xfId="2" applyNumberFormat="1" applyFont="1" applyFill="1"/>
    <xf numFmtId="17" fontId="0" fillId="0" borderId="0" xfId="0" applyNumberFormat="1"/>
    <xf numFmtId="9" fontId="3" fillId="0" borderId="0" xfId="1" applyFont="1"/>
    <xf numFmtId="0" fontId="3" fillId="0" borderId="2" xfId="0" applyFont="1" applyBorder="1"/>
    <xf numFmtId="0" fontId="2" fillId="0" borderId="0" xfId="0" applyFont="1"/>
    <xf numFmtId="164" fontId="2" fillId="0" borderId="0" xfId="2" applyNumberFormat="1" applyFont="1"/>
    <xf numFmtId="164" fontId="0" fillId="0" borderId="0" xfId="2" applyNumberFormat="1" applyFont="1" applyFill="1"/>
    <xf numFmtId="0" fontId="6" fillId="4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microsoft.com/office/2017/10/relationships/person" Target="persons/perso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NMS_PLICA.xlsx" TargetMode="External"/><Relationship Id="rId1" Type="http://schemas.openxmlformats.org/officeDocument/2006/relationships/externalLinkPath" Target="Unified_IBNP_NMS_PLIC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MS_PLICA.xlsx" TargetMode="External"/><Relationship Id="rId1" Type="http://schemas.openxmlformats.org/officeDocument/2006/relationships/externalLinkPath" Target="Unified_IBNP_MS_PLICA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ULI.xlsx" TargetMode="External"/><Relationship Id="rId1" Type="http://schemas.openxmlformats.org/officeDocument/2006/relationships/externalLinkPath" Target="Unified_IBNP_ULI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ctrisk-my.sharepoint.com/personal/sofia_moretti_actrisk_com/Documents/Documents/GitHub/DMI_IBNP/Process%20Results/Unified_Claims_Liability_Summary_0.xlsx" TargetMode="External"/><Relationship Id="rId1" Type="http://schemas.openxmlformats.org/officeDocument/2006/relationships/externalLinkPath" Target="Unified_Claims_Liability_Summary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  <sheetName val="Unified_IBNP_ASL"/>
    </sheetNames>
    <sheetDataSet>
      <sheetData sheetId="0"/>
      <sheetData sheetId="1"/>
      <sheetData sheetId="2">
        <row r="8">
          <cell r="B8">
            <v>473.41</v>
          </cell>
        </row>
        <row r="33">
          <cell r="H33">
            <v>10063.031734922271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2399.61</v>
          </cell>
        </row>
        <row r="33">
          <cell r="H33">
            <v>3896.7174058418896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9539.1299999999992</v>
          </cell>
        </row>
        <row r="33">
          <cell r="H33">
            <v>31876.908179710837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12492.51</v>
          </cell>
        </row>
        <row r="33">
          <cell r="H33">
            <v>79184.307753484652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8">
          <cell r="B8">
            <v>15557.12</v>
          </cell>
        </row>
        <row r="33">
          <cell r="H33">
            <v>47533.620534755872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8">
          <cell r="B8">
            <v>9719.08</v>
          </cell>
        </row>
        <row r="33">
          <cell r="H33">
            <v>57461.776755291008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70449.170000000013</v>
          </cell>
        </row>
        <row r="33">
          <cell r="H33">
            <v>105635.1065393293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48719.38</v>
          </cell>
        </row>
        <row r="33">
          <cell r="H33">
            <v>161593.12051305853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8">
          <cell r="B8">
            <v>12410.36</v>
          </cell>
        </row>
        <row r="33">
          <cell r="H33">
            <v>106328.87298082054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8">
          <cell r="B8">
            <v>208058.68</v>
          </cell>
        </row>
        <row r="33">
          <cell r="H33">
            <v>165075.41370963273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10">
          <cell r="B10">
            <v>27.89</v>
          </cell>
        </row>
        <row r="33">
          <cell r="H33">
            <v>7889.4301745302082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8">
          <cell r="B8">
            <v>2628</v>
          </cell>
        </row>
        <row r="33">
          <cell r="H33">
            <v>13585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8">
          <cell r="B8">
            <v>156930.96</v>
          </cell>
        </row>
        <row r="33">
          <cell r="H33">
            <v>106410.99448837007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  <sheetName val="Unified_IBNP_Split_USH"/>
    </sheetNames>
    <sheetDataSet>
      <sheetData sheetId="0">
        <row r="7">
          <cell r="L7">
            <v>0</v>
          </cell>
        </row>
      </sheetData>
      <sheetData sheetId="1"/>
      <sheetData sheetId="2">
        <row r="8">
          <cell r="B8">
            <v>1228.809999999999</v>
          </cell>
        </row>
        <row r="33">
          <cell r="L33"/>
        </row>
      </sheetData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510454.37911995442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XCH Allocation"/>
    </sheetNames>
    <sheetDataSet>
      <sheetData sheetId="0"/>
      <sheetData sheetId="1">
        <row r="4">
          <cell r="C4">
            <v>-2.0402841676301544E-2</v>
          </cell>
          <cell r="D4">
            <v>-1.662421481575254E-2</v>
          </cell>
          <cell r="E4">
            <v>14.285504950592461</v>
          </cell>
          <cell r="F4">
            <v>22757.219505303099</v>
          </cell>
          <cell r="G4">
            <v>423192.68124912312</v>
          </cell>
          <cell r="H4">
            <v>64162.248450262399</v>
          </cell>
          <cell r="I4">
            <v>47.220851648323489</v>
          </cell>
          <cell r="J4">
            <v>280.76058572328714</v>
          </cell>
          <cell r="K4">
            <v>0</v>
          </cell>
          <cell r="L4">
            <v>0</v>
          </cell>
          <cell r="M4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ia Oranias" id="{FC6D6499-D49C-4EF0-B72D-3446266526EE}" userId="S::joranias@actrisk.com::f83fb233-9eca-431f-9d3a-a35e583d3cea" providerId="AD"/>
</personList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4-10-10T15:17:37.29" personId="{FC6D6499-D49C-4EF0-B72D-3446266526EE}" id="{FEE7276F-F39D-4233-9473-6D1FFD4DFD91}">
    <text>To be defined by Karl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2:M26"/>
  <sheetViews>
    <sheetView tabSelected="1" workbookViewId="0">
      <selection activeCell="N11" sqref="N11"/>
    </sheetView>
  </sheetViews>
  <sheetFormatPr defaultColWidth="9.140625" defaultRowHeight="13.2" x14ac:dyDescent="0.3"/>
  <cols>
    <col min="1" max="1" width="16.140625" bestFit="1" customWidth="1"/>
    <col min="2" max="2" width="15.85546875" customWidth="1"/>
    <col min="3" max="3" width="16.85546875" bestFit="1" customWidth="1"/>
    <col min="4" max="4" width="12.140625" customWidth="1"/>
    <col min="5" max="5" width="19.42578125" bestFit="1" customWidth="1"/>
    <col min="6" max="6" width="21.42578125" bestFit="1" customWidth="1"/>
    <col min="7" max="7" width="12.5703125" bestFit="1" customWidth="1"/>
    <col min="8" max="8" width="16.5703125" bestFit="1" customWidth="1"/>
    <col min="9" max="10" width="12.5703125" bestFit="1" customWidth="1"/>
    <col min="11" max="11" width="19.42578125" bestFit="1" customWidth="1"/>
    <col min="12" max="13" width="9.5703125" customWidth="1"/>
  </cols>
  <sheetData>
    <row r="2" spans="1:13" ht="13.8" x14ac:dyDescent="0.3">
      <c r="A2" s="19" t="s">
        <v>35</v>
      </c>
      <c r="B2" s="19"/>
      <c r="C2" s="19"/>
      <c r="D2" s="19"/>
      <c r="E2" s="19"/>
      <c r="F2" s="19"/>
      <c r="G2" s="19"/>
      <c r="H2" s="19"/>
    </row>
    <row r="4" spans="1:13" x14ac:dyDescent="0.3">
      <c r="A4" s="1" t="s">
        <v>0</v>
      </c>
      <c r="B4" s="1" t="s">
        <v>1</v>
      </c>
      <c r="C4" s="1" t="s">
        <v>21</v>
      </c>
      <c r="D4" s="1" t="s">
        <v>2</v>
      </c>
      <c r="E4" s="1" t="s">
        <v>3</v>
      </c>
      <c r="F4" s="1" t="s">
        <v>4</v>
      </c>
      <c r="H4" s="2" t="s">
        <v>22</v>
      </c>
    </row>
    <row r="5" spans="1:13" x14ac:dyDescent="0.3">
      <c r="A5" t="s">
        <v>5</v>
      </c>
      <c r="B5" s="8">
        <f>+[1]Summary!$H$33</f>
        <v>10063.031734922271</v>
      </c>
      <c r="C5" s="8">
        <f t="shared" ref="C5:C19" si="0">+B5*$C$22</f>
        <v>503.15158674611359</v>
      </c>
      <c r="D5" s="4">
        <v>7.4999999999999997E-2</v>
      </c>
      <c r="E5" s="7">
        <f>+B5*D5</f>
        <v>754.72738011917033</v>
      </c>
      <c r="F5" s="7">
        <f>+B5+C5+E5</f>
        <v>11320.910701787554</v>
      </c>
      <c r="H5" s="13">
        <v>45658</v>
      </c>
    </row>
    <row r="6" spans="1:13" x14ac:dyDescent="0.3">
      <c r="A6" t="s">
        <v>6</v>
      </c>
      <c r="B6" s="8">
        <f>+[2]Summary!$H$33</f>
        <v>3896.7174058418896</v>
      </c>
      <c r="C6" s="8">
        <f t="shared" si="0"/>
        <v>194.83587029209448</v>
      </c>
      <c r="D6" s="3">
        <f>+D5</f>
        <v>7.4999999999999997E-2</v>
      </c>
      <c r="E6" s="7">
        <f t="shared" ref="E6:E19" si="1">+B6*D6</f>
        <v>292.25380543814168</v>
      </c>
      <c r="F6" s="7">
        <f t="shared" ref="F6:F19" si="2">+B6+C6+E6</f>
        <v>4383.8070815721258</v>
      </c>
      <c r="H6" s="13">
        <v>45658</v>
      </c>
    </row>
    <row r="7" spans="1:13" x14ac:dyDescent="0.3">
      <c r="A7" t="s">
        <v>15</v>
      </c>
      <c r="B7" s="8">
        <f>+[3]Summary!$H$33</f>
        <v>31876.908179710837</v>
      </c>
      <c r="C7" s="8">
        <f t="shared" si="0"/>
        <v>1593.845408985542</v>
      </c>
      <c r="D7" s="3">
        <f t="shared" ref="D7:D13" si="3">+D6</f>
        <v>7.4999999999999997E-2</v>
      </c>
      <c r="E7" s="7">
        <f t="shared" si="1"/>
        <v>2390.7681134783129</v>
      </c>
      <c r="F7" s="7">
        <f t="shared" si="2"/>
        <v>35861.521702174694</v>
      </c>
      <c r="H7" s="13">
        <v>45658</v>
      </c>
    </row>
    <row r="8" spans="1:13" x14ac:dyDescent="0.3">
      <c r="A8" t="s">
        <v>7</v>
      </c>
      <c r="B8" s="8">
        <f>+[4]Summary!$H$33</f>
        <v>79184.307753484652</v>
      </c>
      <c r="C8" s="8">
        <f t="shared" si="0"/>
        <v>3959.2153876742327</v>
      </c>
      <c r="D8" s="3">
        <f t="shared" si="3"/>
        <v>7.4999999999999997E-2</v>
      </c>
      <c r="E8" s="7">
        <f t="shared" si="1"/>
        <v>5938.8230815113484</v>
      </c>
      <c r="F8" s="7">
        <f t="shared" si="2"/>
        <v>89082.34622267024</v>
      </c>
      <c r="H8" s="13">
        <v>45658</v>
      </c>
    </row>
    <row r="9" spans="1:13" x14ac:dyDescent="0.3">
      <c r="A9" t="s">
        <v>8</v>
      </c>
      <c r="B9" s="8">
        <f>+[5]Summary!$H$33</f>
        <v>47533.620534755872</v>
      </c>
      <c r="C9" s="8">
        <f t="shared" si="0"/>
        <v>2376.6810267377937</v>
      </c>
      <c r="D9" s="3">
        <f t="shared" si="3"/>
        <v>7.4999999999999997E-2</v>
      </c>
      <c r="E9" s="7">
        <f t="shared" si="1"/>
        <v>3565.0215401066903</v>
      </c>
      <c r="F9" s="7">
        <f t="shared" si="2"/>
        <v>53475.323101600356</v>
      </c>
      <c r="H9" s="13">
        <v>45658</v>
      </c>
    </row>
    <row r="10" spans="1:13" x14ac:dyDescent="0.3">
      <c r="A10" t="s">
        <v>9</v>
      </c>
      <c r="B10" s="8">
        <f>+[6]Summary!$H$33</f>
        <v>57461.776755291008</v>
      </c>
      <c r="C10" s="8">
        <f t="shared" si="0"/>
        <v>2873.0888377645506</v>
      </c>
      <c r="D10" s="3">
        <f t="shared" si="3"/>
        <v>7.4999999999999997E-2</v>
      </c>
      <c r="E10" s="7">
        <f t="shared" si="1"/>
        <v>4309.6332566468254</v>
      </c>
      <c r="F10" s="7">
        <f t="shared" si="2"/>
        <v>64644.498849702388</v>
      </c>
      <c r="H10" s="13">
        <v>45658</v>
      </c>
    </row>
    <row r="11" spans="1:13" x14ac:dyDescent="0.3">
      <c r="A11" t="s">
        <v>10</v>
      </c>
      <c r="B11" s="8">
        <f>+[7]Summary!$H$33</f>
        <v>105635.1065393293</v>
      </c>
      <c r="C11" s="8">
        <f t="shared" si="0"/>
        <v>5281.755326966465</v>
      </c>
      <c r="D11" s="3">
        <f t="shared" si="3"/>
        <v>7.4999999999999997E-2</v>
      </c>
      <c r="E11" s="7">
        <f t="shared" si="1"/>
        <v>7922.632990449697</v>
      </c>
      <c r="F11" s="7">
        <f t="shared" si="2"/>
        <v>118839.49485674546</v>
      </c>
      <c r="H11" s="13">
        <v>45658</v>
      </c>
    </row>
    <row r="12" spans="1:13" x14ac:dyDescent="0.3">
      <c r="A12" s="9" t="s">
        <v>11</v>
      </c>
      <c r="B12" s="10">
        <f>+[8]Summary!$H$33</f>
        <v>161593.12051305853</v>
      </c>
      <c r="C12" s="10">
        <f t="shared" si="0"/>
        <v>8079.6560256529265</v>
      </c>
      <c r="D12" s="11">
        <f t="shared" si="3"/>
        <v>7.4999999999999997E-2</v>
      </c>
      <c r="E12" s="12">
        <f t="shared" si="1"/>
        <v>12119.48403847939</v>
      </c>
      <c r="F12" s="12">
        <f t="shared" si="2"/>
        <v>181792.26057719084</v>
      </c>
      <c r="H12" s="13">
        <v>45627</v>
      </c>
      <c r="I12" s="9" t="s">
        <v>37</v>
      </c>
      <c r="J12" s="9"/>
      <c r="K12" s="9"/>
      <c r="L12" s="9"/>
      <c r="M12" s="9"/>
    </row>
    <row r="13" spans="1:13" x14ac:dyDescent="0.3">
      <c r="A13" t="s">
        <v>12</v>
      </c>
      <c r="B13" s="8">
        <f>+[9]Summary!$H$33</f>
        <v>106328.87298082054</v>
      </c>
      <c r="C13" s="8">
        <f t="shared" si="0"/>
        <v>5316.4436490410271</v>
      </c>
      <c r="D13" s="3">
        <f t="shared" si="3"/>
        <v>7.4999999999999997E-2</v>
      </c>
      <c r="E13" s="18">
        <f t="shared" si="1"/>
        <v>7974.6654735615402</v>
      </c>
      <c r="F13" s="18">
        <f t="shared" si="2"/>
        <v>119619.98210342311</v>
      </c>
      <c r="H13" s="13">
        <v>45658</v>
      </c>
    </row>
    <row r="14" spans="1:13" x14ac:dyDescent="0.3">
      <c r="A14" s="9" t="s">
        <v>19</v>
      </c>
      <c r="B14" s="10">
        <f>+[10]Summary!$H$33</f>
        <v>165075.41370963273</v>
      </c>
      <c r="C14" s="10">
        <f t="shared" si="0"/>
        <v>8253.770685481637</v>
      </c>
      <c r="D14" s="11">
        <v>0.05</v>
      </c>
      <c r="E14" s="12">
        <f t="shared" si="1"/>
        <v>8253.770685481637</v>
      </c>
      <c r="F14" s="12">
        <f t="shared" si="2"/>
        <v>181582.955080596</v>
      </c>
      <c r="H14" s="13">
        <v>45627</v>
      </c>
      <c r="I14" s="9" t="s">
        <v>37</v>
      </c>
      <c r="J14" s="9"/>
      <c r="K14" s="9"/>
      <c r="L14" s="9"/>
      <c r="M14" s="9"/>
    </row>
    <row r="15" spans="1:13" x14ac:dyDescent="0.3">
      <c r="A15" s="9" t="s">
        <v>20</v>
      </c>
      <c r="B15" s="10">
        <f>+[11]Summary!$H$33</f>
        <v>7889.4301745302082</v>
      </c>
      <c r="C15" s="10">
        <f t="shared" si="0"/>
        <v>394.47150872651042</v>
      </c>
      <c r="D15" s="11">
        <v>0.05</v>
      </c>
      <c r="E15" s="12">
        <f t="shared" si="1"/>
        <v>394.47150872651042</v>
      </c>
      <c r="F15" s="12">
        <f t="shared" si="2"/>
        <v>8678.3731919832298</v>
      </c>
      <c r="H15" s="13">
        <v>45627</v>
      </c>
      <c r="I15" s="9" t="s">
        <v>37</v>
      </c>
      <c r="J15" s="9"/>
      <c r="K15" s="9"/>
      <c r="L15" s="9"/>
      <c r="M15" s="9"/>
    </row>
    <row r="16" spans="1:13" x14ac:dyDescent="0.3">
      <c r="A16" t="s">
        <v>17</v>
      </c>
      <c r="B16" s="8">
        <f>+[12]Summary!$H$33</f>
        <v>13585</v>
      </c>
      <c r="C16" s="8">
        <f t="shared" si="0"/>
        <v>679.25</v>
      </c>
      <c r="D16" s="3">
        <f>+D5</f>
        <v>7.4999999999999997E-2</v>
      </c>
      <c r="E16" s="18">
        <f t="shared" si="1"/>
        <v>1018.875</v>
      </c>
      <c r="F16" s="18">
        <f t="shared" si="2"/>
        <v>15283.125</v>
      </c>
      <c r="H16" s="13">
        <v>45658</v>
      </c>
    </row>
    <row r="17" spans="1:13" x14ac:dyDescent="0.3">
      <c r="A17" s="9" t="s">
        <v>18</v>
      </c>
      <c r="B17" s="10">
        <f>+[13]Summary!$H$33</f>
        <v>106410.99448837007</v>
      </c>
      <c r="C17" s="10">
        <f t="shared" si="0"/>
        <v>5320.5497244185035</v>
      </c>
      <c r="D17" s="11">
        <f t="shared" ref="D17:D19" si="4">+D6</f>
        <v>7.4999999999999997E-2</v>
      </c>
      <c r="E17" s="12">
        <f t="shared" si="1"/>
        <v>7980.8245866277548</v>
      </c>
      <c r="F17" s="12">
        <f t="shared" si="2"/>
        <v>119712.36879941633</v>
      </c>
      <c r="H17" s="13">
        <v>45627</v>
      </c>
      <c r="I17" s="9" t="s">
        <v>37</v>
      </c>
      <c r="J17" s="9"/>
      <c r="K17" s="9"/>
      <c r="L17" s="9"/>
      <c r="M17" s="9"/>
    </row>
    <row r="18" spans="1:13" x14ac:dyDescent="0.3">
      <c r="A18" t="s">
        <v>13</v>
      </c>
      <c r="B18" s="8">
        <f>+[14]Summary!$L$33</f>
        <v>0</v>
      </c>
      <c r="C18" s="8">
        <f t="shared" si="0"/>
        <v>0</v>
      </c>
      <c r="D18" s="3">
        <f t="shared" si="4"/>
        <v>7.4999999999999997E-2</v>
      </c>
      <c r="E18" s="18">
        <f t="shared" si="1"/>
        <v>0</v>
      </c>
      <c r="F18" s="18">
        <f t="shared" si="2"/>
        <v>0</v>
      </c>
      <c r="H18" s="13">
        <v>45658</v>
      </c>
    </row>
    <row r="19" spans="1:13" x14ac:dyDescent="0.3">
      <c r="A19" s="9" t="s">
        <v>16</v>
      </c>
      <c r="B19" s="10">
        <f>+[15]Summary!$H$33</f>
        <v>510454.37911995442</v>
      </c>
      <c r="C19" s="10">
        <f t="shared" si="0"/>
        <v>25522.718955997723</v>
      </c>
      <c r="D19" s="11">
        <f t="shared" si="4"/>
        <v>7.4999999999999997E-2</v>
      </c>
      <c r="E19" s="12">
        <f t="shared" si="1"/>
        <v>38284.078433996583</v>
      </c>
      <c r="F19" s="12">
        <f t="shared" si="2"/>
        <v>574261.17650994868</v>
      </c>
      <c r="H19" s="13">
        <v>45627</v>
      </c>
      <c r="I19" s="9" t="s">
        <v>37</v>
      </c>
      <c r="J19" s="9"/>
      <c r="K19" s="9"/>
      <c r="L19" s="9"/>
      <c r="M19" s="9"/>
    </row>
    <row r="20" spans="1:13" x14ac:dyDescent="0.3">
      <c r="B20" s="8"/>
      <c r="C20" s="8"/>
    </row>
    <row r="21" spans="1:13" x14ac:dyDescent="0.3">
      <c r="A21" s="5" t="s">
        <v>14</v>
      </c>
      <c r="B21" s="6">
        <f>+SUM(B5:B20)</f>
        <v>1406988.6798897022</v>
      </c>
      <c r="C21" s="6">
        <f>+SUM(C5:C20)</f>
        <v>70349.433994485124</v>
      </c>
      <c r="D21" s="5"/>
      <c r="E21" s="6">
        <f>+SUM(E5:E20)</f>
        <v>101200.02989462361</v>
      </c>
      <c r="F21" s="6">
        <f>+SUM(F5:F20)</f>
        <v>1578538.143778811</v>
      </c>
    </row>
    <row r="22" spans="1:13" x14ac:dyDescent="0.3">
      <c r="C22" s="14">
        <v>0.05</v>
      </c>
    </row>
    <row r="24" spans="1:13" x14ac:dyDescent="0.3">
      <c r="A24" s="5" t="s">
        <v>23</v>
      </c>
    </row>
    <row r="25" spans="1:13" x14ac:dyDescent="0.3">
      <c r="A25" s="5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36</v>
      </c>
      <c r="G25" s="5" t="s">
        <v>29</v>
      </c>
      <c r="H25" s="5" t="s">
        <v>30</v>
      </c>
      <c r="I25" s="5" t="s">
        <v>31</v>
      </c>
      <c r="J25" s="5" t="s">
        <v>32</v>
      </c>
      <c r="K25" s="15" t="s">
        <v>33</v>
      </c>
      <c r="L25" s="16" t="s">
        <v>34</v>
      </c>
    </row>
    <row r="26" spans="1:13" x14ac:dyDescent="0.3">
      <c r="A26" s="7">
        <f>+'[16]XCH Allocation'!C4*(1+$D$19)+'[16]XCH Allocation'!C4*$C$22</f>
        <v>-2.2953196885839237E-2</v>
      </c>
      <c r="B26" s="7">
        <f>+'[16]XCH Allocation'!D4*(1+$D$19)+'[16]XCH Allocation'!D4*$C$22</f>
        <v>-1.8702241667721609E-2</v>
      </c>
      <c r="C26" s="7">
        <f>+'[16]XCH Allocation'!E4*(1+$D$19)+'[16]XCH Allocation'!E4*$C$22</f>
        <v>16.07119306941652</v>
      </c>
      <c r="D26" s="7">
        <f>+'[16]XCH Allocation'!F4*(1+$D$19)+'[16]XCH Allocation'!F4*$C$22</f>
        <v>25601.871943465983</v>
      </c>
      <c r="E26" s="7">
        <f>+'[16]XCH Allocation'!G4*(1+$D$19)+'[16]XCH Allocation'!G4*$C$22</f>
        <v>476091.76640526351</v>
      </c>
      <c r="F26" s="7">
        <f>+'[16]XCH Allocation'!H4*(1+$D$19)+'[16]XCH Allocation'!H4*$C$22</f>
        <v>72182.529506545194</v>
      </c>
      <c r="G26" s="7">
        <f>+'[16]XCH Allocation'!I4*(1+$D$19)+'[16]XCH Allocation'!I4*$C$22</f>
        <v>53.123458104363927</v>
      </c>
      <c r="H26" s="7">
        <f>+'[16]XCH Allocation'!J4*(1+$D$19)+'[16]XCH Allocation'!J4*$C$22</f>
        <v>315.85565893869801</v>
      </c>
      <c r="I26" s="7">
        <f>+'[16]XCH Allocation'!K4*(1+$D$19)+'[16]XCH Allocation'!K4*$C$22</f>
        <v>0</v>
      </c>
      <c r="J26" s="7">
        <f>+'[16]XCH Allocation'!L4*(1+$D$19)+'[16]XCH Allocation'!L4*$C$22</f>
        <v>0</v>
      </c>
      <c r="K26" s="7">
        <f>+'[16]XCH Allocation'!M4*(1+$D$19)+'[16]XCH Allocation'!M4*$C$22</f>
        <v>0</v>
      </c>
      <c r="L26" s="17">
        <f>+SUM(B26:K26)-F19</f>
        <v>2.2953196661546826E-2</v>
      </c>
    </row>
  </sheetData>
  <mergeCells count="1">
    <mergeCell ref="A2:H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Liability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Sofia Moretti</cp:lastModifiedBy>
  <dcterms:created xsi:type="dcterms:W3CDTF">2024-08-16T11:17:23Z</dcterms:created>
  <dcterms:modified xsi:type="dcterms:W3CDTF">2025-02-07T12:57:02Z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