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RDS02\Unified$\01_Financial_Reporting\03_Stat\99_ARM_IBNP_Process\2025.02\"/>
    </mc:Choice>
  </mc:AlternateContent>
  <xr:revisionPtr revIDLastSave="0" documentId="13_ncr:1_{C7BC72F0-DF8D-4979-AF6C-59C71E506B29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Completion Factors" sheetId="1" r:id="rId1"/>
    <sheet name="Plot Patterns" sheetId="2" r:id="rId2"/>
    <sheet name="Summary" sheetId="3" r:id="rId3"/>
    <sheet name="Summary - vol all" sheetId="5" r:id="rId4"/>
    <sheet name="Summary - vol all BF" sheetId="4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9" i="5"/>
  <c r="G34" i="5"/>
  <c r="I33" i="5"/>
  <c r="Q31" i="5"/>
  <c r="M31" i="5"/>
  <c r="N31" i="5" s="1"/>
  <c r="C31" i="5"/>
  <c r="A31" i="5"/>
  <c r="T31" i="5" s="1"/>
  <c r="Q30" i="5"/>
  <c r="M30" i="5"/>
  <c r="N30" i="5" s="1"/>
  <c r="C30" i="5"/>
  <c r="A30" i="5"/>
  <c r="T30" i="5" s="1"/>
  <c r="Q29" i="5"/>
  <c r="M29" i="5"/>
  <c r="N29" i="5" s="1"/>
  <c r="C29" i="5"/>
  <c r="A29" i="5"/>
  <c r="T29" i="5" s="1"/>
  <c r="Q28" i="5"/>
  <c r="M28" i="5"/>
  <c r="C28" i="5"/>
  <c r="D28" i="5" s="1"/>
  <c r="A28" i="5"/>
  <c r="T28" i="5" s="1"/>
  <c r="Q27" i="5"/>
  <c r="M27" i="5"/>
  <c r="C27" i="5"/>
  <c r="D27" i="5" s="1"/>
  <c r="A27" i="5"/>
  <c r="T27" i="5" s="1"/>
  <c r="Q26" i="5"/>
  <c r="M26" i="5"/>
  <c r="C26" i="5"/>
  <c r="D26" i="5" s="1"/>
  <c r="A26" i="5"/>
  <c r="T26" i="5" s="1"/>
  <c r="Q25" i="5"/>
  <c r="M25" i="5"/>
  <c r="C25" i="5"/>
  <c r="D25" i="5" s="1"/>
  <c r="A25" i="5"/>
  <c r="T25" i="5" s="1"/>
  <c r="Q24" i="5"/>
  <c r="M24" i="5"/>
  <c r="C24" i="5"/>
  <c r="D24" i="5" s="1"/>
  <c r="A24" i="5"/>
  <c r="T24" i="5" s="1"/>
  <c r="Q23" i="5"/>
  <c r="M23" i="5"/>
  <c r="C23" i="5"/>
  <c r="D23" i="5" s="1"/>
  <c r="A23" i="5"/>
  <c r="T23" i="5" s="1"/>
  <c r="Q22" i="5"/>
  <c r="M22" i="5"/>
  <c r="C22" i="5"/>
  <c r="D22" i="5" s="1"/>
  <c r="A22" i="5"/>
  <c r="T22" i="5" s="1"/>
  <c r="Q21" i="5"/>
  <c r="M21" i="5"/>
  <c r="C21" i="5"/>
  <c r="D21" i="5" s="1"/>
  <c r="A21" i="5"/>
  <c r="T21" i="5" s="1"/>
  <c r="Q20" i="5"/>
  <c r="M20" i="5"/>
  <c r="C20" i="5"/>
  <c r="D20" i="5" s="1"/>
  <c r="A20" i="5"/>
  <c r="T20" i="5" s="1"/>
  <c r="M19" i="5"/>
  <c r="C19" i="5"/>
  <c r="D19" i="5" s="1"/>
  <c r="A19" i="5"/>
  <c r="T19" i="5" s="1"/>
  <c r="M18" i="5"/>
  <c r="C18" i="5"/>
  <c r="D18" i="5" s="1"/>
  <c r="A18" i="5"/>
  <c r="T18" i="5" s="1"/>
  <c r="M17" i="5"/>
  <c r="C17" i="5"/>
  <c r="D17" i="5" s="1"/>
  <c r="A17" i="5"/>
  <c r="T17" i="5" s="1"/>
  <c r="M16" i="5"/>
  <c r="C16" i="5"/>
  <c r="D16" i="5" s="1"/>
  <c r="A16" i="5"/>
  <c r="T16" i="5" s="1"/>
  <c r="M15" i="5"/>
  <c r="C15" i="5"/>
  <c r="D15" i="5" s="1"/>
  <c r="A15" i="5"/>
  <c r="T15" i="5" s="1"/>
  <c r="M14" i="5"/>
  <c r="C14" i="5"/>
  <c r="D14" i="5" s="1"/>
  <c r="A14" i="5"/>
  <c r="T14" i="5" s="1"/>
  <c r="M13" i="5"/>
  <c r="C13" i="5"/>
  <c r="D13" i="5" s="1"/>
  <c r="A13" i="5"/>
  <c r="T13" i="5" s="1"/>
  <c r="M12" i="5"/>
  <c r="C12" i="5"/>
  <c r="D12" i="5" s="1"/>
  <c r="A12" i="5"/>
  <c r="T12" i="5" s="1"/>
  <c r="M11" i="5"/>
  <c r="C11" i="5"/>
  <c r="D11" i="5" s="1"/>
  <c r="A11" i="5"/>
  <c r="T11" i="5" s="1"/>
  <c r="M10" i="5"/>
  <c r="C10" i="5"/>
  <c r="D10" i="5" s="1"/>
  <c r="A10" i="5"/>
  <c r="T10" i="5" s="1"/>
  <c r="M9" i="5"/>
  <c r="C9" i="5"/>
  <c r="D9" i="5" s="1"/>
  <c r="A9" i="5"/>
  <c r="T9" i="5" s="1"/>
  <c r="M8" i="5"/>
  <c r="C8" i="5"/>
  <c r="D8" i="5" s="1"/>
  <c r="A8" i="5"/>
  <c r="T8" i="5" s="1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G31" i="4"/>
  <c r="G30" i="4"/>
  <c r="G29" i="4"/>
  <c r="G8" i="5" l="1"/>
  <c r="E8" i="5"/>
  <c r="G9" i="5"/>
  <c r="E9" i="5"/>
  <c r="G10" i="5"/>
  <c r="E10" i="5"/>
  <c r="G11" i="5"/>
  <c r="E11" i="5"/>
  <c r="G12" i="5"/>
  <c r="E12" i="5"/>
  <c r="G13" i="5"/>
  <c r="E13" i="5"/>
  <c r="G14" i="5"/>
  <c r="E14" i="5"/>
  <c r="G15" i="5"/>
  <c r="E15" i="5"/>
  <c r="G16" i="5"/>
  <c r="E16" i="5"/>
  <c r="G17" i="5"/>
  <c r="E17" i="5"/>
  <c r="G18" i="5"/>
  <c r="E18" i="5"/>
  <c r="G19" i="5"/>
  <c r="E19" i="5"/>
  <c r="G20" i="5"/>
  <c r="E20" i="5"/>
  <c r="G21" i="5"/>
  <c r="E21" i="5"/>
  <c r="G22" i="5"/>
  <c r="E22" i="5"/>
  <c r="G23" i="5"/>
  <c r="E23" i="5"/>
  <c r="G24" i="5"/>
  <c r="E24" i="5"/>
  <c r="G25" i="5"/>
  <c r="E25" i="5"/>
  <c r="G26" i="5"/>
  <c r="E26" i="5"/>
  <c r="G27" i="5"/>
  <c r="E27" i="5"/>
  <c r="G28" i="5"/>
  <c r="E28" i="5"/>
  <c r="H29" i="5"/>
  <c r="J29" i="5" s="1"/>
  <c r="D29" i="5"/>
  <c r="H30" i="5"/>
  <c r="J30" i="5" s="1"/>
  <c r="D30" i="5"/>
  <c r="H31" i="5"/>
  <c r="D31" i="5"/>
  <c r="F31" i="5" l="1"/>
  <c r="E31" i="5"/>
  <c r="F30" i="5"/>
  <c r="E30" i="5"/>
  <c r="F29" i="5"/>
  <c r="E29" i="5"/>
  <c r="L28" i="5"/>
  <c r="H28" i="5"/>
  <c r="J28" i="5" s="1"/>
  <c r="L27" i="5"/>
  <c r="H27" i="5"/>
  <c r="J27" i="5" s="1"/>
  <c r="L26" i="5"/>
  <c r="H26" i="5"/>
  <c r="J26" i="5" s="1"/>
  <c r="L25" i="5"/>
  <c r="H25" i="5"/>
  <c r="J25" i="5" s="1"/>
  <c r="L24" i="5"/>
  <c r="H24" i="5"/>
  <c r="J24" i="5" s="1"/>
  <c r="L23" i="5"/>
  <c r="H23" i="5"/>
  <c r="J23" i="5" s="1"/>
  <c r="L22" i="5"/>
  <c r="H22" i="5"/>
  <c r="J22" i="5" s="1"/>
  <c r="L21" i="5"/>
  <c r="H21" i="5"/>
  <c r="J21" i="5" s="1"/>
  <c r="L33" i="5"/>
  <c r="O31" i="5"/>
  <c r="L20" i="5"/>
  <c r="H20" i="5"/>
  <c r="J20" i="5" s="1"/>
  <c r="O30" i="5"/>
  <c r="L19" i="5"/>
  <c r="H19" i="5"/>
  <c r="J19" i="5" s="1"/>
  <c r="O29" i="5"/>
  <c r="L18" i="5"/>
  <c r="H18" i="5"/>
  <c r="J18" i="5" s="1"/>
  <c r="O28" i="5"/>
  <c r="L17" i="5"/>
  <c r="H17" i="5"/>
  <c r="J17" i="5" s="1"/>
  <c r="O27" i="5"/>
  <c r="L16" i="5"/>
  <c r="N16" i="5" s="1"/>
  <c r="H16" i="5"/>
  <c r="J16" i="5" s="1"/>
  <c r="O26" i="5"/>
  <c r="L15" i="5"/>
  <c r="N15" i="5" s="1"/>
  <c r="H15" i="5"/>
  <c r="J15" i="5" s="1"/>
  <c r="J33" i="5" s="1"/>
  <c r="O25" i="5"/>
  <c r="L14" i="5"/>
  <c r="N14" i="5" s="1"/>
  <c r="H14" i="5"/>
  <c r="O24" i="5"/>
  <c r="L13" i="5"/>
  <c r="N13" i="5" s="1"/>
  <c r="H13" i="5"/>
  <c r="O23" i="5"/>
  <c r="L12" i="5"/>
  <c r="N12" i="5" s="1"/>
  <c r="H12" i="5"/>
  <c r="O22" i="5"/>
  <c r="L11" i="5"/>
  <c r="N11" i="5" s="1"/>
  <c r="H11" i="5"/>
  <c r="O21" i="5"/>
  <c r="L10" i="5"/>
  <c r="N10" i="5" s="1"/>
  <c r="H10" i="5"/>
  <c r="O20" i="5"/>
  <c r="L9" i="5"/>
  <c r="N9" i="5" s="1"/>
  <c r="H9" i="5"/>
  <c r="O19" i="5"/>
  <c r="L8" i="5"/>
  <c r="N8" i="5" s="1"/>
  <c r="H8" i="5"/>
  <c r="H33" i="5" s="1"/>
  <c r="H36" i="5" s="1"/>
  <c r="P29" i="5" l="1"/>
  <c r="N17" i="5"/>
  <c r="P30" i="5"/>
  <c r="N18" i="5"/>
  <c r="P31" i="5"/>
  <c r="N19" i="5"/>
  <c r="P20" i="5"/>
  <c r="N20" i="5"/>
  <c r="P21" i="5"/>
  <c r="N21" i="5"/>
  <c r="P22" i="5"/>
  <c r="N22" i="5"/>
  <c r="P23" i="5"/>
  <c r="N23" i="5"/>
  <c r="P24" i="5"/>
  <c r="N24" i="5"/>
  <c r="P25" i="5"/>
  <c r="N25" i="5"/>
  <c r="P26" i="5"/>
  <c r="N26" i="5"/>
  <c r="P27" i="5"/>
  <c r="N27" i="5"/>
  <c r="P28" i="5"/>
  <c r="N28" i="5"/>
  <c r="J33" i="3" l="1"/>
  <c r="I33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I33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C17" i="4"/>
  <c r="C18" i="4"/>
  <c r="C19" i="4"/>
  <c r="C20" i="4"/>
  <c r="C22" i="4"/>
  <c r="C21" i="4"/>
  <c r="C23" i="4"/>
  <c r="C24" i="4"/>
  <c r="C25" i="4"/>
  <c r="C26" i="4"/>
  <c r="C27" i="4"/>
  <c r="C28" i="4"/>
  <c r="C29" i="4"/>
  <c r="C30" i="4"/>
  <c r="C31" i="4"/>
  <c r="G34" i="4"/>
  <c r="Q31" i="4"/>
  <c r="M31" i="4"/>
  <c r="N31" i="4" s="1"/>
  <c r="D31" i="4"/>
  <c r="A31" i="4"/>
  <c r="T31" i="4" s="1"/>
  <c r="Q30" i="4"/>
  <c r="M30" i="4"/>
  <c r="N30" i="4" s="1"/>
  <c r="D30" i="4"/>
  <c r="A30" i="4"/>
  <c r="T30" i="4" s="1"/>
  <c r="Q29" i="4"/>
  <c r="M29" i="4"/>
  <c r="N29" i="4" s="1"/>
  <c r="D29" i="4"/>
  <c r="A29" i="4"/>
  <c r="T29" i="4" s="1"/>
  <c r="Q28" i="4"/>
  <c r="M28" i="4"/>
  <c r="D28" i="4"/>
  <c r="A28" i="4"/>
  <c r="T28" i="4" s="1"/>
  <c r="Q27" i="4"/>
  <c r="M27" i="4"/>
  <c r="D27" i="4"/>
  <c r="A27" i="4"/>
  <c r="T27" i="4" s="1"/>
  <c r="Q26" i="4"/>
  <c r="M26" i="4"/>
  <c r="D26" i="4"/>
  <c r="A26" i="4"/>
  <c r="T26" i="4" s="1"/>
  <c r="Q25" i="4"/>
  <c r="M25" i="4"/>
  <c r="D25" i="4"/>
  <c r="A25" i="4"/>
  <c r="T25" i="4" s="1"/>
  <c r="Q24" i="4"/>
  <c r="M24" i="4"/>
  <c r="D24" i="4"/>
  <c r="A24" i="4"/>
  <c r="T24" i="4" s="1"/>
  <c r="Q23" i="4"/>
  <c r="M23" i="4"/>
  <c r="D23" i="4"/>
  <c r="A23" i="4"/>
  <c r="T23" i="4" s="1"/>
  <c r="Q22" i="4"/>
  <c r="M22" i="4"/>
  <c r="D22" i="4"/>
  <c r="A22" i="4"/>
  <c r="T22" i="4" s="1"/>
  <c r="Q21" i="4"/>
  <c r="M21" i="4"/>
  <c r="D21" i="4"/>
  <c r="A21" i="4"/>
  <c r="T21" i="4" s="1"/>
  <c r="Q20" i="4"/>
  <c r="M20" i="4"/>
  <c r="D20" i="4"/>
  <c r="A20" i="4"/>
  <c r="T20" i="4" s="1"/>
  <c r="M19" i="4"/>
  <c r="D19" i="4"/>
  <c r="A19" i="4"/>
  <c r="T19" i="4" s="1"/>
  <c r="M18" i="4"/>
  <c r="D18" i="4"/>
  <c r="A18" i="4"/>
  <c r="T18" i="4" s="1"/>
  <c r="M17" i="4"/>
  <c r="D17" i="4"/>
  <c r="A17" i="4"/>
  <c r="T17" i="4" s="1"/>
  <c r="M16" i="4"/>
  <c r="C16" i="4"/>
  <c r="D16" i="4" s="1"/>
  <c r="A16" i="4"/>
  <c r="T16" i="4" s="1"/>
  <c r="M15" i="4"/>
  <c r="C15" i="4"/>
  <c r="D15" i="4" s="1"/>
  <c r="A15" i="4"/>
  <c r="T15" i="4" s="1"/>
  <c r="M14" i="4"/>
  <c r="C14" i="4"/>
  <c r="D14" i="4" s="1"/>
  <c r="A14" i="4"/>
  <c r="T14" i="4" s="1"/>
  <c r="M13" i="4"/>
  <c r="C13" i="4"/>
  <c r="D13" i="4" s="1"/>
  <c r="A13" i="4"/>
  <c r="T13" i="4" s="1"/>
  <c r="M12" i="4"/>
  <c r="C12" i="4"/>
  <c r="D12" i="4" s="1"/>
  <c r="A12" i="4"/>
  <c r="T12" i="4" s="1"/>
  <c r="M11" i="4"/>
  <c r="C11" i="4"/>
  <c r="D11" i="4" s="1"/>
  <c r="A11" i="4"/>
  <c r="T11" i="4" s="1"/>
  <c r="M10" i="4"/>
  <c r="C10" i="4"/>
  <c r="D10" i="4" s="1"/>
  <c r="A10" i="4"/>
  <c r="T10" i="4" s="1"/>
  <c r="M9" i="4"/>
  <c r="C9" i="4"/>
  <c r="D9" i="4" s="1"/>
  <c r="A9" i="4"/>
  <c r="T9" i="4" s="1"/>
  <c r="M8" i="4"/>
  <c r="C8" i="4"/>
  <c r="D8" i="4" s="1"/>
  <c r="A8" i="4"/>
  <c r="T8" i="4" s="1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AQ37" i="3"/>
  <c r="AQ38" i="3" s="1"/>
  <c r="AQ39" i="3" s="1"/>
  <c r="AP37" i="3"/>
  <c r="AP38" i="3" s="1"/>
  <c r="AP39" i="3" s="1"/>
  <c r="AO37" i="3"/>
  <c r="AO38" i="3" s="1"/>
  <c r="AO39" i="3" s="1"/>
  <c r="AN37" i="3"/>
  <c r="AN38" i="3" s="1"/>
  <c r="AN39" i="3" s="1"/>
  <c r="AM37" i="3"/>
  <c r="AM38" i="3" s="1"/>
  <c r="AM39" i="3" s="1"/>
  <c r="AL37" i="3"/>
  <c r="AL38" i="3" s="1"/>
  <c r="AL39" i="3" s="1"/>
  <c r="AK37" i="3"/>
  <c r="AK38" i="3" s="1"/>
  <c r="AK39" i="3" s="1"/>
  <c r="AJ37" i="3"/>
  <c r="AJ38" i="3" s="1"/>
  <c r="AJ39" i="3" s="1"/>
  <c r="AI37" i="3"/>
  <c r="AI38" i="3" s="1"/>
  <c r="AI39" i="3" s="1"/>
  <c r="AH37" i="3"/>
  <c r="AH38" i="3" s="1"/>
  <c r="AH39" i="3" s="1"/>
  <c r="AG37" i="3"/>
  <c r="AG38" i="3" s="1"/>
  <c r="AG39" i="3" s="1"/>
  <c r="AF37" i="3"/>
  <c r="AF38" i="3" s="1"/>
  <c r="AF39" i="3" s="1"/>
  <c r="AE37" i="3"/>
  <c r="AE38" i="3" s="1"/>
  <c r="AE39" i="3" s="1"/>
  <c r="AD37" i="3"/>
  <c r="AD38" i="3" s="1"/>
  <c r="AD39" i="3" s="1"/>
  <c r="AC37" i="3"/>
  <c r="AC38" i="3" s="1"/>
  <c r="AC39" i="3" s="1"/>
  <c r="AB37" i="3"/>
  <c r="AB38" i="3" s="1"/>
  <c r="AB39" i="3" s="1"/>
  <c r="AA37" i="3"/>
  <c r="AA38" i="3" s="1"/>
  <c r="AA39" i="3" s="1"/>
  <c r="Z37" i="3"/>
  <c r="Z38" i="3" s="1"/>
  <c r="Z39" i="3" s="1"/>
  <c r="Y37" i="3"/>
  <c r="Y38" i="3" s="1"/>
  <c r="Y39" i="3" s="1"/>
  <c r="X37" i="3"/>
  <c r="X38" i="3" s="1"/>
  <c r="X39" i="3" s="1"/>
  <c r="W37" i="3"/>
  <c r="W38" i="3" s="1"/>
  <c r="W39" i="3" s="1"/>
  <c r="V37" i="3"/>
  <c r="V38" i="3" s="1"/>
  <c r="V39" i="3" s="1"/>
  <c r="U37" i="3"/>
  <c r="U38" i="3" s="1"/>
  <c r="U39" i="3" s="1"/>
  <c r="G8" i="4" l="1"/>
  <c r="E8" i="4"/>
  <c r="G9" i="4"/>
  <c r="E9" i="4"/>
  <c r="G10" i="4"/>
  <c r="E10" i="4"/>
  <c r="G11" i="4"/>
  <c r="E11" i="4"/>
  <c r="G12" i="4"/>
  <c r="E12" i="4"/>
  <c r="G13" i="4"/>
  <c r="E13" i="4"/>
  <c r="G14" i="4"/>
  <c r="E14" i="4"/>
  <c r="G15" i="4"/>
  <c r="E15" i="4"/>
  <c r="G16" i="4"/>
  <c r="E16" i="4"/>
  <c r="G17" i="4"/>
  <c r="E17" i="4"/>
  <c r="G18" i="4"/>
  <c r="E18" i="4"/>
  <c r="G19" i="4"/>
  <c r="E19" i="4"/>
  <c r="G20" i="4"/>
  <c r="E20" i="4"/>
  <c r="G21" i="4"/>
  <c r="E21" i="4"/>
  <c r="G22" i="4"/>
  <c r="E22" i="4"/>
  <c r="G23" i="4"/>
  <c r="E23" i="4"/>
  <c r="G24" i="4"/>
  <c r="E24" i="4"/>
  <c r="G25" i="4"/>
  <c r="E25" i="4"/>
  <c r="G26" i="4"/>
  <c r="E26" i="4"/>
  <c r="G27" i="4"/>
  <c r="E27" i="4"/>
  <c r="G28" i="4"/>
  <c r="E28" i="4"/>
  <c r="F29" i="4"/>
  <c r="H29" i="4" s="1"/>
  <c r="J29" i="4" s="1"/>
  <c r="E29" i="4"/>
  <c r="F30" i="4"/>
  <c r="H30" i="4" s="1"/>
  <c r="J30" i="4" s="1"/>
  <c r="E30" i="4"/>
  <c r="F31" i="4"/>
  <c r="H31" i="4" s="1"/>
  <c r="E31" i="4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J33" i="4" l="1"/>
  <c r="L28" i="4"/>
  <c r="H28" i="4"/>
  <c r="L27" i="4"/>
  <c r="H27" i="4"/>
  <c r="L26" i="4"/>
  <c r="H26" i="4"/>
  <c r="L25" i="4"/>
  <c r="H25" i="4"/>
  <c r="L24" i="4"/>
  <c r="H24" i="4"/>
  <c r="L23" i="4"/>
  <c r="H23" i="4"/>
  <c r="L22" i="4"/>
  <c r="H22" i="4"/>
  <c r="L21" i="4"/>
  <c r="H21" i="4"/>
  <c r="L33" i="4"/>
  <c r="O31" i="4"/>
  <c r="L20" i="4"/>
  <c r="H20" i="4"/>
  <c r="O30" i="4"/>
  <c r="L19" i="4"/>
  <c r="H19" i="4"/>
  <c r="O29" i="4"/>
  <c r="L18" i="4"/>
  <c r="H18" i="4"/>
  <c r="O28" i="4"/>
  <c r="L17" i="4"/>
  <c r="H17" i="4"/>
  <c r="O27" i="4"/>
  <c r="L16" i="4"/>
  <c r="N16" i="4" s="1"/>
  <c r="H16" i="4"/>
  <c r="O26" i="4"/>
  <c r="L15" i="4"/>
  <c r="N15" i="4" s="1"/>
  <c r="H15" i="4"/>
  <c r="O25" i="4"/>
  <c r="L14" i="4"/>
  <c r="N14" i="4" s="1"/>
  <c r="H14" i="4"/>
  <c r="O24" i="4"/>
  <c r="L13" i="4"/>
  <c r="N13" i="4" s="1"/>
  <c r="H13" i="4"/>
  <c r="O23" i="4"/>
  <c r="L12" i="4"/>
  <c r="N12" i="4" s="1"/>
  <c r="H12" i="4"/>
  <c r="O22" i="4"/>
  <c r="L11" i="4"/>
  <c r="N11" i="4" s="1"/>
  <c r="H11" i="4"/>
  <c r="O21" i="4"/>
  <c r="L10" i="4"/>
  <c r="N10" i="4" s="1"/>
  <c r="H10" i="4"/>
  <c r="O20" i="4"/>
  <c r="L9" i="4"/>
  <c r="N9" i="4" s="1"/>
  <c r="H9" i="4"/>
  <c r="O19" i="4"/>
  <c r="L8" i="4"/>
  <c r="N8" i="4" s="1"/>
  <c r="H8" i="4"/>
  <c r="H33" i="4" s="1"/>
  <c r="H36" i="4" s="1"/>
  <c r="P29" i="4" l="1"/>
  <c r="N17" i="4"/>
  <c r="P30" i="4"/>
  <c r="N18" i="4"/>
  <c r="P31" i="4"/>
  <c r="N19" i="4"/>
  <c r="P20" i="4"/>
  <c r="N20" i="4"/>
  <c r="P21" i="4"/>
  <c r="N21" i="4"/>
  <c r="P22" i="4"/>
  <c r="N22" i="4"/>
  <c r="P23" i="4"/>
  <c r="N23" i="4"/>
  <c r="P24" i="4"/>
  <c r="N24" i="4"/>
  <c r="P25" i="4"/>
  <c r="N25" i="4"/>
  <c r="P26" i="4"/>
  <c r="N26" i="4"/>
  <c r="P27" i="4"/>
  <c r="N27" i="4"/>
  <c r="P28" i="4"/>
  <c r="N28" i="4"/>
  <c r="G34" i="3" l="1"/>
  <c r="Q31" i="3"/>
  <c r="M31" i="3"/>
  <c r="N31" i="3" s="1"/>
  <c r="A31" i="3"/>
  <c r="T31" i="3" s="1"/>
  <c r="Q30" i="3"/>
  <c r="M30" i="3"/>
  <c r="N30" i="3" s="1"/>
  <c r="A30" i="3"/>
  <c r="T30" i="3" s="1"/>
  <c r="Q29" i="3"/>
  <c r="M29" i="3"/>
  <c r="N29" i="3" s="1"/>
  <c r="A29" i="3"/>
  <c r="T29" i="3" s="1"/>
  <c r="Q28" i="3"/>
  <c r="M28" i="3"/>
  <c r="A28" i="3"/>
  <c r="T28" i="3" s="1"/>
  <c r="Q27" i="3"/>
  <c r="M27" i="3"/>
  <c r="A27" i="3"/>
  <c r="T27" i="3" s="1"/>
  <c r="Q26" i="3"/>
  <c r="M26" i="3"/>
  <c r="A26" i="3"/>
  <c r="T26" i="3" s="1"/>
  <c r="Q25" i="3"/>
  <c r="M25" i="3"/>
  <c r="A25" i="3"/>
  <c r="T25" i="3" s="1"/>
  <c r="Q24" i="3"/>
  <c r="M24" i="3"/>
  <c r="A24" i="3"/>
  <c r="T24" i="3" s="1"/>
  <c r="Q23" i="3"/>
  <c r="M23" i="3"/>
  <c r="A23" i="3"/>
  <c r="T23" i="3" s="1"/>
  <c r="Q22" i="3"/>
  <c r="M22" i="3"/>
  <c r="A22" i="3"/>
  <c r="T22" i="3" s="1"/>
  <c r="Q21" i="3"/>
  <c r="M21" i="3"/>
  <c r="A21" i="3"/>
  <c r="T21" i="3" s="1"/>
  <c r="Q20" i="3"/>
  <c r="M20" i="3"/>
  <c r="A20" i="3"/>
  <c r="T20" i="3" s="1"/>
  <c r="M19" i="3"/>
  <c r="A19" i="3"/>
  <c r="T19" i="3" s="1"/>
  <c r="M18" i="3"/>
  <c r="A18" i="3"/>
  <c r="T18" i="3" s="1"/>
  <c r="M17" i="3"/>
  <c r="A17" i="3"/>
  <c r="T17" i="3" s="1"/>
  <c r="M16" i="3"/>
  <c r="A16" i="3"/>
  <c r="T16" i="3" s="1"/>
  <c r="M15" i="3"/>
  <c r="A15" i="3"/>
  <c r="T15" i="3" s="1"/>
  <c r="M14" i="3"/>
  <c r="A14" i="3"/>
  <c r="T14" i="3" s="1"/>
  <c r="M13" i="3"/>
  <c r="A13" i="3"/>
  <c r="T13" i="3" s="1"/>
  <c r="M12" i="3"/>
  <c r="A12" i="3"/>
  <c r="T12" i="3" s="1"/>
  <c r="M11" i="3"/>
  <c r="A11" i="3"/>
  <c r="T11" i="3" s="1"/>
  <c r="M10" i="3"/>
  <c r="A10" i="3"/>
  <c r="T10" i="3" s="1"/>
  <c r="M9" i="3"/>
  <c r="A9" i="3"/>
  <c r="T9" i="3" s="1"/>
  <c r="M8" i="3"/>
  <c r="A8" i="3"/>
  <c r="T8" i="3" s="1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O19" i="3" l="1"/>
  <c r="L8" i="3"/>
  <c r="N8" i="3" s="1"/>
  <c r="H8" i="3"/>
  <c r="O20" i="3"/>
  <c r="L9" i="3"/>
  <c r="N9" i="3" s="1"/>
  <c r="H9" i="3"/>
  <c r="O21" i="3"/>
  <c r="L10" i="3"/>
  <c r="N10" i="3" s="1"/>
  <c r="H10" i="3"/>
  <c r="O22" i="3"/>
  <c r="L11" i="3"/>
  <c r="N11" i="3" s="1"/>
  <c r="H11" i="3"/>
  <c r="O23" i="3"/>
  <c r="L12" i="3"/>
  <c r="N12" i="3" s="1"/>
  <c r="H12" i="3"/>
  <c r="O24" i="3"/>
  <c r="L13" i="3"/>
  <c r="N13" i="3" s="1"/>
  <c r="H13" i="3"/>
  <c r="O25" i="3"/>
  <c r="L14" i="3"/>
  <c r="N14" i="3" s="1"/>
  <c r="H14" i="3"/>
  <c r="O26" i="3"/>
  <c r="L15" i="3"/>
  <c r="N15" i="3" s="1"/>
  <c r="H15" i="3"/>
  <c r="O27" i="3"/>
  <c r="L16" i="3"/>
  <c r="N16" i="3" s="1"/>
  <c r="H16" i="3"/>
  <c r="O28" i="3"/>
  <c r="L17" i="3"/>
  <c r="H17" i="3"/>
  <c r="O29" i="3"/>
  <c r="L18" i="3"/>
  <c r="H18" i="3"/>
  <c r="O30" i="3"/>
  <c r="L19" i="3"/>
  <c r="H19" i="3"/>
  <c r="L33" i="3"/>
  <c r="O31" i="3"/>
  <c r="L20" i="3"/>
  <c r="H20" i="3"/>
  <c r="L21" i="3"/>
  <c r="H21" i="3"/>
  <c r="L22" i="3"/>
  <c r="H22" i="3"/>
  <c r="L23" i="3"/>
  <c r="H23" i="3"/>
  <c r="L24" i="3"/>
  <c r="H24" i="3"/>
  <c r="L25" i="3"/>
  <c r="H25" i="3"/>
  <c r="L26" i="3"/>
  <c r="H26" i="3"/>
  <c r="L27" i="3"/>
  <c r="H27" i="3"/>
  <c r="L28" i="3"/>
  <c r="H28" i="3"/>
  <c r="P28" i="3" l="1"/>
  <c r="N28" i="3"/>
  <c r="P27" i="3"/>
  <c r="N27" i="3"/>
  <c r="P26" i="3"/>
  <c r="N26" i="3"/>
  <c r="P25" i="3"/>
  <c r="N25" i="3"/>
  <c r="P24" i="3"/>
  <c r="N24" i="3"/>
  <c r="P23" i="3"/>
  <c r="N23" i="3"/>
  <c r="P22" i="3"/>
  <c r="N22" i="3"/>
  <c r="P21" i="3"/>
  <c r="N21" i="3"/>
  <c r="P20" i="3"/>
  <c r="N20" i="3"/>
  <c r="P31" i="3"/>
  <c r="N19" i="3"/>
  <c r="P30" i="3"/>
  <c r="N18" i="3"/>
  <c r="P29" i="3"/>
  <c r="N17" i="3"/>
  <c r="H33" i="3"/>
  <c r="H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FAEF0998-3D6B-413C-9173-331E8130301F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83BF9B1C-22EE-4214-8AFB-902158D3684F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<sst xmlns="http://schemas.openxmlformats.org/spreadsheetml/2006/main" count="244" uniqueCount="68">
  <si>
    <t>Paid Percentages</t>
  </si>
  <si>
    <t xml:space="preserve"> </t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</si>
  <si>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</si>
  <si>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</si>
  <si>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</si>
  <si>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</si>
  <si>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</si>
  <si>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</si>
  <si>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</si>
  <si>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</si>
  <si>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</si>
  <si>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</si>
  <si>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</si>
  <si>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</si>
  <si>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</si>
  <si>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</si>
  <si>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</si>
  <si>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</si>
  <si>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</si>
  <si>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</si>
  <si>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</si>
  <si>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</si>
  <si>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</si>
  <si>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</si>
  <si>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</si>
  <si>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</si>
  <si>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</si>
  <si>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</si>
  <si>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</si>
  <si>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</si>
  <si>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</si>
  <si>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</si>
  <si>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</si>
  <si>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</si>
  <si>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</si>
  <si>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</si>
  <si>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</si>
  <si>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</si>
  <si>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</si>
  <si>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</si>
  <si>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</si>
  <si>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</si>
  <si>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</si>
  <si>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</si>
  <si>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</si>
  <si>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</si>
  <si>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</si>
  <si>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</si>
  <si>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</si>
  <si>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</si>
  <si>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</si>
  <si>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</si>
  <si>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</si>
  <si>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</si>
  <si>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</si>
  <si>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</si>
  <si>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</si>
  <si>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</si>
  <si>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</si>
  <si>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</si>
  <si>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</si>
  <si>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</si>
  <si>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ARM</t>
  </si>
  <si>
    <t>Inc Patter</t>
  </si>
  <si>
    <t>Cum Pattern</t>
  </si>
  <si>
    <t>Cum % dev</t>
  </si>
  <si>
    <t>inc % dev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</si>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</sst>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54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10" fontId="1" fillId="0" borderId="0" xfId="2" applyNumberFormat="1"/>
    <xf numFmtId="10" fontId="0" fillId="0" borderId="0" xfId="0" applyNumberFormat="1"/>
    <xf numFmtId="43" fontId="0" fillId="3" borderId="0" xfId="1" applyFont="1" applyFill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Border="1"/>
    <xf numFmtId="0" fontId="0" fillId="0" borderId="0" xfId="0" applyBorder="1"/>
    <xf numFmtId="10" fontId="4" fillId="0" borderId="0" xfId="2" applyNumberFormat="1" applyFont="1" applyBorder="1"/>
    <xf numFmtId="43" fontId="5" fillId="0" borderId="0" xfId="1" applyFont="1" applyBorder="1"/>
    <xf numFmtId="43" fontId="1" fillId="0" borderId="0" xfId="1" applyFont="1" applyBorder="1"/>
    <xf numFmtId="168" fontId="1" fillId="0" borderId="0" xfId="1" applyNumberFormat="1"/>
    <xf numFmtId="168" fontId="4" fillId="0" borderId="1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1" fillId="0" borderId="4" xfId="1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0.13329981439292601</c:v>
                </c:pt>
                <c:pt idx="1">
                  <c:v>0.13457727094752481</c:v>
                </c:pt>
                <c:pt idx="2">
                  <c:v>0.26245256549959772</c:v>
                </c:pt>
                <c:pt idx="3">
                  <c:v>0.32829959634611511</c:v>
                </c:pt>
                <c:pt idx="4">
                  <c:v>0.46090539499833988</c:v>
                </c:pt>
                <c:pt idx="5">
                  <c:v>0.50721597656891615</c:v>
                </c:pt>
                <c:pt idx="6">
                  <c:v>0.57631767404078937</c:v>
                </c:pt>
                <c:pt idx="7">
                  <c:v>0.65244724698730672</c:v>
                </c:pt>
                <c:pt idx="8">
                  <c:v>0.63954251319647681</c:v>
                </c:pt>
                <c:pt idx="9">
                  <c:v>0.68465101340703094</c:v>
                </c:pt>
                <c:pt idx="10">
                  <c:v>0.75634596072452598</c:v>
                </c:pt>
                <c:pt idx="11">
                  <c:v>0.74673834217322621</c:v>
                </c:pt>
                <c:pt idx="12">
                  <c:v>0.84679856639589601</c:v>
                </c:pt>
                <c:pt idx="13">
                  <c:v>0.9347318279745791</c:v>
                </c:pt>
                <c:pt idx="14">
                  <c:v>0.99553472668649512</c:v>
                </c:pt>
                <c:pt idx="15">
                  <c:v>0.99863372059180811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0-4452-8D25-8C7689DBA02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8.3353546722486863E-2</c:v>
                </c:pt>
                <c:pt idx="1">
                  <c:v>8.3353546722486863E-2</c:v>
                </c:pt>
                <c:pt idx="2">
                  <c:v>0.22460678687058719</c:v>
                </c:pt>
                <c:pt idx="3">
                  <c:v>0.27186192895142358</c:v>
                </c:pt>
                <c:pt idx="4">
                  <c:v>0.45473750580145789</c:v>
                </c:pt>
                <c:pt idx="5">
                  <c:v>0.48419996112865599</c:v>
                </c:pt>
                <c:pt idx="6">
                  <c:v>0.54142752780741699</c:v>
                </c:pt>
                <c:pt idx="7">
                  <c:v>0.63959376086764785</c:v>
                </c:pt>
                <c:pt idx="8">
                  <c:v>0.6171533864263371</c:v>
                </c:pt>
                <c:pt idx="9">
                  <c:v>0.67153655009515478</c:v>
                </c:pt>
                <c:pt idx="10">
                  <c:v>0.75780744017162283</c:v>
                </c:pt>
                <c:pt idx="11">
                  <c:v>0.74673834217322621</c:v>
                </c:pt>
                <c:pt idx="12">
                  <c:v>0.84679856639589601</c:v>
                </c:pt>
                <c:pt idx="13">
                  <c:v>0.9347318279745791</c:v>
                </c:pt>
                <c:pt idx="14">
                  <c:v>0.99553472668649512</c:v>
                </c:pt>
                <c:pt idx="15">
                  <c:v>0.99863372059180811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0-4452-8D25-8C7689DBA02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8.7776152373313085E-2</c:v>
                </c:pt>
                <c:pt idx="1">
                  <c:v>8.7776152373313085E-2</c:v>
                </c:pt>
                <c:pt idx="2">
                  <c:v>8.7776152373313085E-2</c:v>
                </c:pt>
                <c:pt idx="3">
                  <c:v>0.1237725741002647</c:v>
                </c:pt>
                <c:pt idx="4">
                  <c:v>0.26939839451833619</c:v>
                </c:pt>
                <c:pt idx="5">
                  <c:v>0.27603601848751319</c:v>
                </c:pt>
                <c:pt idx="6">
                  <c:v>0.3251140791898216</c:v>
                </c:pt>
                <c:pt idx="7">
                  <c:v>0.42509019892563921</c:v>
                </c:pt>
                <c:pt idx="8">
                  <c:v>0.39985036704639981</c:v>
                </c:pt>
                <c:pt idx="9">
                  <c:v>0.45940232410457038</c:v>
                </c:pt>
                <c:pt idx="10">
                  <c:v>0.57480930741845826</c:v>
                </c:pt>
                <c:pt idx="11">
                  <c:v>0.55228645486776917</c:v>
                </c:pt>
                <c:pt idx="12">
                  <c:v>0.72430146654753857</c:v>
                </c:pt>
                <c:pt idx="13">
                  <c:v>0.90221395167014984</c:v>
                </c:pt>
                <c:pt idx="14">
                  <c:v>0.99818036189171366</c:v>
                </c:pt>
                <c:pt idx="15">
                  <c:v>0.99818036189171366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0-4452-8D25-8C7689DBA02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3.8267887292481588E-2</c:v>
                </c:pt>
                <c:pt idx="1">
                  <c:v>3.8267887292481588E-2</c:v>
                </c:pt>
                <c:pt idx="2">
                  <c:v>3.8267887292481588E-2</c:v>
                </c:pt>
                <c:pt idx="3">
                  <c:v>5.6412810154052813E-2</c:v>
                </c:pt>
                <c:pt idx="4">
                  <c:v>0.19467849889783201</c:v>
                </c:pt>
                <c:pt idx="5">
                  <c:v>0.19760682212849981</c:v>
                </c:pt>
                <c:pt idx="6">
                  <c:v>0.19760682212849981</c:v>
                </c:pt>
                <c:pt idx="7">
                  <c:v>0.35853913823763828</c:v>
                </c:pt>
                <c:pt idx="8">
                  <c:v>0.31912493385373192</c:v>
                </c:pt>
                <c:pt idx="9">
                  <c:v>0.37817780634538251</c:v>
                </c:pt>
                <c:pt idx="10">
                  <c:v>0.51332961098464602</c:v>
                </c:pt>
                <c:pt idx="11">
                  <c:v>0.48632177159646678</c:v>
                </c:pt>
                <c:pt idx="12">
                  <c:v>0.53389765659306465</c:v>
                </c:pt>
                <c:pt idx="13">
                  <c:v>0.77172883900754419</c:v>
                </c:pt>
                <c:pt idx="14">
                  <c:v>0.99661090413089148</c:v>
                </c:pt>
                <c:pt idx="15">
                  <c:v>0.99661090413089148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0-4452-8D25-8C7689DBA02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6.5762823564757255E-5</c:v>
                </c:pt>
                <c:pt idx="1">
                  <c:v>6.7653504742244024E-5</c:v>
                </c:pt>
                <c:pt idx="2">
                  <c:v>1.3514603252816879E-3</c:v>
                </c:pt>
                <c:pt idx="3">
                  <c:v>1.945523460770584E-3</c:v>
                </c:pt>
                <c:pt idx="4">
                  <c:v>2.4276682021177758E-2</c:v>
                </c:pt>
                <c:pt idx="5">
                  <c:v>3.0177035317544131E-2</c:v>
                </c:pt>
                <c:pt idx="6">
                  <c:v>6.6622427768794859E-2</c:v>
                </c:pt>
                <c:pt idx="7">
                  <c:v>9.2852068415973682E-2</c:v>
                </c:pt>
                <c:pt idx="8">
                  <c:v>9.7347073453981567E-2</c:v>
                </c:pt>
                <c:pt idx="9">
                  <c:v>0.1013955906882214</c:v>
                </c:pt>
                <c:pt idx="10">
                  <c:v>0.13186877587886009</c:v>
                </c:pt>
                <c:pt idx="11">
                  <c:v>0.13310723258669069</c:v>
                </c:pt>
                <c:pt idx="12">
                  <c:v>0.17742608993856779</c:v>
                </c:pt>
                <c:pt idx="13">
                  <c:v>0.21025298463654921</c:v>
                </c:pt>
                <c:pt idx="14">
                  <c:v>0.99614919227950138</c:v>
                </c:pt>
                <c:pt idx="15">
                  <c:v>0.99824132667341281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0-4452-8D25-8C7689DBA02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1.388107499636963E-5</c:v>
                </c:pt>
                <c:pt idx="1">
                  <c:v>1.388107499636963E-5</c:v>
                </c:pt>
                <c:pt idx="2">
                  <c:v>5.2785872357028038E-4</c:v>
                </c:pt>
                <c:pt idx="3">
                  <c:v>7.4588742207210403E-4</c:v>
                </c:pt>
                <c:pt idx="4">
                  <c:v>1.6067807008357721E-2</c:v>
                </c:pt>
                <c:pt idx="5">
                  <c:v>2.059868533373135E-2</c:v>
                </c:pt>
                <c:pt idx="6">
                  <c:v>5.6243883568401362E-2</c:v>
                </c:pt>
                <c:pt idx="7">
                  <c:v>8.7451684492917542E-2</c:v>
                </c:pt>
                <c:pt idx="8">
                  <c:v>9.2738505824765019E-2</c:v>
                </c:pt>
                <c:pt idx="9">
                  <c:v>9.7559573189552037E-2</c:v>
                </c:pt>
                <c:pt idx="10">
                  <c:v>0.13176661060479231</c:v>
                </c:pt>
                <c:pt idx="11">
                  <c:v>0.13310723258669069</c:v>
                </c:pt>
                <c:pt idx="12">
                  <c:v>0.17742608993856779</c:v>
                </c:pt>
                <c:pt idx="13">
                  <c:v>0.21025298463654921</c:v>
                </c:pt>
                <c:pt idx="14">
                  <c:v>0.99614919227950138</c:v>
                </c:pt>
                <c:pt idx="15">
                  <c:v>0.99824132667341281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0-4452-8D25-8C7689DBA02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7.689901812095379E-5</c:v>
                </c:pt>
                <c:pt idx="1">
                  <c:v>7.689901812095379E-5</c:v>
                </c:pt>
                <c:pt idx="2">
                  <c:v>7.689901812095379E-5</c:v>
                </c:pt>
                <c:pt idx="3">
                  <c:v>1.2363517969463881E-4</c:v>
                </c:pt>
                <c:pt idx="4">
                  <c:v>3.0229417112116771E-3</c:v>
                </c:pt>
                <c:pt idx="5">
                  <c:v>3.5221129270141438E-3</c:v>
                </c:pt>
                <c:pt idx="6">
                  <c:v>1.569066596625919E-2</c:v>
                </c:pt>
                <c:pt idx="7">
                  <c:v>3.1355263220130797E-2</c:v>
                </c:pt>
                <c:pt idx="8">
                  <c:v>3.483367188308395E-2</c:v>
                </c:pt>
                <c:pt idx="9">
                  <c:v>3.8141442821387053E-2</c:v>
                </c:pt>
                <c:pt idx="10">
                  <c:v>6.3593271777191152E-2</c:v>
                </c:pt>
                <c:pt idx="11">
                  <c:v>6.3575990445508865E-2</c:v>
                </c:pt>
                <c:pt idx="12">
                  <c:v>0.1026181953587742</c:v>
                </c:pt>
                <c:pt idx="13">
                  <c:v>0.1383058230931048</c:v>
                </c:pt>
                <c:pt idx="14">
                  <c:v>0.99765647606223018</c:v>
                </c:pt>
                <c:pt idx="15">
                  <c:v>0.99765647606223018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40-4452-8D25-8C7689DBA02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4.9817552683448602E-5</c:v>
                </c:pt>
                <c:pt idx="1">
                  <c:v>4.9817552683448602E-5</c:v>
                </c:pt>
                <c:pt idx="2">
                  <c:v>4.9817552683448602E-5</c:v>
                </c:pt>
                <c:pt idx="3">
                  <c:v>6.7045987391889055E-5</c:v>
                </c:pt>
                <c:pt idx="4">
                  <c:v>2.6789631492465712E-3</c:v>
                </c:pt>
                <c:pt idx="5">
                  <c:v>3.3822683856420629E-3</c:v>
                </c:pt>
                <c:pt idx="6">
                  <c:v>3.3822683856420629E-3</c:v>
                </c:pt>
                <c:pt idx="7">
                  <c:v>1.013556645208696E-2</c:v>
                </c:pt>
                <c:pt idx="8">
                  <c:v>1.2384352686370051E-2</c:v>
                </c:pt>
                <c:pt idx="9">
                  <c:v>1.4438828363479379E-2</c:v>
                </c:pt>
                <c:pt idx="10">
                  <c:v>3.3708922132634059E-2</c:v>
                </c:pt>
                <c:pt idx="11">
                  <c:v>3.3428722451456963E-2</c:v>
                </c:pt>
                <c:pt idx="12">
                  <c:v>5.8667038112152507E-2</c:v>
                </c:pt>
                <c:pt idx="13">
                  <c:v>7.4137949138469036E-2</c:v>
                </c:pt>
                <c:pt idx="14">
                  <c:v>0.99532391065178327</c:v>
                </c:pt>
                <c:pt idx="15">
                  <c:v>0.99532391065178327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40-4452-8D25-8C7689DBA02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8.5507701545986609E-2</c:v>
                </c:pt>
                <c:pt idx="1">
                  <c:v>8.5507701545986609E-2</c:v>
                </c:pt>
                <c:pt idx="2">
                  <c:v>0.12622404793393591</c:v>
                </c:pt>
                <c:pt idx="3">
                  <c:v>0.17010169986000859</c:v>
                </c:pt>
                <c:pt idx="4">
                  <c:v>0.33834962176598132</c:v>
                </c:pt>
                <c:pt idx="5">
                  <c:v>0.35161879470435992</c:v>
                </c:pt>
                <c:pt idx="6">
                  <c:v>0.40627180675397362</c:v>
                </c:pt>
                <c:pt idx="7">
                  <c:v>0.51073379388868367</c:v>
                </c:pt>
                <c:pt idx="8">
                  <c:v>0.48528632710324537</c:v>
                </c:pt>
                <c:pt idx="9">
                  <c:v>0.54557405156522532</c:v>
                </c:pt>
                <c:pt idx="10">
                  <c:v>0.65374350221748256</c:v>
                </c:pt>
                <c:pt idx="11">
                  <c:v>0.63495858224124579</c:v>
                </c:pt>
                <c:pt idx="12">
                  <c:v>0.78077452822888849</c:v>
                </c:pt>
                <c:pt idx="13">
                  <c:v>0.91818507177921183</c:v>
                </c:pt>
                <c:pt idx="14">
                  <c:v>0.99685578892654569</c:v>
                </c:pt>
                <c:pt idx="15">
                  <c:v>0.99840698977625086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40-4452-8D25-8C7689DB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1.0095833333333331</c:v>
                </c:pt>
                <c:pt idx="1">
                  <c:v>1.950199789695058</c:v>
                </c:pt>
                <c:pt idx="2">
                  <c:v>1.2508911685476289</c:v>
                </c:pt>
                <c:pt idx="3">
                  <c:v>1.40391703227202</c:v>
                </c:pt>
                <c:pt idx="4">
                  <c:v>1.1004774126602339</c:v>
                </c:pt>
                <c:pt idx="5">
                  <c:v>1.136237225687003</c:v>
                </c:pt>
                <c:pt idx="6">
                  <c:v>1.132096543929918</c:v>
                </c:pt>
                <c:pt idx="7">
                  <c:v>0.98022103112486425</c:v>
                </c:pt>
                <c:pt idx="8">
                  <c:v>1.0705324498055631</c:v>
                </c:pt>
                <c:pt idx="9">
                  <c:v>1.104717507041608</c:v>
                </c:pt>
                <c:pt idx="10">
                  <c:v>0.98729732285197047</c:v>
                </c:pt>
                <c:pt idx="11">
                  <c:v>1.1339963660248991</c:v>
                </c:pt>
                <c:pt idx="12">
                  <c:v>1.103842005723912</c:v>
                </c:pt>
                <c:pt idx="13">
                  <c:v>1.065048495078708</c:v>
                </c:pt>
                <c:pt idx="14">
                  <c:v>1.003112893827047</c:v>
                </c:pt>
                <c:pt idx="15">
                  <c:v>1.0013681486815631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A4A-BFE3-E19388B740F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2.6946278317152101</c:v>
                </c:pt>
                <c:pt idx="2">
                  <c:v>1.2103905351179951</c:v>
                </c:pt>
                <c:pt idx="3">
                  <c:v>1.672678140537694</c:v>
                </c:pt>
                <c:pt idx="4">
                  <c:v>1.064790027106455</c:v>
                </c:pt>
                <c:pt idx="5">
                  <c:v>1.1181899448016579</c:v>
                </c:pt>
                <c:pt idx="6">
                  <c:v>1.1813100147636899</c:v>
                </c:pt>
                <c:pt idx="7">
                  <c:v>0.9649146445536475</c:v>
                </c:pt>
                <c:pt idx="8">
                  <c:v>1.088119363621622</c:v>
                </c:pt>
                <c:pt idx="9">
                  <c:v>1.128467899571876</c:v>
                </c:pt>
                <c:pt idx="10">
                  <c:v>0.9853932576910438</c:v>
                </c:pt>
                <c:pt idx="11">
                  <c:v>1.1339963660248991</c:v>
                </c:pt>
                <c:pt idx="12">
                  <c:v>1.103842005723912</c:v>
                </c:pt>
                <c:pt idx="13">
                  <c:v>1.065048495078708</c:v>
                </c:pt>
                <c:pt idx="14">
                  <c:v>1.003112893827047</c:v>
                </c:pt>
                <c:pt idx="15">
                  <c:v>1.0013681486815631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2-4A4A-BFE3-E19388B740F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2">
                  <c:v>1.4100934109512839</c:v>
                </c:pt>
                <c:pt idx="3">
                  <c:v>2.1765596819542909</c:v>
                </c:pt>
                <c:pt idx="4">
                  <c:v>1.024638691633796</c:v>
                </c:pt>
                <c:pt idx="5">
                  <c:v>1.1777958578421119</c:v>
                </c:pt>
                <c:pt idx="6">
                  <c:v>1.3075108896697321</c:v>
                </c:pt>
                <c:pt idx="7">
                  <c:v>0.9406247616552208</c:v>
                </c:pt>
                <c:pt idx="8">
                  <c:v>1.1489356068322929</c:v>
                </c:pt>
                <c:pt idx="9">
                  <c:v>1.25121114382438</c:v>
                </c:pt>
                <c:pt idx="10">
                  <c:v>0.96081682697198822</c:v>
                </c:pt>
                <c:pt idx="11">
                  <c:v>1.3114597690449501</c:v>
                </c:pt>
                <c:pt idx="12">
                  <c:v>1.2456331974179899</c:v>
                </c:pt>
                <c:pt idx="13">
                  <c:v>1.1063676858952509</c:v>
                </c:pt>
                <c:pt idx="14">
                  <c:v>1</c:v>
                </c:pt>
                <c:pt idx="15">
                  <c:v>1.001822955227087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2-4A4A-BFE3-E19388B740F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2">
                  <c:v>1.474155333501677</c:v>
                </c:pt>
                <c:pt idx="3">
                  <c:v>3.450962615870429</c:v>
                </c:pt>
                <c:pt idx="4">
                  <c:v>1.015041842048539</c:v>
                </c:pt>
                <c:pt idx="5">
                  <c:v>1</c:v>
                </c:pt>
                <c:pt idx="6">
                  <c:v>1.814406680779914</c:v>
                </c:pt>
                <c:pt idx="7">
                  <c:v>0.89007000859754726</c:v>
                </c:pt>
                <c:pt idx="8">
                  <c:v>1.1850462506283419</c:v>
                </c:pt>
                <c:pt idx="9">
                  <c:v>1.3573763514716459</c:v>
                </c:pt>
                <c:pt idx="10">
                  <c:v>0.9473869443526276</c:v>
                </c:pt>
                <c:pt idx="11">
                  <c:v>1.097827997377989</c:v>
                </c:pt>
                <c:pt idx="12">
                  <c:v>1.4454621208344309</c:v>
                </c:pt>
                <c:pt idx="13">
                  <c:v>1.291400364683208</c:v>
                </c:pt>
                <c:pt idx="14">
                  <c:v>1</c:v>
                </c:pt>
                <c:pt idx="15">
                  <c:v>1.0034006208993509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2-4A4A-BFE3-E19388B740F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1.0287500000000001</c:v>
                </c:pt>
                <c:pt idx="1">
                  <c:v>19.976205673758869</c:v>
                </c:pt>
                <c:pt idx="2">
                  <c:v>1.439571272922922</c:v>
                </c:pt>
                <c:pt idx="3">
                  <c:v>12.478226302941749</c:v>
                </c:pt>
                <c:pt idx="4">
                  <c:v>1.243046116896007</c:v>
                </c:pt>
                <c:pt idx="5">
                  <c:v>2.2077194485060079</c:v>
                </c:pt>
                <c:pt idx="6">
                  <c:v>1.393705866411918</c:v>
                </c:pt>
                <c:pt idx="7">
                  <c:v>1.0484103920859409</c:v>
                </c:pt>
                <c:pt idx="8">
                  <c:v>1.041588484282002</c:v>
                </c:pt>
                <c:pt idx="9">
                  <c:v>1.3005375774607391</c:v>
                </c:pt>
                <c:pt idx="10">
                  <c:v>1.009391584168251</c:v>
                </c:pt>
                <c:pt idx="11">
                  <c:v>1.3329560422121529</c:v>
                </c:pt>
                <c:pt idx="12">
                  <c:v>1.1850172920417019</c:v>
                </c:pt>
                <c:pt idx="13">
                  <c:v>4.7378599357411293</c:v>
                </c:pt>
                <c:pt idx="14">
                  <c:v>1.002100221944791</c:v>
                </c:pt>
                <c:pt idx="15">
                  <c:v>1.0017617717074969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2-4A4A-BFE3-E19388B740F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38.027222222222228</c:v>
                </c:pt>
                <c:pt idx="2">
                  <c:v>1.413043658778891</c:v>
                </c:pt>
                <c:pt idx="3">
                  <c:v>21.54186614880933</c:v>
                </c:pt>
                <c:pt idx="4">
                  <c:v>1.281984860971811</c:v>
                </c:pt>
                <c:pt idx="5">
                  <c:v>2.7304598646545299</c:v>
                </c:pt>
                <c:pt idx="6">
                  <c:v>1.554865683955885</c:v>
                </c:pt>
                <c:pt idx="7">
                  <c:v>1.0604541966515879</c:v>
                </c:pt>
                <c:pt idx="8">
                  <c:v>1.051985605352503</c:v>
                </c:pt>
                <c:pt idx="9">
                  <c:v>1.350627173704195</c:v>
                </c:pt>
                <c:pt idx="10">
                  <c:v>1.010174216182272</c:v>
                </c:pt>
                <c:pt idx="11">
                  <c:v>1.3329560422121529</c:v>
                </c:pt>
                <c:pt idx="12">
                  <c:v>1.1850172920417019</c:v>
                </c:pt>
                <c:pt idx="13">
                  <c:v>4.7378599357411293</c:v>
                </c:pt>
                <c:pt idx="14">
                  <c:v>1.002100221944791</c:v>
                </c:pt>
                <c:pt idx="15">
                  <c:v>1.0017617717074969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2-4A4A-BFE3-E19388B740F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2">
                  <c:v>1.607760186224668</c:v>
                </c:pt>
                <c:pt idx="3">
                  <c:v>24.45049797863286</c:v>
                </c:pt>
                <c:pt idx="4">
                  <c:v>1.165127635095017</c:v>
                </c:pt>
                <c:pt idx="5">
                  <c:v>4.4549014445033368</c:v>
                </c:pt>
                <c:pt idx="6">
                  <c:v>1.99833858470739</c:v>
                </c:pt>
                <c:pt idx="7">
                  <c:v>1.110935399857206</c:v>
                </c:pt>
                <c:pt idx="8">
                  <c:v>1.094959008324053</c:v>
                </c:pt>
                <c:pt idx="9">
                  <c:v>1.6673011578243839</c:v>
                </c:pt>
                <c:pt idx="10">
                  <c:v>0.99972825220028261</c:v>
                </c:pt>
                <c:pt idx="11">
                  <c:v>1.614102975662306</c:v>
                </c:pt>
                <c:pt idx="12">
                  <c:v>1.347770954357163</c:v>
                </c:pt>
                <c:pt idx="13">
                  <c:v>7.2134090506849233</c:v>
                </c:pt>
                <c:pt idx="14">
                  <c:v>1</c:v>
                </c:pt>
                <c:pt idx="15">
                  <c:v>1.002349028943329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2-4A4A-BFE3-E19388B740F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2">
                  <c:v>1.3458306115098351</c:v>
                </c:pt>
                <c:pt idx="3">
                  <c:v>39.957098902695272</c:v>
                </c:pt>
                <c:pt idx="4">
                  <c:v>1.262528895402421</c:v>
                </c:pt>
                <c:pt idx="5">
                  <c:v>1</c:v>
                </c:pt>
                <c:pt idx="6">
                  <c:v>2.9966771694147809</c:v>
                </c:pt>
                <c:pt idx="7">
                  <c:v>1.2218707997144109</c:v>
                </c:pt>
                <c:pt idx="8">
                  <c:v>1.1658928592505631</c:v>
                </c:pt>
                <c:pt idx="9">
                  <c:v>2.3346023156487679</c:v>
                </c:pt>
                <c:pt idx="10">
                  <c:v>0.99168767010482883</c:v>
                </c:pt>
                <c:pt idx="11">
                  <c:v>1.7549889379513379</c:v>
                </c:pt>
                <c:pt idx="12">
                  <c:v>1.2637070410260209</c:v>
                </c:pt>
                <c:pt idx="13">
                  <c:v>13.42529598158691</c:v>
                </c:pt>
                <c:pt idx="14">
                  <c:v>1</c:v>
                </c:pt>
                <c:pt idx="15">
                  <c:v>1.004698057886658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2-4A4A-BFE3-E19388B740F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1.3473139158576051</c:v>
                </c:pt>
                <c:pt idx="2">
                  <c:v>1.31024197303464</c:v>
                </c:pt>
                <c:pt idx="3">
                  <c:v>1.924618911245993</c:v>
                </c:pt>
                <c:pt idx="4">
                  <c:v>1.0447143593701249</c:v>
                </c:pt>
                <c:pt idx="5">
                  <c:v>1.147992901321885</c:v>
                </c:pt>
                <c:pt idx="6">
                  <c:v>1.244410452216711</c:v>
                </c:pt>
                <c:pt idx="7">
                  <c:v>0.95276970310443421</c:v>
                </c:pt>
                <c:pt idx="8">
                  <c:v>1.1185274852269571</c:v>
                </c:pt>
                <c:pt idx="9">
                  <c:v>1.1898395216981279</c:v>
                </c:pt>
                <c:pt idx="10">
                  <c:v>0.97310504233151596</c:v>
                </c:pt>
                <c:pt idx="11">
                  <c:v>1.2227280675349239</c:v>
                </c:pt>
                <c:pt idx="12">
                  <c:v>1.174737601570951</c:v>
                </c:pt>
                <c:pt idx="13">
                  <c:v>1.08570809048698</c:v>
                </c:pt>
                <c:pt idx="14">
                  <c:v>1.001556446913523</c:v>
                </c:pt>
                <c:pt idx="15">
                  <c:v>1.0015955519543249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2-4A4A-BFE3-E19388B7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G7" sqref="G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81640625" bestFit="1" customWidth="1"/>
    <col min="4" max="4" width="12.81640625" customWidth="1"/>
    <col min="5" max="5" width="12.81640625" bestFit="1" customWidth="1"/>
    <col min="6" max="7" width="12.81640625" customWidth="1"/>
    <col min="8" max="8" width="11.1796875" customWidth="1"/>
    <col min="9" max="10" width="13.81640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81640625" bestFit="1" customWidth="1"/>
    <col min="20" max="27" width="11.453125" bestFit="1" customWidth="1"/>
  </cols>
  <sheetData>
    <row r="1" spans="1:10" ht="15.6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3.8267887292481588E-2</v>
      </c>
      <c r="F7" s="5">
        <v>8.7776152373313085E-2</v>
      </c>
      <c r="G7" s="5">
        <v>8.3353546722486863E-2</v>
      </c>
      <c r="H7" s="4">
        <f t="shared" ref="H7:H29" si="3">+I7/I8</f>
        <v>1</v>
      </c>
      <c r="I7" s="5">
        <v>8.5507701545986609E-2</v>
      </c>
      <c r="J7" s="5">
        <f t="shared" ref="J7:J30" si="4">I7</f>
        <v>8.5507701545986609E-2</v>
      </c>
    </row>
    <row r="8" spans="1:10" ht="15.6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0.3711087624903921</v>
      </c>
      <c r="E8" s="5">
        <v>3.8267887292481588E-2</v>
      </c>
      <c r="F8" s="5">
        <v>8.7776152373313085E-2</v>
      </c>
      <c r="G8" s="5">
        <v>8.3353546722486863E-2</v>
      </c>
      <c r="H8" s="4">
        <f t="shared" si="3"/>
        <v>0.67742797783462205</v>
      </c>
      <c r="I8" s="5">
        <v>8.5507701545986609E-2</v>
      </c>
      <c r="J8" s="5">
        <f t="shared" si="4"/>
        <v>8.5507701545986609E-2</v>
      </c>
    </row>
    <row r="9" spans="1:10" ht="15.65" customHeight="1" x14ac:dyDescent="0.35">
      <c r="A9" s="3">
        <f t="shared" si="5"/>
        <v>2</v>
      </c>
      <c r="B9" s="4">
        <f t="shared" si="0"/>
        <v>0.67835456500002678</v>
      </c>
      <c r="C9" s="4">
        <f t="shared" si="1"/>
        <v>0.70917287623191938</v>
      </c>
      <c r="D9" s="4">
        <f t="shared" si="2"/>
        <v>0.82617962631582753</v>
      </c>
      <c r="E9" s="5">
        <v>3.8267887292481588E-2</v>
      </c>
      <c r="F9" s="5">
        <v>8.7776152373313085E-2</v>
      </c>
      <c r="G9" s="5">
        <v>0.22460678687058719</v>
      </c>
      <c r="H9" s="4">
        <f t="shared" si="3"/>
        <v>0.74205047943563529</v>
      </c>
      <c r="I9" s="5">
        <v>0.12622404793393591</v>
      </c>
      <c r="J9" s="5">
        <f t="shared" si="4"/>
        <v>0.12622404793393591</v>
      </c>
    </row>
    <row r="10" spans="1:10" ht="15.65" customHeight="1" x14ac:dyDescent="0.35">
      <c r="A10" s="3">
        <f t="shared" si="5"/>
        <v>3</v>
      </c>
      <c r="B10" s="4">
        <f t="shared" si="0"/>
        <v>0.28977421992378555</v>
      </c>
      <c r="C10" s="4">
        <f t="shared" si="1"/>
        <v>0.4594406522784244</v>
      </c>
      <c r="D10" s="4">
        <f t="shared" si="2"/>
        <v>0.59784364712182048</v>
      </c>
      <c r="E10" s="5">
        <v>5.6412810154052813E-2</v>
      </c>
      <c r="F10" s="5">
        <v>0.1237725741002647</v>
      </c>
      <c r="G10" s="5">
        <v>0.27186192895142358</v>
      </c>
      <c r="H10" s="4">
        <f t="shared" si="3"/>
        <v>0.50273944144574512</v>
      </c>
      <c r="I10" s="5">
        <v>0.17010169986000859</v>
      </c>
      <c r="J10" s="5">
        <f t="shared" si="4"/>
        <v>0.17010169986000859</v>
      </c>
    </row>
    <row r="11" spans="1:10" ht="15.65" customHeight="1" x14ac:dyDescent="0.35">
      <c r="A11" s="3">
        <f t="shared" si="5"/>
        <v>4</v>
      </c>
      <c r="B11" s="4">
        <f t="shared" si="0"/>
        <v>0.9851810620750554</v>
      </c>
      <c r="C11" s="4">
        <f t="shared" si="1"/>
        <v>0.97595377586756038</v>
      </c>
      <c r="D11" s="4">
        <f t="shared" si="2"/>
        <v>0.9391522972068771</v>
      </c>
      <c r="E11" s="5">
        <v>0.19467849889783201</v>
      </c>
      <c r="F11" s="5">
        <v>0.26939839451833619</v>
      </c>
      <c r="G11" s="5">
        <v>0.45473750580145789</v>
      </c>
      <c r="H11" s="4">
        <f t="shared" si="3"/>
        <v>0.96226261753290154</v>
      </c>
      <c r="I11" s="5">
        <v>0.33834962176598132</v>
      </c>
      <c r="J11" s="5">
        <f t="shared" si="4"/>
        <v>0.33834962176598132</v>
      </c>
    </row>
    <row r="12" spans="1:10" ht="15.65" customHeight="1" x14ac:dyDescent="0.35">
      <c r="A12" s="3">
        <f t="shared" si="5"/>
        <v>5</v>
      </c>
      <c r="B12" s="4">
        <f t="shared" si="0"/>
        <v>1</v>
      </c>
      <c r="C12" s="4">
        <f t="shared" si="1"/>
        <v>0.84904357010742182</v>
      </c>
      <c r="D12" s="4">
        <f t="shared" si="2"/>
        <v>0.8943024435596918</v>
      </c>
      <c r="E12" s="5">
        <v>0.19760682212849981</v>
      </c>
      <c r="F12" s="5">
        <v>0.27603601848751319</v>
      </c>
      <c r="G12" s="5">
        <v>0.48419996112865599</v>
      </c>
      <c r="H12" s="4">
        <f t="shared" si="3"/>
        <v>0.86547672976306234</v>
      </c>
      <c r="I12" s="5">
        <v>0.35161879470435992</v>
      </c>
      <c r="J12" s="5">
        <f t="shared" si="4"/>
        <v>0.35161879470435992</v>
      </c>
    </row>
    <row r="13" spans="1:10" ht="15.65" customHeight="1" x14ac:dyDescent="0.35">
      <c r="A13" s="3">
        <f t="shared" si="5"/>
        <v>6</v>
      </c>
      <c r="B13" s="4">
        <f t="shared" si="0"/>
        <v>0.55114435511786952</v>
      </c>
      <c r="C13" s="4">
        <f t="shared" si="1"/>
        <v>0.76481198581267129</v>
      </c>
      <c r="D13" s="4">
        <f t="shared" si="2"/>
        <v>0.84651783824929372</v>
      </c>
      <c r="E13" s="5">
        <v>0.19760682212849981</v>
      </c>
      <c r="F13" s="5">
        <v>0.3251140791898216</v>
      </c>
      <c r="G13" s="5">
        <v>0.54142752780741699</v>
      </c>
      <c r="H13" s="4">
        <f t="shared" si="3"/>
        <v>0.79546685889072388</v>
      </c>
      <c r="I13" s="5">
        <v>0.40627180675397362</v>
      </c>
      <c r="J13" s="5">
        <f t="shared" si="4"/>
        <v>0.40627180675397362</v>
      </c>
    </row>
    <row r="14" spans="1:10" ht="15.65" customHeight="1" x14ac:dyDescent="0.35">
      <c r="A14" s="3">
        <f t="shared" si="5"/>
        <v>7</v>
      </c>
      <c r="B14" s="4">
        <f t="shared" si="0"/>
        <v>1.1235071290354626</v>
      </c>
      <c r="C14" s="4">
        <f t="shared" si="1"/>
        <v>1.0631231929726115</v>
      </c>
      <c r="D14" s="4">
        <f t="shared" si="2"/>
        <v>1.0363610974757071</v>
      </c>
      <c r="E14" s="5">
        <v>0.35853913823763828</v>
      </c>
      <c r="F14" s="5">
        <v>0.42509019892563921</v>
      </c>
      <c r="G14" s="5">
        <v>0.63959376086764785</v>
      </c>
      <c r="H14" s="4">
        <f t="shared" si="3"/>
        <v>1.0524380460857787</v>
      </c>
      <c r="I14" s="5">
        <v>0.51073379388868367</v>
      </c>
      <c r="J14" s="5">
        <f t="shared" si="4"/>
        <v>0.51073379388868367</v>
      </c>
    </row>
    <row r="15" spans="1:10" ht="15.65" customHeight="1" x14ac:dyDescent="0.35">
      <c r="A15" s="3">
        <f t="shared" si="5"/>
        <v>8</v>
      </c>
      <c r="B15" s="4">
        <f t="shared" si="0"/>
        <v>0.8438489210609077</v>
      </c>
      <c r="C15" s="4">
        <f t="shared" si="1"/>
        <v>0.87037079715640442</v>
      </c>
      <c r="D15" s="4">
        <f t="shared" si="2"/>
        <v>0.91901682244829153</v>
      </c>
      <c r="E15" s="5">
        <v>0.31912493385373192</v>
      </c>
      <c r="F15" s="5">
        <v>0.39985036704639981</v>
      </c>
      <c r="G15" s="5">
        <v>0.6171533864263371</v>
      </c>
      <c r="H15" s="4">
        <f t="shared" si="3"/>
        <v>0.88949671581883816</v>
      </c>
      <c r="I15" s="5">
        <v>0.48528632710324537</v>
      </c>
      <c r="J15" s="5">
        <f t="shared" si="4"/>
        <v>0.48528632710324537</v>
      </c>
    </row>
    <row r="16" spans="1:10" ht="15.65" customHeight="1" x14ac:dyDescent="0.35">
      <c r="A16" s="3">
        <f t="shared" si="5"/>
        <v>9</v>
      </c>
      <c r="B16" s="4">
        <f t="shared" si="0"/>
        <v>0.73671535452626369</v>
      </c>
      <c r="C16" s="4">
        <f t="shared" si="1"/>
        <v>0.7992256182625237</v>
      </c>
      <c r="D16" s="4">
        <f t="shared" si="2"/>
        <v>0.88615724060860368</v>
      </c>
      <c r="E16" s="5">
        <v>0.37817780634538251</v>
      </c>
      <c r="F16" s="5">
        <v>0.45940232410457038</v>
      </c>
      <c r="G16" s="5">
        <v>0.67153655009515478</v>
      </c>
      <c r="H16" s="4">
        <f t="shared" si="3"/>
        <v>0.83453839267946983</v>
      </c>
      <c r="I16" s="5">
        <v>0.54557405156522532</v>
      </c>
      <c r="J16" s="5">
        <f t="shared" si="4"/>
        <v>0.54557405156522532</v>
      </c>
    </row>
    <row r="17" spans="1:10" ht="15.65" customHeight="1" x14ac:dyDescent="0.35">
      <c r="A17" s="3">
        <f t="shared" si="5"/>
        <v>10</v>
      </c>
      <c r="B17" s="4">
        <f t="shared" si="0"/>
        <v>1.0555349173439625</v>
      </c>
      <c r="C17" s="4">
        <f t="shared" si="1"/>
        <v>1.0407811061672363</v>
      </c>
      <c r="D17" s="4">
        <f t="shared" si="2"/>
        <v>1.0148232618753474</v>
      </c>
      <c r="E17" s="5">
        <v>0.51332961098464602</v>
      </c>
      <c r="F17" s="5">
        <v>0.57480930741845826</v>
      </c>
      <c r="G17" s="5">
        <v>0.75780744017162283</v>
      </c>
      <c r="H17" s="4">
        <f t="shared" si="3"/>
        <v>1.0295844807860233</v>
      </c>
      <c r="I17" s="5">
        <v>0.65374350221748256</v>
      </c>
      <c r="J17" s="5">
        <f t="shared" si="4"/>
        <v>0.65374350221748256</v>
      </c>
    </row>
    <row r="18" spans="1:10" ht="15.65" customHeight="1" x14ac:dyDescent="0.35">
      <c r="A18" s="3">
        <f t="shared" si="5"/>
        <v>11</v>
      </c>
      <c r="B18" s="4">
        <f t="shared" si="0"/>
        <v>0.9108895039918482</v>
      </c>
      <c r="C18" s="4">
        <f t="shared" si="1"/>
        <v>0.76250909376216292</v>
      </c>
      <c r="D18" s="4">
        <f t="shared" si="2"/>
        <v>0.88183704107041494</v>
      </c>
      <c r="E18" s="5">
        <v>0.48632177159646678</v>
      </c>
      <c r="F18" s="5">
        <v>0.55228645486776917</v>
      </c>
      <c r="G18" s="5">
        <v>0.74673834217322621</v>
      </c>
      <c r="H18" s="4">
        <f t="shared" si="3"/>
        <v>0.81324192745066615</v>
      </c>
      <c r="I18" s="5">
        <v>0.63495858224124579</v>
      </c>
      <c r="J18" s="5">
        <f t="shared" si="4"/>
        <v>0.63495858224124579</v>
      </c>
    </row>
    <row r="19" spans="1:10" ht="15.65" customHeight="1" x14ac:dyDescent="0.35">
      <c r="A19" s="3">
        <f t="shared" si="5"/>
        <v>12</v>
      </c>
      <c r="B19" s="4">
        <f t="shared" si="0"/>
        <v>0.69182027365941867</v>
      </c>
      <c r="C19" s="4">
        <f t="shared" si="1"/>
        <v>0.80280455118958727</v>
      </c>
      <c r="D19" s="4">
        <f t="shared" si="2"/>
        <v>0.90592674931245143</v>
      </c>
      <c r="E19" s="5">
        <v>0.53389765659306465</v>
      </c>
      <c r="F19" s="5">
        <v>0.72430146654753857</v>
      </c>
      <c r="G19" s="5">
        <v>0.84679856639589601</v>
      </c>
      <c r="H19" s="4">
        <f t="shared" si="3"/>
        <v>0.8503454828730157</v>
      </c>
      <c r="I19" s="5">
        <v>0.78077452822888849</v>
      </c>
      <c r="J19" s="5">
        <f t="shared" si="4"/>
        <v>0.78077452822888849</v>
      </c>
    </row>
    <row r="20" spans="1:10" ht="15.65" customHeight="1" x14ac:dyDescent="0.35">
      <c r="A20" s="3">
        <f t="shared" si="5"/>
        <v>13</v>
      </c>
      <c r="B20" s="4">
        <f t="shared" si="0"/>
        <v>0.7743531962261051</v>
      </c>
      <c r="C20" s="4">
        <f t="shared" si="1"/>
        <v>0.90385864730929799</v>
      </c>
      <c r="D20" s="4">
        <f t="shared" si="2"/>
        <v>0.93892438196074746</v>
      </c>
      <c r="E20" s="5">
        <v>0.77172883900754419</v>
      </c>
      <c r="F20" s="5">
        <v>0.90221395167014984</v>
      </c>
      <c r="G20" s="5">
        <v>0.9347318279745791</v>
      </c>
      <c r="H20" s="4">
        <f t="shared" si="3"/>
        <v>0.92108114531586394</v>
      </c>
      <c r="I20" s="5">
        <v>0.91818507177921183</v>
      </c>
      <c r="J20" s="5">
        <f t="shared" si="4"/>
        <v>0.91818507177921183</v>
      </c>
    </row>
    <row r="21" spans="1:10" ht="15.6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0.99689676621026124</v>
      </c>
      <c r="E21" s="5">
        <v>0.99661090413089148</v>
      </c>
      <c r="F21" s="5">
        <v>0.99818036189171366</v>
      </c>
      <c r="G21" s="5">
        <v>0.99553472668649512</v>
      </c>
      <c r="H21" s="4">
        <f t="shared" si="3"/>
        <v>0.99844632412874756</v>
      </c>
      <c r="I21" s="5">
        <v>0.99685578892654569</v>
      </c>
      <c r="J21" s="5">
        <f t="shared" si="4"/>
        <v>0.99685578892654569</v>
      </c>
    </row>
    <row r="22" spans="1:10" ht="15.65" customHeight="1" x14ac:dyDescent="0.35">
      <c r="A22" s="3">
        <f t="shared" si="5"/>
        <v>15</v>
      </c>
      <c r="B22" s="4">
        <f t="shared" si="0"/>
        <v>0.99661090413089148</v>
      </c>
      <c r="C22" s="4">
        <f t="shared" si="1"/>
        <v>0.99818036189171366</v>
      </c>
      <c r="D22" s="4">
        <f t="shared" si="2"/>
        <v>0.99863372059180811</v>
      </c>
      <c r="E22" s="5">
        <v>0.99661090413089148</v>
      </c>
      <c r="F22" s="5">
        <v>0.99818036189171366</v>
      </c>
      <c r="G22" s="5">
        <v>0.99863372059180811</v>
      </c>
      <c r="H22" s="4">
        <f t="shared" si="3"/>
        <v>0.99840698977625086</v>
      </c>
      <c r="I22" s="5">
        <v>0.99840698977625086</v>
      </c>
      <c r="J22" s="5">
        <f t="shared" si="4"/>
        <v>0.99840698977625086</v>
      </c>
    </row>
    <row r="23" spans="1:10" ht="15.6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6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6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6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5" customHeight="1" x14ac:dyDescent="0.35">
      <c r="A38" s="1">
        <v>0</v>
      </c>
      <c r="B38" s="4"/>
      <c r="C38" s="4"/>
      <c r="D38" s="4">
        <v>3.043165467625899</v>
      </c>
      <c r="E38" s="4">
        <v>1</v>
      </c>
      <c r="F38" s="4">
        <v>1</v>
      </c>
      <c r="G38" s="4">
        <v>3.018912529550827</v>
      </c>
      <c r="H38" s="4">
        <v>1.195771339075959</v>
      </c>
      <c r="I38" s="4">
        <v>1.049115913555992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1.018901997503121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65" customHeight="1" x14ac:dyDescent="0.35">
      <c r="A39" s="1">
        <f t="shared" ref="A39:A60" si="6">1+A38</f>
        <v>1</v>
      </c>
      <c r="B39" s="4"/>
      <c r="C39" s="4">
        <v>1.2</v>
      </c>
      <c r="D39" s="4">
        <v>1.0708333333333331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1.0235649805447471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65" customHeight="1" x14ac:dyDescent="0.35">
      <c r="A40" s="1">
        <f t="shared" si="6"/>
        <v>2</v>
      </c>
      <c r="B40" s="4"/>
      <c r="C40" s="4"/>
      <c r="D40" s="4">
        <v>1.02249550089982</v>
      </c>
      <c r="E40" s="4">
        <v>1.548547961278967</v>
      </c>
      <c r="F40" s="4">
        <v>0.99999999999999989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1.028680621329797</v>
      </c>
      <c r="O40" s="4">
        <v>1.0745800727570041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65" customHeight="1" x14ac:dyDescent="0.35">
      <c r="A41" s="1">
        <f t="shared" si="6"/>
        <v>3</v>
      </c>
      <c r="B41" s="4"/>
      <c r="C41" s="4">
        <v>22.466666666666669</v>
      </c>
      <c r="D41" s="4">
        <v>1</v>
      </c>
      <c r="E41" s="4">
        <v>1</v>
      </c>
      <c r="F41" s="4">
        <v>1.756379821958457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1.020463591822943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65" customHeight="1" x14ac:dyDescent="0.35">
      <c r="A42" s="1">
        <f t="shared" si="6"/>
        <v>4</v>
      </c>
      <c r="B42" s="4"/>
      <c r="C42" s="4">
        <v>1</v>
      </c>
      <c r="D42" s="4">
        <v>1.709048723897912</v>
      </c>
      <c r="E42" s="4">
        <v>1.013032853651914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1.0162321093540609</v>
      </c>
      <c r="M42" s="4">
        <v>1.264133884662838</v>
      </c>
      <c r="N42" s="4">
        <v>0.91988386498595265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65" customHeight="1" x14ac:dyDescent="0.35">
      <c r="A43" s="1">
        <f t="shared" si="6"/>
        <v>5</v>
      </c>
      <c r="B43" s="4">
        <v>1.0575000000000001</v>
      </c>
      <c r="C43" s="4">
        <v>1.085106382978724</v>
      </c>
      <c r="D43" s="4">
        <v>1.4967320261437911</v>
      </c>
      <c r="E43" s="4">
        <v>1.62783114992722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1.021661778381858</v>
      </c>
      <c r="L43" s="4">
        <v>1</v>
      </c>
      <c r="M43" s="4">
        <v>1.026257176086224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65" customHeight="1" x14ac:dyDescent="0.35">
      <c r="A44" s="1">
        <f t="shared" si="6"/>
        <v>6</v>
      </c>
      <c r="B44" s="4"/>
      <c r="C44" s="4"/>
      <c r="D44" s="4">
        <v>1</v>
      </c>
      <c r="E44" s="4">
        <v>1</v>
      </c>
      <c r="F44" s="4">
        <v>1.555555555555556</v>
      </c>
      <c r="G44" s="4">
        <v>1</v>
      </c>
      <c r="H44" s="4">
        <v>1</v>
      </c>
      <c r="I44" s="4">
        <v>1</v>
      </c>
      <c r="J44" s="4">
        <v>1.0540732142857141</v>
      </c>
      <c r="K44" s="4">
        <v>1.182057359122181</v>
      </c>
      <c r="L44" s="4">
        <v>1.1074889716315111</v>
      </c>
      <c r="M44" s="4">
        <v>1</v>
      </c>
      <c r="N44" s="4">
        <v>2.2955046030649142</v>
      </c>
      <c r="O44" s="4">
        <v>1.004566359348803</v>
      </c>
      <c r="P44" s="4">
        <v>1</v>
      </c>
      <c r="Q44" s="4">
        <v>1.0140941736599729</v>
      </c>
      <c r="R44" s="4">
        <v>1</v>
      </c>
      <c r="T44" s="4"/>
      <c r="U44" s="4"/>
      <c r="V44" s="4"/>
    </row>
    <row r="45" spans="1:24" ht="15.65" customHeight="1" x14ac:dyDescent="0.35">
      <c r="A45" s="1">
        <f t="shared" si="6"/>
        <v>7</v>
      </c>
      <c r="B45" s="4"/>
      <c r="C45" s="4"/>
      <c r="D45" s="4"/>
      <c r="E45" s="4">
        <v>1</v>
      </c>
      <c r="F45" s="4">
        <v>1</v>
      </c>
      <c r="G45" s="4">
        <v>1</v>
      </c>
      <c r="H45" s="4">
        <v>1.0121</v>
      </c>
      <c r="I45" s="4">
        <v>1.059837960675823</v>
      </c>
      <c r="J45" s="4">
        <v>1</v>
      </c>
      <c r="K45" s="4">
        <v>1</v>
      </c>
      <c r="L45" s="4">
        <v>1.0233065028872099</v>
      </c>
      <c r="M45" s="4">
        <v>2.4196510401198181</v>
      </c>
      <c r="N45" s="4">
        <v>1</v>
      </c>
      <c r="O45" s="4">
        <v>1.00608179569037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6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38.269806149070369</v>
      </c>
      <c r="P46" s="4">
        <v>1</v>
      </c>
      <c r="Q46" s="4"/>
      <c r="R46" s="4"/>
      <c r="S46" s="4"/>
      <c r="T46" s="4"/>
      <c r="U46" s="4"/>
      <c r="V46" s="4"/>
    </row>
    <row r="47" spans="1:24" ht="15.65" customHeight="1" x14ac:dyDescent="0.35">
      <c r="A47" s="1">
        <f t="shared" si="6"/>
        <v>9</v>
      </c>
      <c r="B47" s="4"/>
      <c r="C47" s="4"/>
      <c r="D47" s="4"/>
      <c r="E47" s="4">
        <v>2.290322580645161</v>
      </c>
      <c r="F47" s="4">
        <v>2.834647887323944</v>
      </c>
      <c r="G47" s="4">
        <v>1.0300914240286201</v>
      </c>
      <c r="H47" s="4">
        <v>1.1013910152703941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1.0879580197971239</v>
      </c>
      <c r="O47" s="4">
        <v>0.99999999999999989</v>
      </c>
      <c r="Q47" s="4"/>
      <c r="R47" s="4"/>
      <c r="S47" s="4"/>
      <c r="T47" s="4"/>
      <c r="U47" s="4"/>
      <c r="V47" s="4"/>
    </row>
    <row r="48" spans="1:24" ht="15.65" customHeight="1" x14ac:dyDescent="0.35">
      <c r="A48" s="1">
        <f t="shared" si="6"/>
        <v>10</v>
      </c>
      <c r="B48" s="4"/>
      <c r="C48" s="4">
        <v>111.07</v>
      </c>
      <c r="D48" s="4">
        <v>1.321779058251553</v>
      </c>
      <c r="E48" s="4">
        <v>1.0326769293644851</v>
      </c>
      <c r="F48" s="4">
        <v>1.006665246330487</v>
      </c>
      <c r="G48" s="4">
        <v>1</v>
      </c>
      <c r="H48" s="4">
        <v>1</v>
      </c>
      <c r="I48" s="4">
        <v>1</v>
      </c>
      <c r="J48" s="4">
        <v>1.072075472192628</v>
      </c>
      <c r="K48" s="4">
        <v>1</v>
      </c>
      <c r="L48" s="4">
        <v>1.7031631032809389</v>
      </c>
      <c r="M48" s="4">
        <v>0.58714282740955359</v>
      </c>
      <c r="N48" s="4">
        <v>1.7031631032809389</v>
      </c>
      <c r="R48" s="4"/>
      <c r="S48" s="4"/>
      <c r="T48" s="4"/>
      <c r="U48" s="4"/>
      <c r="V48" s="4"/>
    </row>
    <row r="49" spans="1:22" ht="15.65" customHeight="1" x14ac:dyDescent="0.35">
      <c r="A49" s="1">
        <f t="shared" si="6"/>
        <v>11</v>
      </c>
      <c r="B49" s="4"/>
      <c r="C49" s="4"/>
      <c r="D49" s="4">
        <v>1</v>
      </c>
      <c r="E49" s="4">
        <v>87.591111111111118</v>
      </c>
      <c r="F49" s="4">
        <v>1.152897300588593</v>
      </c>
      <c r="G49" s="4">
        <v>0.99999999999999989</v>
      </c>
      <c r="H49" s="4">
        <v>0.99999999999999989</v>
      </c>
      <c r="I49" s="4">
        <v>0.99999999999999989</v>
      </c>
      <c r="J49" s="4">
        <v>0.99999999999999989</v>
      </c>
      <c r="K49" s="4">
        <v>4.814614480685524</v>
      </c>
      <c r="L49" s="4">
        <v>0.27189990703354749</v>
      </c>
      <c r="M49" s="4">
        <v>3.6778239864444608</v>
      </c>
      <c r="T49" s="4"/>
      <c r="U49" s="4"/>
      <c r="V49" s="4"/>
    </row>
    <row r="50" spans="1:22" ht="15.65" customHeight="1" x14ac:dyDescent="0.35">
      <c r="A50" s="1">
        <f t="shared" si="6"/>
        <v>12</v>
      </c>
      <c r="B50" s="4"/>
      <c r="C50" s="4">
        <v>2.0116666666666672</v>
      </c>
      <c r="D50" s="4">
        <v>1.0812851698425849</v>
      </c>
      <c r="E50" s="4">
        <v>1.2520609738082089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1.122686617071343</v>
      </c>
      <c r="L50" s="4">
        <v>1</v>
      </c>
      <c r="U50" s="4"/>
      <c r="V50" s="4"/>
    </row>
    <row r="51" spans="1:22" ht="15.65" customHeight="1" x14ac:dyDescent="0.35">
      <c r="A51" s="1">
        <f t="shared" si="6"/>
        <v>13</v>
      </c>
      <c r="B51" s="4"/>
      <c r="C51" s="4">
        <v>1</v>
      </c>
      <c r="D51" s="4">
        <v>1.6885714285714291</v>
      </c>
      <c r="E51" s="4">
        <v>1</v>
      </c>
      <c r="F51" s="4">
        <v>1</v>
      </c>
      <c r="G51" s="4">
        <v>18.087360406091371</v>
      </c>
      <c r="H51" s="4">
        <v>1</v>
      </c>
      <c r="I51" s="4">
        <v>2.0059702721235442</v>
      </c>
      <c r="J51" s="4">
        <v>0.98170505356506621</v>
      </c>
      <c r="K51" s="4">
        <v>1.0665058491894359</v>
      </c>
      <c r="U51" s="4"/>
      <c r="V51" s="4"/>
    </row>
    <row r="52" spans="1:22" ht="15.65" customHeight="1" x14ac:dyDescent="0.35">
      <c r="A52" s="1">
        <f t="shared" si="6"/>
        <v>14</v>
      </c>
      <c r="B52" s="4"/>
      <c r="C52" s="4"/>
      <c r="D52" s="4">
        <v>1</v>
      </c>
      <c r="E52" s="4">
        <v>1.2437054300816921</v>
      </c>
      <c r="F52" s="4">
        <v>1.038051489267821</v>
      </c>
      <c r="G52" s="4">
        <v>1.1871468164253109</v>
      </c>
      <c r="H52" s="4">
        <v>1.7120396785756951</v>
      </c>
      <c r="I52" s="4">
        <v>0.65964212701969027</v>
      </c>
      <c r="J52" s="4">
        <v>1.515973524186623</v>
      </c>
      <c r="V52" s="4"/>
    </row>
    <row r="53" spans="1:22" ht="15.6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>
        <v>6.2779918296686477</v>
      </c>
      <c r="I53" s="4">
        <v>1</v>
      </c>
    </row>
    <row r="54" spans="1:22" ht="15.65" customHeight="1" x14ac:dyDescent="0.35">
      <c r="A54" s="1">
        <f t="shared" si="6"/>
        <v>16</v>
      </c>
      <c r="B54" s="4"/>
      <c r="C54" s="4"/>
      <c r="D54" s="4">
        <v>2.9093499999999999</v>
      </c>
      <c r="E54" s="4">
        <v>1.137487754996821</v>
      </c>
      <c r="F54" s="4">
        <v>1.7875866862072609</v>
      </c>
      <c r="G54" s="4">
        <v>0.99999999999999989</v>
      </c>
      <c r="H54" s="4">
        <v>0.99999999999999989</v>
      </c>
    </row>
    <row r="55" spans="1:22" ht="15.65" customHeight="1" x14ac:dyDescent="0.35">
      <c r="A55" s="1">
        <f t="shared" si="6"/>
        <v>17</v>
      </c>
      <c r="B55" s="4"/>
      <c r="C55" s="4"/>
      <c r="D55" s="4">
        <v>1.0919590965938351</v>
      </c>
      <c r="E55" s="4">
        <v>2.1876052684767231</v>
      </c>
      <c r="F55" s="4">
        <v>1</v>
      </c>
      <c r="G55" s="4">
        <v>1</v>
      </c>
    </row>
    <row r="56" spans="1:22" ht="15.65" customHeight="1" x14ac:dyDescent="0.35">
      <c r="A56" s="1">
        <f t="shared" si="6"/>
        <v>18</v>
      </c>
      <c r="B56" s="4"/>
      <c r="C56" s="4"/>
      <c r="D56" s="4">
        <v>1.5863320754716981</v>
      </c>
      <c r="E56" s="4">
        <v>2.1894057253233989</v>
      </c>
      <c r="F56" s="4">
        <v>1</v>
      </c>
    </row>
    <row r="57" spans="1:22" ht="15.65" customHeight="1" x14ac:dyDescent="0.35">
      <c r="A57" s="1">
        <f t="shared" si="6"/>
        <v>19</v>
      </c>
      <c r="B57" s="4"/>
      <c r="C57" s="4"/>
      <c r="D57" s="4">
        <v>1</v>
      </c>
      <c r="E57" s="4">
        <v>115.4942857142857</v>
      </c>
    </row>
    <row r="58" spans="1:22" ht="15.65" customHeight="1" x14ac:dyDescent="0.35">
      <c r="A58" s="1">
        <f t="shared" si="6"/>
        <v>20</v>
      </c>
      <c r="B58" s="4"/>
      <c r="C58" s="4"/>
      <c r="D58" s="4">
        <v>1.451159759057808</v>
      </c>
    </row>
    <row r="59" spans="1:22" ht="15.65" customHeight="1" x14ac:dyDescent="0.35">
      <c r="A59" s="1">
        <f t="shared" si="6"/>
        <v>21</v>
      </c>
      <c r="B59" s="4"/>
      <c r="C59" s="4"/>
    </row>
    <row r="60" spans="1:22" ht="15.6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B2" sqref="B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81640625" customWidth="1"/>
    <col min="12" max="12" width="4.81640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1796875" bestFit="1" customWidth="1"/>
    <col min="20" max="21" width="8.1796875" bestFit="1" customWidth="1"/>
    <col min="22" max="22" width="8.54296875" bestFit="1" customWidth="1"/>
    <col min="23" max="23" width="9.54296875" bestFit="1" customWidth="1"/>
    <col min="24" max="24" width="9.1796875" bestFit="1" customWidth="1"/>
    <col min="25" max="26" width="8.1796875" bestFit="1" customWidth="1"/>
    <col min="27" max="27" width="8.54296875" bestFit="1" customWidth="1"/>
  </cols>
  <sheetData>
    <row r="1" spans="1:27" ht="28.7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0.13329981439292601</v>
      </c>
      <c r="C2" s="32">
        <v>8.3353546722486863E-2</v>
      </c>
      <c r="D2" s="32">
        <v>8.7776152373313085E-2</v>
      </c>
      <c r="E2" s="32">
        <v>3.8267887292481588E-2</v>
      </c>
      <c r="F2" s="32">
        <v>6.5762823564757255E-5</v>
      </c>
      <c r="G2" s="32">
        <v>1.388107499636963E-5</v>
      </c>
      <c r="H2" s="32">
        <v>7.689901812095379E-5</v>
      </c>
      <c r="I2" s="32">
        <v>4.9817552683448602E-5</v>
      </c>
      <c r="J2" s="32">
        <v>8.5507701545986609E-2</v>
      </c>
      <c r="M2" s="31">
        <v>1</v>
      </c>
      <c r="N2" s="17">
        <v>1.0095833333333331</v>
      </c>
      <c r="O2" s="17">
        <v>1</v>
      </c>
      <c r="P2" s="17">
        <v>1</v>
      </c>
      <c r="Q2" s="17">
        <v>1</v>
      </c>
      <c r="R2" s="17">
        <v>1.0287500000000001</v>
      </c>
      <c r="S2" s="17">
        <v>1</v>
      </c>
      <c r="T2" s="17">
        <v>1</v>
      </c>
      <c r="U2" s="17">
        <v>1</v>
      </c>
      <c r="V2" s="17">
        <v>1</v>
      </c>
    </row>
    <row r="3" spans="1:27" x14ac:dyDescent="0.35">
      <c r="A3">
        <f t="shared" ref="A3:A24" si="0">+A2+1</f>
        <v>2</v>
      </c>
      <c r="B3" s="32">
        <v>0.13457727094752481</v>
      </c>
      <c r="C3" s="32">
        <v>8.3353546722486863E-2</v>
      </c>
      <c r="D3" s="32">
        <v>8.7776152373313085E-2</v>
      </c>
      <c r="E3" s="32">
        <v>3.8267887292481588E-2</v>
      </c>
      <c r="F3" s="32">
        <v>6.7653504742244024E-5</v>
      </c>
      <c r="G3" s="32">
        <v>1.388107499636963E-5</v>
      </c>
      <c r="H3" s="32">
        <v>7.689901812095379E-5</v>
      </c>
      <c r="I3" s="32">
        <v>4.9817552683448602E-5</v>
      </c>
      <c r="J3" s="32">
        <v>8.5507701545986609E-2</v>
      </c>
      <c r="M3">
        <f t="shared" ref="M3:M24" si="1">+M2+1</f>
        <v>2</v>
      </c>
      <c r="N3" s="17">
        <v>1.950199789695058</v>
      </c>
      <c r="O3" s="17">
        <v>2.6946278317152101</v>
      </c>
      <c r="P3" s="17"/>
      <c r="Q3" s="17"/>
      <c r="R3" s="17">
        <v>19.976205673758869</v>
      </c>
      <c r="S3" s="17">
        <v>38.027222222222228</v>
      </c>
      <c r="T3" s="17"/>
      <c r="U3" s="17"/>
      <c r="V3" s="17">
        <v>1.3473139158576051</v>
      </c>
    </row>
    <row r="4" spans="1:27" x14ac:dyDescent="0.35">
      <c r="A4">
        <f t="shared" si="0"/>
        <v>3</v>
      </c>
      <c r="B4" s="32">
        <v>0.26245256549959772</v>
      </c>
      <c r="C4" s="32">
        <v>0.22460678687058719</v>
      </c>
      <c r="D4" s="32">
        <v>8.7776152373313085E-2</v>
      </c>
      <c r="E4" s="32">
        <v>3.8267887292481588E-2</v>
      </c>
      <c r="F4" s="32">
        <v>1.3514603252816879E-3</v>
      </c>
      <c r="G4" s="32">
        <v>5.2785872357028038E-4</v>
      </c>
      <c r="H4" s="32">
        <v>7.689901812095379E-5</v>
      </c>
      <c r="I4" s="32">
        <v>4.9817552683448602E-5</v>
      </c>
      <c r="J4" s="32">
        <v>0.12622404793393591</v>
      </c>
      <c r="M4">
        <f t="shared" si="1"/>
        <v>3</v>
      </c>
      <c r="N4" s="17">
        <v>1.2508911685476289</v>
      </c>
      <c r="O4" s="17">
        <v>1.2103905351179951</v>
      </c>
      <c r="P4" s="17">
        <v>1.4100934109512839</v>
      </c>
      <c r="Q4" s="17">
        <v>1.474155333501677</v>
      </c>
      <c r="R4" s="17">
        <v>1.439571272922922</v>
      </c>
      <c r="S4" s="17">
        <v>1.413043658778891</v>
      </c>
      <c r="T4" s="17">
        <v>1.607760186224668</v>
      </c>
      <c r="U4" s="17">
        <v>1.3458306115098351</v>
      </c>
      <c r="V4" s="17">
        <v>1.31024197303464</v>
      </c>
    </row>
    <row r="5" spans="1:27" x14ac:dyDescent="0.35">
      <c r="A5">
        <f t="shared" si="0"/>
        <v>4</v>
      </c>
      <c r="B5" s="32">
        <v>0.32829959634611511</v>
      </c>
      <c r="C5" s="32">
        <v>0.27186192895142358</v>
      </c>
      <c r="D5" s="32">
        <v>0.1237725741002647</v>
      </c>
      <c r="E5" s="32">
        <v>5.6412810154052813E-2</v>
      </c>
      <c r="F5" s="32">
        <v>1.945523460770584E-3</v>
      </c>
      <c r="G5" s="32">
        <v>7.4588742207210403E-4</v>
      </c>
      <c r="H5" s="32">
        <v>1.2363517969463881E-4</v>
      </c>
      <c r="I5" s="32">
        <v>6.7045987391889055E-5</v>
      </c>
      <c r="J5" s="32">
        <v>0.17010169986000859</v>
      </c>
      <c r="M5">
        <f t="shared" si="1"/>
        <v>4</v>
      </c>
      <c r="N5" s="17">
        <v>1.40391703227202</v>
      </c>
      <c r="O5" s="17">
        <v>1.672678140537694</v>
      </c>
      <c r="P5" s="17">
        <v>2.1765596819542909</v>
      </c>
      <c r="Q5" s="17">
        <v>3.450962615870429</v>
      </c>
      <c r="R5" s="17">
        <v>12.478226302941749</v>
      </c>
      <c r="S5" s="17">
        <v>21.54186614880933</v>
      </c>
      <c r="T5" s="17">
        <v>24.45049797863286</v>
      </c>
      <c r="U5" s="17">
        <v>39.957098902695272</v>
      </c>
      <c r="V5" s="17">
        <v>1.924618911245993</v>
      </c>
    </row>
    <row r="6" spans="1:27" x14ac:dyDescent="0.35">
      <c r="A6">
        <f t="shared" si="0"/>
        <v>5</v>
      </c>
      <c r="B6" s="32">
        <v>0.46090539499833988</v>
      </c>
      <c r="C6" s="32">
        <v>0.45473750580145789</v>
      </c>
      <c r="D6" s="32">
        <v>0.26939839451833619</v>
      </c>
      <c r="E6" s="32">
        <v>0.19467849889783201</v>
      </c>
      <c r="F6" s="32">
        <v>2.4276682021177758E-2</v>
      </c>
      <c r="G6" s="32">
        <v>1.6067807008357721E-2</v>
      </c>
      <c r="H6" s="32">
        <v>3.0229417112116771E-3</v>
      </c>
      <c r="I6" s="32">
        <v>2.6789631492465712E-3</v>
      </c>
      <c r="J6" s="32">
        <v>0.33834962176598132</v>
      </c>
      <c r="M6">
        <f t="shared" si="1"/>
        <v>5</v>
      </c>
      <c r="N6" s="17">
        <v>1.1004774126602339</v>
      </c>
      <c r="O6" s="17">
        <v>1.064790027106455</v>
      </c>
      <c r="P6" s="17">
        <v>1.024638691633796</v>
      </c>
      <c r="Q6" s="17">
        <v>1.015041842048539</v>
      </c>
      <c r="R6" s="17">
        <v>1.243046116896007</v>
      </c>
      <c r="S6" s="17">
        <v>1.281984860971811</v>
      </c>
      <c r="T6" s="17">
        <v>1.165127635095017</v>
      </c>
      <c r="U6" s="17">
        <v>1.262528895402421</v>
      </c>
      <c r="V6" s="17">
        <v>1.0447143593701249</v>
      </c>
    </row>
    <row r="7" spans="1:27" x14ac:dyDescent="0.35">
      <c r="A7">
        <f t="shared" si="0"/>
        <v>6</v>
      </c>
      <c r="B7" s="32">
        <v>0.50721597656891615</v>
      </c>
      <c r="C7" s="32">
        <v>0.48419996112865599</v>
      </c>
      <c r="D7" s="32">
        <v>0.27603601848751319</v>
      </c>
      <c r="E7" s="32">
        <v>0.19760682212849981</v>
      </c>
      <c r="F7" s="32">
        <v>3.0177035317544131E-2</v>
      </c>
      <c r="G7" s="32">
        <v>2.059868533373135E-2</v>
      </c>
      <c r="H7" s="32">
        <v>3.5221129270141438E-3</v>
      </c>
      <c r="I7" s="32">
        <v>3.3822683856420629E-3</v>
      </c>
      <c r="J7" s="32">
        <v>0.35161879470435992</v>
      </c>
      <c r="M7">
        <f t="shared" si="1"/>
        <v>6</v>
      </c>
      <c r="N7" s="17">
        <v>1.136237225687003</v>
      </c>
      <c r="O7" s="17">
        <v>1.1181899448016579</v>
      </c>
      <c r="P7" s="17">
        <v>1.1777958578421119</v>
      </c>
      <c r="Q7" s="17">
        <v>1</v>
      </c>
      <c r="R7" s="17">
        <v>2.2077194485060079</v>
      </c>
      <c r="S7" s="17">
        <v>2.7304598646545299</v>
      </c>
      <c r="T7" s="17">
        <v>4.4549014445033368</v>
      </c>
      <c r="U7" s="17">
        <v>1</v>
      </c>
      <c r="V7" s="17">
        <v>1.147992901321885</v>
      </c>
    </row>
    <row r="8" spans="1:27" x14ac:dyDescent="0.35">
      <c r="A8">
        <f t="shared" si="0"/>
        <v>7</v>
      </c>
      <c r="B8" s="32">
        <v>0.57631767404078937</v>
      </c>
      <c r="C8" s="32">
        <v>0.54142752780741699</v>
      </c>
      <c r="D8" s="32">
        <v>0.3251140791898216</v>
      </c>
      <c r="E8" s="32">
        <v>0.19760682212849981</v>
      </c>
      <c r="F8" s="32">
        <v>6.6622427768794859E-2</v>
      </c>
      <c r="G8" s="32">
        <v>5.6243883568401362E-2</v>
      </c>
      <c r="H8" s="32">
        <v>1.569066596625919E-2</v>
      </c>
      <c r="I8" s="32">
        <v>3.3822683856420629E-3</v>
      </c>
      <c r="J8" s="32">
        <v>0.40627180675397362</v>
      </c>
      <c r="M8">
        <f t="shared" si="1"/>
        <v>7</v>
      </c>
      <c r="N8" s="17">
        <v>1.132096543929918</v>
      </c>
      <c r="O8" s="17">
        <v>1.1813100147636899</v>
      </c>
      <c r="P8" s="17">
        <v>1.3075108896697321</v>
      </c>
      <c r="Q8" s="17">
        <v>1.814406680779914</v>
      </c>
      <c r="R8" s="17">
        <v>1.393705866411918</v>
      </c>
      <c r="S8" s="17">
        <v>1.554865683955885</v>
      </c>
      <c r="T8" s="17">
        <v>1.99833858470739</v>
      </c>
      <c r="U8" s="17">
        <v>2.9966771694147809</v>
      </c>
      <c r="V8" s="17">
        <v>1.244410452216711</v>
      </c>
    </row>
    <row r="9" spans="1:27" x14ac:dyDescent="0.35">
      <c r="A9">
        <f t="shared" si="0"/>
        <v>8</v>
      </c>
      <c r="B9" s="32">
        <v>0.65244724698730672</v>
      </c>
      <c r="C9" s="32">
        <v>0.63959376086764785</v>
      </c>
      <c r="D9" s="32">
        <v>0.42509019892563921</v>
      </c>
      <c r="E9" s="32">
        <v>0.35853913823763828</v>
      </c>
      <c r="F9" s="32">
        <v>9.2852068415973682E-2</v>
      </c>
      <c r="G9" s="32">
        <v>8.7451684492917542E-2</v>
      </c>
      <c r="H9" s="32">
        <v>3.1355263220130797E-2</v>
      </c>
      <c r="I9" s="32">
        <v>1.013556645208696E-2</v>
      </c>
      <c r="J9" s="32">
        <v>0.51073379388868367</v>
      </c>
      <c r="M9">
        <f t="shared" si="1"/>
        <v>8</v>
      </c>
      <c r="N9" s="17">
        <v>0.98022103112486425</v>
      </c>
      <c r="O9" s="17">
        <v>0.9649146445536475</v>
      </c>
      <c r="P9" s="17">
        <v>0.9406247616552208</v>
      </c>
      <c r="Q9" s="17">
        <v>0.89007000859754726</v>
      </c>
      <c r="R9" s="17">
        <v>1.0484103920859409</v>
      </c>
      <c r="S9" s="17">
        <v>1.0604541966515879</v>
      </c>
      <c r="T9" s="17">
        <v>1.110935399857206</v>
      </c>
      <c r="U9" s="17">
        <v>1.2218707997144109</v>
      </c>
      <c r="V9" s="17">
        <v>0.95276970310443421</v>
      </c>
    </row>
    <row r="10" spans="1:27" x14ac:dyDescent="0.35">
      <c r="A10">
        <f t="shared" si="0"/>
        <v>9</v>
      </c>
      <c r="B10" s="32">
        <v>0.63954251319647681</v>
      </c>
      <c r="C10" s="32">
        <v>0.6171533864263371</v>
      </c>
      <c r="D10" s="32">
        <v>0.39985036704639981</v>
      </c>
      <c r="E10" s="32">
        <v>0.31912493385373192</v>
      </c>
      <c r="F10" s="32">
        <v>9.7347073453981567E-2</v>
      </c>
      <c r="G10" s="32">
        <v>9.2738505824765019E-2</v>
      </c>
      <c r="H10" s="32">
        <v>3.483367188308395E-2</v>
      </c>
      <c r="I10" s="32">
        <v>1.2384352686370051E-2</v>
      </c>
      <c r="J10" s="32">
        <v>0.48528632710324537</v>
      </c>
      <c r="M10">
        <f t="shared" si="1"/>
        <v>9</v>
      </c>
      <c r="N10" s="17">
        <v>1.0705324498055631</v>
      </c>
      <c r="O10" s="17">
        <v>1.088119363621622</v>
      </c>
      <c r="P10" s="17">
        <v>1.1489356068322929</v>
      </c>
      <c r="Q10" s="17">
        <v>1.1850462506283419</v>
      </c>
      <c r="R10" s="17">
        <v>1.041588484282002</v>
      </c>
      <c r="S10" s="17">
        <v>1.051985605352503</v>
      </c>
      <c r="T10" s="17">
        <v>1.094959008324053</v>
      </c>
      <c r="U10" s="17">
        <v>1.1658928592505631</v>
      </c>
      <c r="V10" s="17">
        <v>1.1185274852269571</v>
      </c>
    </row>
    <row r="11" spans="1:27" x14ac:dyDescent="0.35">
      <c r="A11">
        <f t="shared" si="0"/>
        <v>10</v>
      </c>
      <c r="B11" s="32">
        <v>0.68465101340703094</v>
      </c>
      <c r="C11" s="32">
        <v>0.67153655009515478</v>
      </c>
      <c r="D11" s="32">
        <v>0.45940232410457038</v>
      </c>
      <c r="E11" s="32">
        <v>0.37817780634538251</v>
      </c>
      <c r="F11" s="32">
        <v>0.1013955906882214</v>
      </c>
      <c r="G11" s="32">
        <v>9.7559573189552037E-2</v>
      </c>
      <c r="H11" s="32">
        <v>3.8141442821387053E-2</v>
      </c>
      <c r="I11" s="32">
        <v>1.4438828363479379E-2</v>
      </c>
      <c r="J11" s="32">
        <v>0.54557405156522532</v>
      </c>
      <c r="M11">
        <f t="shared" si="1"/>
        <v>10</v>
      </c>
      <c r="N11" s="17">
        <v>1.104717507041608</v>
      </c>
      <c r="O11" s="17">
        <v>1.128467899571876</v>
      </c>
      <c r="P11" s="17">
        <v>1.25121114382438</v>
      </c>
      <c r="Q11" s="17">
        <v>1.3573763514716459</v>
      </c>
      <c r="R11" s="17">
        <v>1.3005375774607391</v>
      </c>
      <c r="S11" s="17">
        <v>1.350627173704195</v>
      </c>
      <c r="T11" s="17">
        <v>1.6673011578243839</v>
      </c>
      <c r="U11" s="17">
        <v>2.3346023156487679</v>
      </c>
      <c r="V11" s="17">
        <v>1.1898395216981279</v>
      </c>
    </row>
    <row r="12" spans="1:27" x14ac:dyDescent="0.35">
      <c r="A12">
        <f t="shared" si="0"/>
        <v>11</v>
      </c>
      <c r="B12" s="32">
        <v>0.75634596072452598</v>
      </c>
      <c r="C12" s="32">
        <v>0.75780744017162283</v>
      </c>
      <c r="D12" s="32">
        <v>0.57480930741845826</v>
      </c>
      <c r="E12" s="32">
        <v>0.51332961098464602</v>
      </c>
      <c r="F12" s="32">
        <v>0.13186877587886009</v>
      </c>
      <c r="G12" s="32">
        <v>0.13176661060479231</v>
      </c>
      <c r="H12" s="32">
        <v>6.3593271777191152E-2</v>
      </c>
      <c r="I12" s="32">
        <v>3.3708922132634059E-2</v>
      </c>
      <c r="J12" s="32">
        <v>0.65374350221748256</v>
      </c>
      <c r="M12">
        <f t="shared" si="1"/>
        <v>11</v>
      </c>
      <c r="N12" s="17">
        <v>0.98729732285197047</v>
      </c>
      <c r="O12" s="17">
        <v>0.9853932576910438</v>
      </c>
      <c r="P12" s="17">
        <v>0.96081682697198822</v>
      </c>
      <c r="Q12" s="17">
        <v>0.9473869443526276</v>
      </c>
      <c r="R12" s="17">
        <v>1.009391584168251</v>
      </c>
      <c r="S12" s="17">
        <v>1.010174216182272</v>
      </c>
      <c r="T12" s="17">
        <v>0.99972825220028261</v>
      </c>
      <c r="U12" s="17">
        <v>0.99168767010482883</v>
      </c>
      <c r="V12" s="17">
        <v>0.97310504233151596</v>
      </c>
    </row>
    <row r="13" spans="1:27" x14ac:dyDescent="0.35">
      <c r="A13">
        <f t="shared" si="0"/>
        <v>12</v>
      </c>
      <c r="B13" s="32">
        <v>0.74673834217322621</v>
      </c>
      <c r="C13" s="32">
        <v>0.74673834217322621</v>
      </c>
      <c r="D13" s="32">
        <v>0.55228645486776917</v>
      </c>
      <c r="E13" s="32">
        <v>0.48632177159646678</v>
      </c>
      <c r="F13" s="32">
        <v>0.13310723258669069</v>
      </c>
      <c r="G13" s="32">
        <v>0.13310723258669069</v>
      </c>
      <c r="H13" s="32">
        <v>6.3575990445508865E-2</v>
      </c>
      <c r="I13" s="32">
        <v>3.3428722451456963E-2</v>
      </c>
      <c r="J13" s="32">
        <v>0.63495858224124579</v>
      </c>
      <c r="M13">
        <f t="shared" si="1"/>
        <v>12</v>
      </c>
      <c r="N13" s="17">
        <v>1.1339963660248991</v>
      </c>
      <c r="O13" s="17">
        <v>1.1339963660248991</v>
      </c>
      <c r="P13" s="17">
        <v>1.3114597690449501</v>
      </c>
      <c r="Q13" s="17">
        <v>1.097827997377989</v>
      </c>
      <c r="R13" s="17">
        <v>1.3329560422121529</v>
      </c>
      <c r="S13" s="17">
        <v>1.3329560422121529</v>
      </c>
      <c r="T13" s="17">
        <v>1.614102975662306</v>
      </c>
      <c r="U13" s="17">
        <v>1.7549889379513379</v>
      </c>
      <c r="V13" s="17">
        <v>1.2227280675349239</v>
      </c>
    </row>
    <row r="14" spans="1:27" x14ac:dyDescent="0.35">
      <c r="A14">
        <f t="shared" si="0"/>
        <v>13</v>
      </c>
      <c r="B14" s="32">
        <v>0.84679856639589601</v>
      </c>
      <c r="C14" s="32">
        <v>0.84679856639589601</v>
      </c>
      <c r="D14" s="32">
        <v>0.72430146654753857</v>
      </c>
      <c r="E14" s="32">
        <v>0.53389765659306465</v>
      </c>
      <c r="F14" s="32">
        <v>0.17742608993856779</v>
      </c>
      <c r="G14" s="32">
        <v>0.17742608993856779</v>
      </c>
      <c r="H14" s="32">
        <v>0.1026181953587742</v>
      </c>
      <c r="I14" s="32">
        <v>5.8667038112152507E-2</v>
      </c>
      <c r="J14" s="32">
        <v>0.78077452822888849</v>
      </c>
      <c r="M14">
        <f t="shared" si="1"/>
        <v>13</v>
      </c>
      <c r="N14" s="17">
        <v>1.103842005723912</v>
      </c>
      <c r="O14" s="17">
        <v>1.103842005723912</v>
      </c>
      <c r="P14" s="17">
        <v>1.2456331974179899</v>
      </c>
      <c r="Q14" s="17">
        <v>1.4454621208344309</v>
      </c>
      <c r="R14" s="17">
        <v>1.1850172920417019</v>
      </c>
      <c r="S14" s="17">
        <v>1.1850172920417019</v>
      </c>
      <c r="T14" s="17">
        <v>1.347770954357163</v>
      </c>
      <c r="U14" s="17">
        <v>1.2637070410260209</v>
      </c>
      <c r="V14" s="17">
        <v>1.174737601570951</v>
      </c>
    </row>
    <row r="15" spans="1:27" x14ac:dyDescent="0.35">
      <c r="A15">
        <f t="shared" si="0"/>
        <v>14</v>
      </c>
      <c r="B15" s="32">
        <v>0.9347318279745791</v>
      </c>
      <c r="C15" s="32">
        <v>0.9347318279745791</v>
      </c>
      <c r="D15" s="32">
        <v>0.90221395167014984</v>
      </c>
      <c r="E15" s="32">
        <v>0.77172883900754419</v>
      </c>
      <c r="F15" s="32">
        <v>0.21025298463654921</v>
      </c>
      <c r="G15" s="32">
        <v>0.21025298463654921</v>
      </c>
      <c r="H15" s="32">
        <v>0.1383058230931048</v>
      </c>
      <c r="I15" s="32">
        <v>7.4137949138469036E-2</v>
      </c>
      <c r="J15" s="32">
        <v>0.91818507177921183</v>
      </c>
      <c r="M15">
        <f t="shared" si="1"/>
        <v>14</v>
      </c>
      <c r="N15" s="17">
        <v>1.065048495078708</v>
      </c>
      <c r="O15" s="17">
        <v>1.065048495078708</v>
      </c>
      <c r="P15" s="17">
        <v>1.1063676858952509</v>
      </c>
      <c r="Q15" s="17">
        <v>1.291400364683208</v>
      </c>
      <c r="R15" s="17">
        <v>4.7378599357411293</v>
      </c>
      <c r="S15" s="17">
        <v>4.7378599357411293</v>
      </c>
      <c r="T15" s="17">
        <v>7.2134090506849233</v>
      </c>
      <c r="U15" s="17">
        <v>13.42529598158691</v>
      </c>
      <c r="V15" s="17">
        <v>1.08570809048698</v>
      </c>
    </row>
    <row r="16" spans="1:27" x14ac:dyDescent="0.35">
      <c r="A16">
        <f t="shared" si="0"/>
        <v>15</v>
      </c>
      <c r="B16" s="32">
        <v>0.99553472668649512</v>
      </c>
      <c r="C16" s="32">
        <v>0.99553472668649512</v>
      </c>
      <c r="D16" s="32">
        <v>0.99818036189171366</v>
      </c>
      <c r="E16" s="32">
        <v>0.99661090413089148</v>
      </c>
      <c r="F16" s="32">
        <v>0.99614919227950138</v>
      </c>
      <c r="G16" s="32">
        <v>0.99614919227950138</v>
      </c>
      <c r="H16" s="32">
        <v>0.99765647606223018</v>
      </c>
      <c r="I16" s="32">
        <v>0.99532391065178327</v>
      </c>
      <c r="J16" s="32">
        <v>0.99685578892654569</v>
      </c>
      <c r="M16">
        <f t="shared" si="1"/>
        <v>15</v>
      </c>
      <c r="N16" s="17">
        <v>1.003112893827047</v>
      </c>
      <c r="O16" s="17">
        <v>1.003112893827047</v>
      </c>
      <c r="P16" s="17">
        <v>1</v>
      </c>
      <c r="Q16" s="17">
        <v>1</v>
      </c>
      <c r="R16" s="17">
        <v>1.002100221944791</v>
      </c>
      <c r="S16" s="17">
        <v>1.002100221944791</v>
      </c>
      <c r="T16" s="17">
        <v>1</v>
      </c>
      <c r="U16" s="17">
        <v>1</v>
      </c>
      <c r="V16" s="17">
        <v>1.001556446913523</v>
      </c>
    </row>
    <row r="17" spans="1:22" x14ac:dyDescent="0.35">
      <c r="A17">
        <f t="shared" si="0"/>
        <v>16</v>
      </c>
      <c r="B17" s="32">
        <v>0.99863372059180811</v>
      </c>
      <c r="C17" s="32">
        <v>0.99863372059180811</v>
      </c>
      <c r="D17" s="32">
        <v>0.99818036189171366</v>
      </c>
      <c r="E17" s="32">
        <v>0.99661090413089148</v>
      </c>
      <c r="F17" s="32">
        <v>0.99824132667341281</v>
      </c>
      <c r="G17" s="32">
        <v>0.99824132667341281</v>
      </c>
      <c r="H17" s="32">
        <v>0.99765647606223018</v>
      </c>
      <c r="I17" s="32">
        <v>0.99532391065178327</v>
      </c>
      <c r="J17" s="32">
        <v>0.99840698977625086</v>
      </c>
      <c r="M17">
        <f t="shared" si="1"/>
        <v>16</v>
      </c>
      <c r="N17" s="17">
        <v>1.0013681486815631</v>
      </c>
      <c r="O17" s="17">
        <v>1.0013681486815631</v>
      </c>
      <c r="P17" s="17">
        <v>1.001822955227087</v>
      </c>
      <c r="Q17" s="17">
        <v>1.0034006208993509</v>
      </c>
      <c r="R17" s="17">
        <v>1.0017617717074969</v>
      </c>
      <c r="S17" s="17">
        <v>1.0017617717074969</v>
      </c>
      <c r="T17" s="17">
        <v>1.002349028943329</v>
      </c>
      <c r="U17" s="17">
        <v>1.004698057886658</v>
      </c>
      <c r="V17" s="17">
        <v>1.0015955519543249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T54"/>
  <sheetViews>
    <sheetView zoomScale="80" zoomScaleNormal="80" workbookViewId="0">
      <pane ySplit="7" topLeftCell="A8" activePane="bottomLeft" state="frozen"/>
      <selection activeCell="E7" sqref="E7"/>
      <selection pane="bottomLeft" activeCell="H29" sqref="H29"/>
    </sheetView>
  </sheetViews>
  <sheetFormatPr defaultRowHeight="14.5" x14ac:dyDescent="0.35"/>
  <cols>
    <col min="1" max="1" width="10.81640625" bestFit="1" customWidth="1"/>
    <col min="2" max="2" width="13.1796875" bestFit="1" customWidth="1"/>
    <col min="3" max="3" width="12.1796875" bestFit="1" customWidth="1"/>
    <col min="4" max="5" width="14.1796875" bestFit="1" customWidth="1"/>
    <col min="6" max="6" width="15" bestFit="1" customWidth="1"/>
    <col min="7" max="7" width="14.1796875" bestFit="1" customWidth="1"/>
    <col min="8" max="8" width="13.54296875" bestFit="1" customWidth="1"/>
    <col min="9" max="10" width="13.54296875" customWidth="1"/>
    <col min="11" max="11" width="14.453125" bestFit="1" customWidth="1"/>
    <col min="12" max="12" width="16.54296875" bestFit="1" customWidth="1"/>
    <col min="13" max="15" width="12.1796875" bestFit="1" customWidth="1"/>
    <col min="16" max="16" width="10.54296875" bestFit="1" customWidth="1"/>
    <col min="17" max="17" width="13.54296875" bestFit="1" customWidth="1"/>
    <col min="18" max="18" width="27.1796875" bestFit="1" customWidth="1"/>
    <col min="19" max="19" width="7.1796875" customWidth="1"/>
    <col min="20" max="20" width="10.1796875" customWidth="1"/>
    <col min="21" max="42" width="11.54296875" bestFit="1" customWidth="1"/>
    <col min="43" max="44" width="10.54296875" bestFit="1" customWidth="1"/>
    <col min="45" max="46" width="11.54296875" bestFit="1" customWidth="1"/>
    <col min="48" max="48" width="10.1796875" bestFit="1" customWidth="1"/>
  </cols>
  <sheetData>
    <row r="4" spans="1:46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45716</v>
      </c>
      <c r="I4" s="8">
        <v>45688</v>
      </c>
      <c r="J4" s="43"/>
      <c r="L4" s="36" t="s">
        <v>39</v>
      </c>
      <c r="M4" s="37"/>
      <c r="N4" s="37"/>
      <c r="O4" s="38"/>
    </row>
    <row r="5" spans="1:46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I5" s="9" t="s">
        <v>43</v>
      </c>
      <c r="J5" s="44"/>
      <c r="N5" s="7" t="s">
        <v>45</v>
      </c>
      <c r="O5" s="7" t="s">
        <v>46</v>
      </c>
    </row>
    <row r="6" spans="1:46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9" t="s">
        <v>49</v>
      </c>
      <c r="J6" s="44" t="s">
        <v>67</v>
      </c>
      <c r="K6" s="7" t="s">
        <v>51</v>
      </c>
      <c r="L6" s="7" t="s">
        <v>45</v>
      </c>
      <c r="M6" s="7" t="s">
        <v>47</v>
      </c>
      <c r="N6" s="7" t="s">
        <v>52</v>
      </c>
      <c r="O6" s="7" t="s">
        <v>53</v>
      </c>
      <c r="U6" s="7" t="s">
        <v>54</v>
      </c>
      <c r="AT6" s="7" t="s">
        <v>55</v>
      </c>
    </row>
    <row r="7" spans="1:46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44"/>
      <c r="J7" s="44"/>
      <c r="K7" s="7" t="s">
        <v>58</v>
      </c>
      <c r="L7" s="7" t="s">
        <v>58</v>
      </c>
      <c r="M7" s="7" t="s">
        <v>57</v>
      </c>
      <c r="N7" s="7" t="s">
        <v>58</v>
      </c>
      <c r="O7" s="7" t="s">
        <v>59</v>
      </c>
      <c r="T7" s="10" t="s">
        <v>60</v>
      </c>
      <c r="U7" s="11">
        <f>T8</f>
        <v>44986</v>
      </c>
      <c r="V7" s="11">
        <f>T9</f>
        <v>45017</v>
      </c>
      <c r="W7" s="11">
        <f>T10</f>
        <v>45047</v>
      </c>
      <c r="X7" s="11">
        <f>T11</f>
        <v>45078</v>
      </c>
      <c r="Y7" s="11">
        <f>T12</f>
        <v>45108</v>
      </c>
      <c r="Z7" s="11">
        <f>T13</f>
        <v>45139</v>
      </c>
      <c r="AA7" s="11">
        <f>T14</f>
        <v>45170</v>
      </c>
      <c r="AB7" s="11">
        <f>T15</f>
        <v>45200</v>
      </c>
      <c r="AC7" s="11">
        <f>T16</f>
        <v>45231</v>
      </c>
      <c r="AD7" s="11">
        <f>T17</f>
        <v>45261</v>
      </c>
      <c r="AE7" s="11">
        <f>T18</f>
        <v>45292</v>
      </c>
      <c r="AF7" s="11">
        <f>T19</f>
        <v>45323</v>
      </c>
      <c r="AG7" s="11">
        <f>T20</f>
        <v>45352</v>
      </c>
      <c r="AH7" s="11">
        <f>T21</f>
        <v>45383</v>
      </c>
      <c r="AI7" s="11">
        <f>T22</f>
        <v>45413</v>
      </c>
      <c r="AJ7" s="11">
        <f>T23</f>
        <v>45444</v>
      </c>
      <c r="AK7" s="11">
        <f>T24</f>
        <v>45474</v>
      </c>
      <c r="AL7" s="11">
        <f>T25</f>
        <v>45505</v>
      </c>
      <c r="AM7" s="11">
        <f>T26</f>
        <v>45536</v>
      </c>
      <c r="AN7" s="11">
        <f>T27</f>
        <v>45566</v>
      </c>
      <c r="AO7" s="11">
        <f>T28</f>
        <v>45597</v>
      </c>
      <c r="AP7" s="11">
        <f>T29</f>
        <v>45627</v>
      </c>
      <c r="AQ7" s="11">
        <f>T30</f>
        <v>45658</v>
      </c>
      <c r="AR7" s="11">
        <f>T31</f>
        <v>45689</v>
      </c>
      <c r="AS7" s="11" t="s">
        <v>36</v>
      </c>
      <c r="AT7" s="7" t="s">
        <v>36</v>
      </c>
    </row>
    <row r="8" spans="1:46" x14ac:dyDescent="0.35">
      <c r="A8" s="12">
        <f t="shared" ref="A8:A30" si="0">DATE(YEAR(A9),MONTH(A9)-1,1)</f>
        <v>44986</v>
      </c>
      <c r="B8" s="13">
        <v>32645.62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32645.62</v>
      </c>
      <c r="H8" s="14">
        <f t="shared" ref="H8:H31" si="4">G8-B8</f>
        <v>0</v>
      </c>
      <c r="I8" s="45"/>
      <c r="J8" s="45"/>
      <c r="K8" s="13">
        <v>73976.997499999998</v>
      </c>
      <c r="L8" s="13">
        <f t="shared" ref="L8:L28" si="5">100*$G8/$K8</f>
        <v>44.129420094401645</v>
      </c>
      <c r="M8" s="13">
        <f t="shared" ref="M8:M31" si="6">100*(B8/K8)</f>
        <v>44.129420094401638</v>
      </c>
      <c r="N8" s="13">
        <f t="shared" ref="N8:N31" si="7">L8-M8</f>
        <v>0</v>
      </c>
      <c r="O8" s="13"/>
      <c r="P8" s="13"/>
      <c r="Q8" s="13"/>
      <c r="R8" s="15"/>
      <c r="T8" s="16">
        <f t="shared" ref="T8:T31" si="8">A8</f>
        <v>44986</v>
      </c>
      <c r="U8" s="17"/>
      <c r="V8" s="17"/>
      <c r="W8" s="17">
        <v>2780</v>
      </c>
      <c r="X8" s="17">
        <v>8460</v>
      </c>
      <c r="Y8" s="17">
        <v>8460</v>
      </c>
      <c r="Z8" s="17">
        <v>8460</v>
      </c>
      <c r="AA8" s="17">
        <v>25540</v>
      </c>
      <c r="AB8" s="17">
        <v>30540</v>
      </c>
      <c r="AC8" s="17">
        <v>32040</v>
      </c>
      <c r="AD8" s="17">
        <v>32040</v>
      </c>
      <c r="AE8" s="17">
        <v>32040</v>
      </c>
      <c r="AF8" s="17">
        <v>32040</v>
      </c>
      <c r="AG8" s="17">
        <v>32040</v>
      </c>
      <c r="AH8" s="17">
        <v>32040</v>
      </c>
      <c r="AI8" s="17">
        <v>32040</v>
      </c>
      <c r="AJ8" s="17">
        <v>32645.62</v>
      </c>
      <c r="AK8" s="17">
        <v>32645.62</v>
      </c>
      <c r="AL8" s="17">
        <v>32645.62</v>
      </c>
      <c r="AM8" s="17">
        <v>32645.62</v>
      </c>
      <c r="AN8" s="17">
        <v>32645.62</v>
      </c>
      <c r="AO8" s="17">
        <v>32645.62</v>
      </c>
      <c r="AP8" s="17">
        <v>32645.62</v>
      </c>
      <c r="AQ8" s="17">
        <v>32645.62</v>
      </c>
      <c r="AR8" s="17">
        <v>32645.62</v>
      </c>
      <c r="AS8" s="13"/>
      <c r="AT8" s="13"/>
    </row>
    <row r="9" spans="1:46" x14ac:dyDescent="0.35">
      <c r="A9" s="12">
        <f t="shared" si="0"/>
        <v>45017</v>
      </c>
      <c r="B9" s="13">
        <v>13152.81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13152.81</v>
      </c>
      <c r="H9" s="14">
        <f t="shared" si="4"/>
        <v>0</v>
      </c>
      <c r="I9" s="45"/>
      <c r="J9" s="45"/>
      <c r="K9" s="13">
        <v>73669.02916666666</v>
      </c>
      <c r="L9" s="13">
        <f t="shared" si="5"/>
        <v>17.85392063501131</v>
      </c>
      <c r="M9" s="13">
        <f t="shared" si="6"/>
        <v>17.85392063501131</v>
      </c>
      <c r="N9" s="13">
        <f t="shared" si="7"/>
        <v>0</v>
      </c>
      <c r="O9" s="13"/>
      <c r="P9" s="13"/>
      <c r="Q9" s="13"/>
      <c r="R9" s="13"/>
      <c r="T9" s="16">
        <f t="shared" si="8"/>
        <v>45017</v>
      </c>
      <c r="U9" s="17"/>
      <c r="V9" s="17">
        <v>10000</v>
      </c>
      <c r="W9" s="17">
        <v>12000</v>
      </c>
      <c r="X9" s="17">
        <v>12850</v>
      </c>
      <c r="Y9" s="17">
        <v>12850</v>
      </c>
      <c r="Z9" s="17">
        <v>12850</v>
      </c>
      <c r="AA9" s="17">
        <v>12850</v>
      </c>
      <c r="AB9" s="17">
        <v>12850</v>
      </c>
      <c r="AC9" s="17">
        <v>12850</v>
      </c>
      <c r="AD9" s="17">
        <v>12850</v>
      </c>
      <c r="AE9" s="17">
        <v>12850</v>
      </c>
      <c r="AF9" s="17">
        <v>12850</v>
      </c>
      <c r="AG9" s="17">
        <v>12850</v>
      </c>
      <c r="AH9" s="17">
        <v>12850</v>
      </c>
      <c r="AI9" s="17">
        <v>13152.81</v>
      </c>
      <c r="AJ9" s="17">
        <v>13152.81</v>
      </c>
      <c r="AK9" s="17">
        <v>13152.81</v>
      </c>
      <c r="AL9" s="17">
        <v>13152.81</v>
      </c>
      <c r="AM9" s="17">
        <v>13152.81</v>
      </c>
      <c r="AN9" s="17">
        <v>13152.81</v>
      </c>
      <c r="AO9" s="17">
        <v>13152.81</v>
      </c>
      <c r="AP9" s="17">
        <v>13152.81</v>
      </c>
      <c r="AQ9" s="17">
        <v>13152.81</v>
      </c>
      <c r="AR9" s="17"/>
      <c r="AS9" s="13"/>
      <c r="AT9" s="13"/>
    </row>
    <row r="10" spans="1:46" x14ac:dyDescent="0.35">
      <c r="A10" s="12">
        <f t="shared" si="0"/>
        <v>45047</v>
      </c>
      <c r="B10" s="13">
        <v>11670.81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11670.81</v>
      </c>
      <c r="H10" s="14">
        <f t="shared" si="4"/>
        <v>0</v>
      </c>
      <c r="I10" s="45"/>
      <c r="J10" s="45"/>
      <c r="K10" s="13">
        <v>73100.85583333332</v>
      </c>
      <c r="L10" s="13">
        <f t="shared" si="5"/>
        <v>15.965353438007517</v>
      </c>
      <c r="M10" s="13">
        <f t="shared" si="6"/>
        <v>15.965353438007519</v>
      </c>
      <c r="N10" s="13">
        <f t="shared" si="7"/>
        <v>0</v>
      </c>
      <c r="O10" s="13"/>
      <c r="P10" s="13"/>
      <c r="Q10" s="13"/>
      <c r="R10" s="13"/>
      <c r="T10" s="16">
        <f t="shared" si="8"/>
        <v>45047</v>
      </c>
      <c r="U10" s="17"/>
      <c r="V10" s="17"/>
      <c r="W10" s="17">
        <v>6668</v>
      </c>
      <c r="X10" s="17">
        <v>6818</v>
      </c>
      <c r="Y10" s="17">
        <v>10558</v>
      </c>
      <c r="Z10" s="17">
        <v>10558</v>
      </c>
      <c r="AA10" s="17">
        <v>10558</v>
      </c>
      <c r="AB10" s="17">
        <v>10558</v>
      </c>
      <c r="AC10" s="17">
        <v>10558</v>
      </c>
      <c r="AD10" s="17">
        <v>10558</v>
      </c>
      <c r="AE10" s="17">
        <v>10558</v>
      </c>
      <c r="AF10" s="17">
        <v>10558</v>
      </c>
      <c r="AG10" s="17">
        <v>10558</v>
      </c>
      <c r="AH10" s="17">
        <v>10860.81</v>
      </c>
      <c r="AI10" s="17">
        <v>11670.81</v>
      </c>
      <c r="AJ10" s="17">
        <v>11670.81</v>
      </c>
      <c r="AK10" s="17">
        <v>11670.81</v>
      </c>
      <c r="AL10" s="17">
        <v>11670.81</v>
      </c>
      <c r="AM10" s="17">
        <v>11670.81</v>
      </c>
      <c r="AN10" s="17">
        <v>11670.81</v>
      </c>
      <c r="AO10" s="17">
        <v>11670.81</v>
      </c>
      <c r="AP10" s="17">
        <v>11670.81</v>
      </c>
      <c r="AQ10" s="17"/>
      <c r="AR10" s="17"/>
      <c r="AS10" s="13"/>
      <c r="AT10" s="13"/>
    </row>
    <row r="11" spans="1:46" x14ac:dyDescent="0.35">
      <c r="A11" s="12">
        <f t="shared" si="0"/>
        <v>45078</v>
      </c>
      <c r="B11" s="13">
        <v>30200.62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30200.62</v>
      </c>
      <c r="H11" s="14">
        <f t="shared" si="4"/>
        <v>0</v>
      </c>
      <c r="I11" s="45"/>
      <c r="J11" s="45"/>
      <c r="K11" s="13">
        <v>72660.900833333333</v>
      </c>
      <c r="L11" s="13">
        <f t="shared" si="5"/>
        <v>41.563784172278531</v>
      </c>
      <c r="M11" s="13">
        <f t="shared" si="6"/>
        <v>41.563784172278531</v>
      </c>
      <c r="N11" s="13">
        <f t="shared" si="7"/>
        <v>0</v>
      </c>
      <c r="O11" s="13"/>
      <c r="P11" s="13"/>
      <c r="Q11" s="13"/>
      <c r="R11" s="13"/>
      <c r="T11" s="16">
        <f t="shared" si="8"/>
        <v>45078</v>
      </c>
      <c r="U11" s="17"/>
      <c r="V11" s="17">
        <v>750</v>
      </c>
      <c r="W11" s="17">
        <v>16850</v>
      </c>
      <c r="X11" s="17">
        <v>16850</v>
      </c>
      <c r="Y11" s="17">
        <v>16850</v>
      </c>
      <c r="Z11" s="17">
        <v>29595</v>
      </c>
      <c r="AA11" s="17">
        <v>29595</v>
      </c>
      <c r="AB11" s="17">
        <v>29595</v>
      </c>
      <c r="AC11" s="17">
        <v>29595</v>
      </c>
      <c r="AD11" s="17">
        <v>29595</v>
      </c>
      <c r="AE11" s="17">
        <v>29595</v>
      </c>
      <c r="AF11" s="17">
        <v>29595</v>
      </c>
      <c r="AG11" s="17">
        <v>30200.62</v>
      </c>
      <c r="AH11" s="17">
        <v>30200.62</v>
      </c>
      <c r="AI11" s="17">
        <v>30200.62</v>
      </c>
      <c r="AJ11" s="17">
        <v>30200.62</v>
      </c>
      <c r="AK11" s="17">
        <v>30200.62</v>
      </c>
      <c r="AL11" s="17">
        <v>30200.62</v>
      </c>
      <c r="AM11" s="17">
        <v>30200.62</v>
      </c>
      <c r="AN11" s="17">
        <v>30200.62</v>
      </c>
      <c r="AO11" s="17">
        <v>30200.62</v>
      </c>
      <c r="AP11" s="17"/>
      <c r="AQ11" s="17"/>
      <c r="AR11" s="17"/>
      <c r="AS11" s="13"/>
      <c r="AT11" s="13"/>
    </row>
    <row r="12" spans="1:46" x14ac:dyDescent="0.35">
      <c r="A12" s="12">
        <f t="shared" si="0"/>
        <v>45108</v>
      </c>
      <c r="B12" s="13">
        <v>22045.21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22045.21</v>
      </c>
      <c r="H12" s="14">
        <f t="shared" si="4"/>
        <v>0</v>
      </c>
      <c r="I12" s="45"/>
      <c r="J12" s="45"/>
      <c r="K12" s="13">
        <v>71981.799166666664</v>
      </c>
      <c r="L12" s="13">
        <f t="shared" si="5"/>
        <v>30.626089171453632</v>
      </c>
      <c r="M12" s="13">
        <f t="shared" si="6"/>
        <v>30.626089171453629</v>
      </c>
      <c r="N12" s="13">
        <f t="shared" si="7"/>
        <v>0</v>
      </c>
      <c r="O12" s="13"/>
      <c r="P12" s="13"/>
      <c r="Q12" s="13"/>
      <c r="R12" s="13"/>
      <c r="T12" s="16">
        <f t="shared" si="8"/>
        <v>45108</v>
      </c>
      <c r="U12" s="17"/>
      <c r="V12" s="17">
        <v>10775</v>
      </c>
      <c r="W12" s="17">
        <v>10775</v>
      </c>
      <c r="X12" s="17">
        <v>18415</v>
      </c>
      <c r="Y12" s="17">
        <v>18655</v>
      </c>
      <c r="Z12" s="17">
        <v>18655</v>
      </c>
      <c r="AA12" s="17">
        <v>18655</v>
      </c>
      <c r="AB12" s="17">
        <v>18655</v>
      </c>
      <c r="AC12" s="17">
        <v>18655</v>
      </c>
      <c r="AD12" s="17">
        <v>18655</v>
      </c>
      <c r="AE12" s="17">
        <v>18655</v>
      </c>
      <c r="AF12" s="17">
        <v>18957.810000000001</v>
      </c>
      <c r="AG12" s="17">
        <v>23965.21</v>
      </c>
      <c r="AH12" s="17">
        <v>22045.21</v>
      </c>
      <c r="AI12" s="17">
        <v>22045.21</v>
      </c>
      <c r="AJ12" s="17">
        <v>22045.21</v>
      </c>
      <c r="AK12" s="17">
        <v>22045.21</v>
      </c>
      <c r="AL12" s="17">
        <v>22045.21</v>
      </c>
      <c r="AM12" s="17">
        <v>22045.21</v>
      </c>
      <c r="AN12" s="17">
        <v>22045.21</v>
      </c>
      <c r="AO12" s="17"/>
      <c r="AP12" s="17"/>
      <c r="AQ12" s="17"/>
      <c r="AR12" s="17"/>
      <c r="AS12" s="13"/>
      <c r="AT12" s="13"/>
    </row>
    <row r="13" spans="1:46" x14ac:dyDescent="0.35">
      <c r="A13" s="12">
        <f t="shared" si="0"/>
        <v>45139</v>
      </c>
      <c r="B13" s="13">
        <v>29313.62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29313.62</v>
      </c>
      <c r="H13" s="14">
        <f t="shared" si="4"/>
        <v>0</v>
      </c>
      <c r="I13" s="45"/>
      <c r="J13" s="45"/>
      <c r="K13" s="13">
        <v>71135.608333333323</v>
      </c>
      <c r="L13" s="13">
        <f t="shared" si="5"/>
        <v>41.208082262598687</v>
      </c>
      <c r="M13" s="13">
        <f t="shared" si="6"/>
        <v>41.20808226259868</v>
      </c>
      <c r="N13" s="13">
        <f t="shared" si="7"/>
        <v>0</v>
      </c>
      <c r="O13" s="13"/>
      <c r="P13" s="13"/>
      <c r="Q13" s="13"/>
      <c r="R13" s="13"/>
      <c r="T13" s="16">
        <f t="shared" si="8"/>
        <v>45139</v>
      </c>
      <c r="U13" s="17">
        <v>10000</v>
      </c>
      <c r="V13" s="17">
        <v>10575</v>
      </c>
      <c r="W13" s="17">
        <v>11475</v>
      </c>
      <c r="X13" s="17">
        <v>17175</v>
      </c>
      <c r="Y13" s="17">
        <v>27958</v>
      </c>
      <c r="Z13" s="17">
        <v>27958</v>
      </c>
      <c r="AA13" s="17">
        <v>27958</v>
      </c>
      <c r="AB13" s="17">
        <v>27958</v>
      </c>
      <c r="AC13" s="17">
        <v>27958</v>
      </c>
      <c r="AD13" s="17">
        <v>27958</v>
      </c>
      <c r="AE13" s="17">
        <v>28563.62</v>
      </c>
      <c r="AF13" s="17">
        <v>28563.62</v>
      </c>
      <c r="AG13" s="17">
        <v>29313.62</v>
      </c>
      <c r="AH13" s="17">
        <v>29313.62</v>
      </c>
      <c r="AI13" s="17">
        <v>29313.62</v>
      </c>
      <c r="AJ13" s="17">
        <v>29313.62</v>
      </c>
      <c r="AK13" s="17">
        <v>29313.62</v>
      </c>
      <c r="AL13" s="17">
        <v>29313.62</v>
      </c>
      <c r="AM13" s="17">
        <v>29313.62</v>
      </c>
      <c r="AN13" s="17"/>
      <c r="AO13" s="17"/>
      <c r="AP13" s="17"/>
      <c r="AQ13" s="17"/>
      <c r="AR13" s="17"/>
      <c r="AS13" s="13"/>
      <c r="AT13" s="13"/>
    </row>
    <row r="14" spans="1:46" x14ac:dyDescent="0.35">
      <c r="A14" s="12">
        <f t="shared" si="0"/>
        <v>45170</v>
      </c>
      <c r="B14" s="13">
        <v>18070.57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18070.57</v>
      </c>
      <c r="H14" s="14">
        <f t="shared" si="4"/>
        <v>0</v>
      </c>
      <c r="I14" s="45"/>
      <c r="J14" s="45"/>
      <c r="K14" s="13">
        <v>70269.654999999999</v>
      </c>
      <c r="L14" s="13">
        <f t="shared" si="5"/>
        <v>25.716036317525681</v>
      </c>
      <c r="M14" s="13">
        <f t="shared" si="6"/>
        <v>25.716036317525681</v>
      </c>
      <c r="N14" s="13">
        <f t="shared" si="7"/>
        <v>0</v>
      </c>
      <c r="O14" s="13"/>
      <c r="P14" s="13"/>
      <c r="Q14" s="13"/>
      <c r="R14" s="13"/>
      <c r="T14" s="16">
        <f t="shared" si="8"/>
        <v>45170</v>
      </c>
      <c r="U14" s="17"/>
      <c r="V14" s="17"/>
      <c r="W14" s="17">
        <v>3600</v>
      </c>
      <c r="X14" s="17">
        <v>3600</v>
      </c>
      <c r="Y14" s="17">
        <v>3600</v>
      </c>
      <c r="Z14" s="17">
        <v>5600</v>
      </c>
      <c r="AA14" s="17">
        <v>5600</v>
      </c>
      <c r="AB14" s="17">
        <v>5600</v>
      </c>
      <c r="AC14" s="17">
        <v>5600</v>
      </c>
      <c r="AD14" s="17">
        <v>5902.81</v>
      </c>
      <c r="AE14" s="17">
        <v>6977.4600000000009</v>
      </c>
      <c r="AF14" s="17">
        <v>7727.4600000000009</v>
      </c>
      <c r="AG14" s="17">
        <v>7727.4600000000009</v>
      </c>
      <c r="AH14" s="17">
        <v>17738.419999999998</v>
      </c>
      <c r="AI14" s="17">
        <v>17819.419999999998</v>
      </c>
      <c r="AJ14" s="17">
        <v>17819.419999999998</v>
      </c>
      <c r="AK14" s="17">
        <v>18070.57</v>
      </c>
      <c r="AL14" s="17">
        <v>18070.57</v>
      </c>
      <c r="AM14" s="17"/>
      <c r="AN14" s="17"/>
      <c r="AO14" s="17"/>
      <c r="AP14" s="17"/>
      <c r="AQ14" s="17"/>
      <c r="AR14" s="17"/>
      <c r="AS14" s="13"/>
      <c r="AT14" s="13"/>
    </row>
    <row r="15" spans="1:46" x14ac:dyDescent="0.35">
      <c r="A15" s="12">
        <f t="shared" si="0"/>
        <v>45200</v>
      </c>
      <c r="B15" s="13">
        <v>26721.119999999999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26721.119999999999</v>
      </c>
      <c r="H15" s="14">
        <f t="shared" si="4"/>
        <v>0</v>
      </c>
      <c r="I15" s="45">
        <v>47.96681941640054</v>
      </c>
      <c r="J15" s="45">
        <f>+H15-I15</f>
        <v>-47.96681941640054</v>
      </c>
      <c r="K15" s="13">
        <v>69750.661666666667</v>
      </c>
      <c r="L15" s="13">
        <f t="shared" si="5"/>
        <v>38.309486048603077</v>
      </c>
      <c r="M15" s="13">
        <f t="shared" si="6"/>
        <v>38.309486048603077</v>
      </c>
      <c r="N15" s="13">
        <f t="shared" si="7"/>
        <v>0</v>
      </c>
      <c r="O15" s="13"/>
      <c r="P15" s="13"/>
      <c r="Q15" s="13"/>
      <c r="R15" s="13"/>
      <c r="T15" s="16">
        <f t="shared" si="8"/>
        <v>45200</v>
      </c>
      <c r="U15" s="17"/>
      <c r="V15" s="17"/>
      <c r="W15" s="17"/>
      <c r="X15" s="17">
        <v>10000</v>
      </c>
      <c r="Y15" s="17">
        <v>10000</v>
      </c>
      <c r="Z15" s="17">
        <v>10000</v>
      </c>
      <c r="AA15" s="17">
        <v>10000</v>
      </c>
      <c r="AB15" s="17">
        <v>10121</v>
      </c>
      <c r="AC15" s="17">
        <v>10726.62</v>
      </c>
      <c r="AD15" s="17">
        <v>10726.62</v>
      </c>
      <c r="AE15" s="17">
        <v>10726.62</v>
      </c>
      <c r="AF15" s="17">
        <v>10976.62</v>
      </c>
      <c r="AG15" s="17">
        <v>26559.59</v>
      </c>
      <c r="AH15" s="17">
        <v>26559.59</v>
      </c>
      <c r="AI15" s="17">
        <v>26721.119999999999</v>
      </c>
      <c r="AJ15" s="17">
        <v>26721.119999999999</v>
      </c>
      <c r="AK15" s="17">
        <v>26721.119999999999</v>
      </c>
      <c r="AL15" s="17"/>
      <c r="AM15" s="17"/>
      <c r="AN15" s="17"/>
      <c r="AO15" s="17"/>
      <c r="AP15" s="17"/>
      <c r="AQ15" s="17"/>
      <c r="AR15" s="17"/>
      <c r="AS15" s="13"/>
      <c r="AT15" s="13"/>
    </row>
    <row r="16" spans="1:46" x14ac:dyDescent="0.35">
      <c r="A16" s="12">
        <f t="shared" si="0"/>
        <v>45231</v>
      </c>
      <c r="B16" s="13">
        <v>11588.48</v>
      </c>
      <c r="C16" s="13">
        <f>++'Completion Factors'!J22</f>
        <v>0.99840698977625086</v>
      </c>
      <c r="D16" s="13">
        <f t="shared" si="1"/>
        <v>18.490021911655308</v>
      </c>
      <c r="E16" s="13">
        <f t="shared" si="2"/>
        <v>18.490021911655308</v>
      </c>
      <c r="F16" s="13"/>
      <c r="G16" s="13">
        <f t="shared" si="3"/>
        <v>11606.970021911655</v>
      </c>
      <c r="H16" s="14">
        <f t="shared" si="4"/>
        <v>18.490021911655276</v>
      </c>
      <c r="I16" s="45">
        <v>39.669757080067939</v>
      </c>
      <c r="J16" s="45">
        <f t="shared" ref="J16:J28" si="9">+H16-I16</f>
        <v>-21.179735168412662</v>
      </c>
      <c r="K16" s="13">
        <v>69511.603333333333</v>
      </c>
      <c r="L16" s="13">
        <f t="shared" si="5"/>
        <v>16.697888503955269</v>
      </c>
      <c r="M16" s="13">
        <f t="shared" si="6"/>
        <v>16.671288596853444</v>
      </c>
      <c r="N16" s="13">
        <f t="shared" si="7"/>
        <v>2.6599907101825693E-2</v>
      </c>
      <c r="O16" s="13"/>
      <c r="P16" s="13"/>
      <c r="Q16" s="13"/>
      <c r="R16" s="13"/>
      <c r="T16" s="16">
        <f t="shared" si="8"/>
        <v>45231</v>
      </c>
      <c r="U16" s="17"/>
      <c r="V16" s="17"/>
      <c r="W16" s="17"/>
      <c r="X16" s="17"/>
      <c r="Y16" s="17"/>
      <c r="Z16" s="17"/>
      <c r="AA16" s="17"/>
      <c r="AB16" s="17">
        <v>302.81</v>
      </c>
      <c r="AC16" s="17">
        <v>302.81</v>
      </c>
      <c r="AD16" s="17">
        <v>302.81</v>
      </c>
      <c r="AE16" s="17">
        <v>302.81</v>
      </c>
      <c r="AF16" s="17">
        <v>302.81</v>
      </c>
      <c r="AG16" s="17">
        <v>302.81</v>
      </c>
      <c r="AH16" s="17">
        <v>302.81</v>
      </c>
      <c r="AI16" s="17">
        <v>11588.48</v>
      </c>
      <c r="AJ16" s="17">
        <v>11588.48</v>
      </c>
      <c r="AK16" s="17"/>
      <c r="AL16" s="17"/>
      <c r="AM16" s="17"/>
      <c r="AN16" s="17"/>
      <c r="AO16" s="17"/>
      <c r="AP16" s="17"/>
      <c r="AQ16" s="17"/>
      <c r="AR16" s="17"/>
      <c r="AS16" s="13"/>
      <c r="AT16" s="13"/>
    </row>
    <row r="17" spans="1:46" x14ac:dyDescent="0.35">
      <c r="A17" s="12">
        <f t="shared" si="0"/>
        <v>45261</v>
      </c>
      <c r="B17" s="13">
        <v>12421.01</v>
      </c>
      <c r="C17" s="13">
        <f>++'Completion Factors'!J21</f>
        <v>0.99685578892654569</v>
      </c>
      <c r="D17" s="13">
        <f t="shared" si="1"/>
        <v>39.17745938712212</v>
      </c>
      <c r="E17" s="13">
        <f t="shared" si="2"/>
        <v>39.17745938712212</v>
      </c>
      <c r="F17" s="13"/>
      <c r="G17" s="13">
        <f t="shared" si="3"/>
        <v>12460.187459387122</v>
      </c>
      <c r="H17" s="14">
        <f t="shared" si="4"/>
        <v>39.177459387121417</v>
      </c>
      <c r="I17" s="45">
        <v>1037.0541075554302</v>
      </c>
      <c r="J17" s="45">
        <f t="shared" si="9"/>
        <v>-997.87664816830875</v>
      </c>
      <c r="K17" s="13">
        <v>69002.143333333326</v>
      </c>
      <c r="L17" s="13">
        <f t="shared" si="5"/>
        <v>18.057681772571687</v>
      </c>
      <c r="M17" s="13">
        <f t="shared" si="6"/>
        <v>18.000904609581454</v>
      </c>
      <c r="N17" s="13">
        <f t="shared" si="7"/>
        <v>5.6777162990233165E-2</v>
      </c>
      <c r="O17" s="13"/>
      <c r="P17" s="13"/>
      <c r="Q17" s="13"/>
      <c r="R17" s="13"/>
      <c r="T17" s="16">
        <f t="shared" si="8"/>
        <v>45261</v>
      </c>
      <c r="U17" s="17"/>
      <c r="V17" s="17"/>
      <c r="W17" s="17"/>
      <c r="X17" s="17">
        <v>1550</v>
      </c>
      <c r="Y17" s="17">
        <v>3550</v>
      </c>
      <c r="Z17" s="17">
        <v>10063</v>
      </c>
      <c r="AA17" s="17">
        <v>10365.81</v>
      </c>
      <c r="AB17" s="17">
        <v>11416.81</v>
      </c>
      <c r="AC17" s="17">
        <v>11416.81</v>
      </c>
      <c r="AD17" s="17">
        <v>11416.81</v>
      </c>
      <c r="AE17" s="17">
        <v>11416.81</v>
      </c>
      <c r="AF17" s="17">
        <v>11416.81</v>
      </c>
      <c r="AG17" s="17">
        <v>11416.81</v>
      </c>
      <c r="AH17" s="17">
        <v>12421.01</v>
      </c>
      <c r="AI17" s="17">
        <v>12421.01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3"/>
      <c r="AT17" s="13"/>
    </row>
    <row r="18" spans="1:46" x14ac:dyDescent="0.35">
      <c r="A18" s="12">
        <f t="shared" si="0"/>
        <v>45292</v>
      </c>
      <c r="B18" s="13">
        <v>27866.78</v>
      </c>
      <c r="C18" s="13">
        <f>++'Completion Factors'!J20</f>
        <v>0.91818507177921183</v>
      </c>
      <c r="D18" s="13">
        <f t="shared" si="1"/>
        <v>2483.0708704799413</v>
      </c>
      <c r="E18" s="13">
        <f t="shared" si="2"/>
        <v>2483.0708704799413</v>
      </c>
      <c r="F18" s="13"/>
      <c r="G18" s="13">
        <f t="shared" si="3"/>
        <v>30349.850870479939</v>
      </c>
      <c r="H18" s="14">
        <f t="shared" si="4"/>
        <v>2483.0708704799399</v>
      </c>
      <c r="I18" s="45">
        <v>2624.020274309516</v>
      </c>
      <c r="J18" s="45">
        <f t="shared" si="9"/>
        <v>-140.94940382957611</v>
      </c>
      <c r="K18" s="13">
        <v>68422.973333333328</v>
      </c>
      <c r="L18" s="13">
        <f t="shared" si="5"/>
        <v>44.356229190195876</v>
      </c>
      <c r="M18" s="13">
        <f t="shared" si="6"/>
        <v>40.727227482855177</v>
      </c>
      <c r="N18" s="13">
        <f t="shared" si="7"/>
        <v>3.6290017073406986</v>
      </c>
      <c r="O18" s="13"/>
      <c r="P18" s="13"/>
      <c r="Q18" s="13"/>
      <c r="R18" s="13"/>
      <c r="T18" s="16">
        <f t="shared" si="8"/>
        <v>45292</v>
      </c>
      <c r="U18" s="17"/>
      <c r="V18" s="17">
        <v>100</v>
      </c>
      <c r="W18" s="17">
        <v>11107</v>
      </c>
      <c r="X18" s="17">
        <v>14681</v>
      </c>
      <c r="Y18" s="17">
        <v>15160.73</v>
      </c>
      <c r="Z18" s="17">
        <v>15261.78</v>
      </c>
      <c r="AA18" s="17">
        <v>15261.78</v>
      </c>
      <c r="AB18" s="17">
        <v>15261.78</v>
      </c>
      <c r="AC18" s="17">
        <v>15261.78</v>
      </c>
      <c r="AD18" s="17">
        <v>16361.78</v>
      </c>
      <c r="AE18" s="17">
        <v>16361.78</v>
      </c>
      <c r="AF18" s="17">
        <v>27866.78</v>
      </c>
      <c r="AG18" s="17">
        <v>16361.78</v>
      </c>
      <c r="AH18" s="17">
        <v>27866.78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3"/>
      <c r="AT18" s="13"/>
    </row>
    <row r="19" spans="1:46" x14ac:dyDescent="0.35">
      <c r="A19" s="12">
        <f t="shared" si="0"/>
        <v>45323</v>
      </c>
      <c r="B19" s="13">
        <v>21878.86</v>
      </c>
      <c r="C19" s="13">
        <f>++'Completion Factors'!J19</f>
        <v>0.78077452822888849</v>
      </c>
      <c r="D19" s="13">
        <f t="shared" si="1"/>
        <v>6143.1350945762515</v>
      </c>
      <c r="E19" s="13">
        <f t="shared" si="2"/>
        <v>6143.1350945762515</v>
      </c>
      <c r="F19" s="13"/>
      <c r="G19" s="13">
        <f t="shared" si="3"/>
        <v>28021.995094576254</v>
      </c>
      <c r="H19" s="14">
        <f t="shared" si="4"/>
        <v>6143.1350945762533</v>
      </c>
      <c r="I19" s="45">
        <v>1331.6771844412833</v>
      </c>
      <c r="J19" s="45">
        <f t="shared" si="9"/>
        <v>4811.45791013497</v>
      </c>
      <c r="K19" s="13">
        <v>68103.723333333328</v>
      </c>
      <c r="L19" s="13">
        <f t="shared" si="5"/>
        <v>41.146054463751916</v>
      </c>
      <c r="M19" s="13">
        <f t="shared" si="6"/>
        <v>32.125791262416051</v>
      </c>
      <c r="N19" s="13">
        <f t="shared" si="7"/>
        <v>9.0202632013358652</v>
      </c>
      <c r="O19" s="13">
        <f t="shared" ref="O19:O31" si="10">SUM(G8:G19)/SUM(K8:K19)*100</f>
        <v>31.266295925361675</v>
      </c>
      <c r="P19" s="18"/>
      <c r="Q19" s="13"/>
      <c r="R19" s="13"/>
      <c r="T19" s="16">
        <f t="shared" si="8"/>
        <v>45323</v>
      </c>
      <c r="U19" s="17"/>
      <c r="V19" s="17"/>
      <c r="W19" s="17">
        <v>45</v>
      </c>
      <c r="X19" s="17">
        <v>45</v>
      </c>
      <c r="Y19" s="17">
        <v>3941.6</v>
      </c>
      <c r="Z19" s="17">
        <v>4544.26</v>
      </c>
      <c r="AA19" s="17">
        <v>4544.26</v>
      </c>
      <c r="AB19" s="17">
        <v>4544.26</v>
      </c>
      <c r="AC19" s="17">
        <v>4544.26</v>
      </c>
      <c r="AD19" s="17">
        <v>4544.26</v>
      </c>
      <c r="AE19" s="17">
        <v>21878.86</v>
      </c>
      <c r="AF19" s="17">
        <v>5948.8600000000006</v>
      </c>
      <c r="AG19" s="17">
        <v>21878.86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3"/>
      <c r="AT19" s="13"/>
    </row>
    <row r="20" spans="1:46" x14ac:dyDescent="0.35">
      <c r="A20" s="12">
        <f t="shared" si="0"/>
        <v>45352</v>
      </c>
      <c r="B20" s="13">
        <v>45863.96</v>
      </c>
      <c r="C20" s="13">
        <f>++'Completion Factors'!J18</f>
        <v>0.63495858224124579</v>
      </c>
      <c r="D20" s="13">
        <f t="shared" si="1"/>
        <v>26367.45994256009</v>
      </c>
      <c r="E20" s="13">
        <f t="shared" si="2"/>
        <v>26367.45994256009</v>
      </c>
      <c r="F20" s="13"/>
      <c r="G20" s="13">
        <f t="shared" si="3"/>
        <v>72231.419942560082</v>
      </c>
      <c r="H20" s="14">
        <f t="shared" si="4"/>
        <v>26367.459942560083</v>
      </c>
      <c r="I20" s="45">
        <v>8378.8396869280114</v>
      </c>
      <c r="J20" s="45">
        <f t="shared" si="9"/>
        <v>17988.620255632071</v>
      </c>
      <c r="K20" s="13">
        <v>67665.975000000006</v>
      </c>
      <c r="L20" s="13">
        <f t="shared" si="5"/>
        <v>106.74703193526743</v>
      </c>
      <c r="M20" s="13">
        <f t="shared" si="6"/>
        <v>67.779944056078406</v>
      </c>
      <c r="N20" s="13">
        <f t="shared" si="7"/>
        <v>38.967087879189023</v>
      </c>
      <c r="O20" s="13">
        <f t="shared" si="10"/>
        <v>36.182923820059791</v>
      </c>
      <c r="P20" s="18">
        <f t="shared" ref="P20:P31" si="11">L20/L8</f>
        <v>2.418953879450811</v>
      </c>
      <c r="Q20" s="18">
        <f t="shared" ref="Q20:Q31" si="12">K20/K8</f>
        <v>0.91468939382137004</v>
      </c>
      <c r="R20" s="13"/>
      <c r="T20" s="16">
        <f t="shared" si="8"/>
        <v>45352</v>
      </c>
      <c r="U20" s="17"/>
      <c r="V20" s="17">
        <v>15000</v>
      </c>
      <c r="W20" s="17">
        <v>30175</v>
      </c>
      <c r="X20" s="17">
        <v>32627.78</v>
      </c>
      <c r="Y20" s="17">
        <v>40851.97</v>
      </c>
      <c r="Z20" s="17">
        <v>40851.97</v>
      </c>
      <c r="AA20" s="17">
        <v>40851.97</v>
      </c>
      <c r="AB20" s="17">
        <v>40851.97</v>
      </c>
      <c r="AC20" s="17">
        <v>40851.97</v>
      </c>
      <c r="AD20" s="17">
        <v>40851.97</v>
      </c>
      <c r="AE20" s="17">
        <v>45863.96</v>
      </c>
      <c r="AF20" s="17">
        <v>45863.96</v>
      </c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3"/>
      <c r="AT20" s="13"/>
    </row>
    <row r="21" spans="1:46" x14ac:dyDescent="0.35">
      <c r="A21" s="12">
        <f t="shared" si="0"/>
        <v>45383</v>
      </c>
      <c r="B21" s="13">
        <v>22450.78</v>
      </c>
      <c r="C21" s="13">
        <f>++'Completion Factors'!J17</f>
        <v>0.65374350221748256</v>
      </c>
      <c r="D21" s="13">
        <f t="shared" si="1"/>
        <v>11891.098617297892</v>
      </c>
      <c r="E21" s="13">
        <f t="shared" si="2"/>
        <v>11891.098617297892</v>
      </c>
      <c r="F21" s="13"/>
      <c r="G21" s="13">
        <f t="shared" si="3"/>
        <v>34341.878617297887</v>
      </c>
      <c r="H21" s="14">
        <f t="shared" si="4"/>
        <v>11891.098617297888</v>
      </c>
      <c r="I21" s="45">
        <v>8745.7346183190966</v>
      </c>
      <c r="J21" s="45">
        <f t="shared" si="9"/>
        <v>3145.3639989787916</v>
      </c>
      <c r="K21" s="13">
        <v>67122.17333333334</v>
      </c>
      <c r="L21" s="13">
        <f t="shared" si="5"/>
        <v>51.163239972510645</v>
      </c>
      <c r="M21" s="13">
        <f t="shared" si="6"/>
        <v>33.447635684422607</v>
      </c>
      <c r="N21" s="13">
        <f t="shared" si="7"/>
        <v>17.715604288088038</v>
      </c>
      <c r="O21" s="13">
        <f t="shared" si="10"/>
        <v>38.991690242514565</v>
      </c>
      <c r="P21" s="18">
        <f t="shared" si="11"/>
        <v>2.8656585306075679</v>
      </c>
      <c r="Q21" s="18">
        <f t="shared" si="12"/>
        <v>0.91113150387088848</v>
      </c>
      <c r="R21" s="13"/>
      <c r="T21" s="16">
        <f t="shared" si="8"/>
        <v>45383</v>
      </c>
      <c r="U21" s="17"/>
      <c r="V21" s="17">
        <v>350</v>
      </c>
      <c r="W21" s="17">
        <v>350</v>
      </c>
      <c r="X21" s="17">
        <v>591</v>
      </c>
      <c r="Y21" s="17">
        <v>591</v>
      </c>
      <c r="Z21" s="17">
        <v>591</v>
      </c>
      <c r="AA21" s="17">
        <v>10689.63</v>
      </c>
      <c r="AB21" s="17">
        <v>10689.63</v>
      </c>
      <c r="AC21" s="17">
        <v>21443.08</v>
      </c>
      <c r="AD21" s="17">
        <v>21050.78</v>
      </c>
      <c r="AE21" s="17">
        <v>22450.78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3"/>
      <c r="AT21" s="13"/>
    </row>
    <row r="22" spans="1:46" x14ac:dyDescent="0.35">
      <c r="A22" s="12">
        <f t="shared" si="0"/>
        <v>45413</v>
      </c>
      <c r="B22" s="13">
        <v>54604.290000000008</v>
      </c>
      <c r="C22" s="13">
        <f>++'Completion Factors'!J16</f>
        <v>0.54557405156522532</v>
      </c>
      <c r="D22" s="13">
        <f t="shared" si="1"/>
        <v>45481.646718109965</v>
      </c>
      <c r="E22" s="13">
        <f t="shared" si="2"/>
        <v>45481.646718109965</v>
      </c>
      <c r="F22" s="13"/>
      <c r="G22" s="13">
        <f t="shared" si="3"/>
        <v>100085.93671810997</v>
      </c>
      <c r="H22" s="14">
        <f t="shared" si="4"/>
        <v>45481.646718109958</v>
      </c>
      <c r="I22" s="45">
        <v>15291.914200360647</v>
      </c>
      <c r="J22" s="48">
        <f t="shared" si="9"/>
        <v>30189.732517749311</v>
      </c>
      <c r="K22" s="13">
        <v>66819.176666666666</v>
      </c>
      <c r="L22" s="13">
        <f t="shared" si="5"/>
        <v>149.78624657019861</v>
      </c>
      <c r="M22" s="13">
        <f t="shared" si="6"/>
        <v>81.719489410051111</v>
      </c>
      <c r="N22" s="13">
        <f t="shared" si="7"/>
        <v>68.066757160147503</v>
      </c>
      <c r="O22" s="13">
        <f t="shared" si="10"/>
        <v>49.907042910085153</v>
      </c>
      <c r="P22" s="18">
        <f t="shared" si="11"/>
        <v>9.3819561935668627</v>
      </c>
      <c r="Q22" s="18">
        <f t="shared" si="12"/>
        <v>0.91406832252431347</v>
      </c>
      <c r="R22" s="13"/>
      <c r="T22" s="16">
        <f t="shared" si="8"/>
        <v>45413</v>
      </c>
      <c r="U22" s="17"/>
      <c r="V22" s="17"/>
      <c r="W22" s="17">
        <v>20810</v>
      </c>
      <c r="X22" s="17">
        <v>20810</v>
      </c>
      <c r="Y22" s="17">
        <v>25881.51</v>
      </c>
      <c r="Z22" s="17">
        <v>26866.34</v>
      </c>
      <c r="AA22" s="17">
        <v>31894.29</v>
      </c>
      <c r="AB22" s="17">
        <v>54604.290000000008</v>
      </c>
      <c r="AC22" s="17">
        <v>36019.290000000008</v>
      </c>
      <c r="AD22" s="17">
        <v>54604.290000000008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3"/>
      <c r="AT22" s="13"/>
    </row>
    <row r="23" spans="1:46" x14ac:dyDescent="0.35">
      <c r="A23" s="12">
        <f t="shared" si="0"/>
        <v>45444</v>
      </c>
      <c r="B23" s="13">
        <v>5947.33</v>
      </c>
      <c r="C23" s="13">
        <f>++'Completion Factors'!J15</f>
        <v>0.48528632710324537</v>
      </c>
      <c r="D23" s="13">
        <f t="shared" si="1"/>
        <v>6307.9709797341711</v>
      </c>
      <c r="E23" s="13">
        <f t="shared" si="2"/>
        <v>6307.9709797341711</v>
      </c>
      <c r="F23" s="13"/>
      <c r="G23" s="13">
        <f t="shared" si="3"/>
        <v>12255.300979734171</v>
      </c>
      <c r="H23" s="14">
        <f t="shared" si="4"/>
        <v>6307.9709797341711</v>
      </c>
      <c r="I23" s="45">
        <v>2142.4539905632519</v>
      </c>
      <c r="J23" s="45">
        <f t="shared" si="9"/>
        <v>4165.5169891709193</v>
      </c>
      <c r="K23" s="13">
        <v>66590.506666666668</v>
      </c>
      <c r="L23" s="13">
        <f t="shared" si="5"/>
        <v>18.403976171980126</v>
      </c>
      <c r="M23" s="13">
        <f t="shared" si="6"/>
        <v>8.9311980005958809</v>
      </c>
      <c r="N23" s="13">
        <f t="shared" si="7"/>
        <v>9.4727781713842454</v>
      </c>
      <c r="O23" s="13">
        <f t="shared" si="10"/>
        <v>48.102081873736381</v>
      </c>
      <c r="P23" s="18">
        <f t="shared" si="11"/>
        <v>0.44278875320151628</v>
      </c>
      <c r="Q23" s="18">
        <f t="shared" si="12"/>
        <v>0.91645583667355446</v>
      </c>
      <c r="R23" s="13"/>
      <c r="T23" s="16">
        <f t="shared" si="8"/>
        <v>45444</v>
      </c>
      <c r="U23" s="17"/>
      <c r="V23" s="17"/>
      <c r="W23" s="17"/>
      <c r="X23" s="17"/>
      <c r="Y23" s="17"/>
      <c r="Z23" s="17"/>
      <c r="AA23" s="17">
        <v>947.32999999999993</v>
      </c>
      <c r="AB23" s="17">
        <v>5947.33</v>
      </c>
      <c r="AC23" s="17">
        <v>5947.33</v>
      </c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3"/>
      <c r="AT23" s="13"/>
    </row>
    <row r="24" spans="1:46" x14ac:dyDescent="0.35">
      <c r="A24" s="12">
        <f t="shared" si="0"/>
        <v>45474</v>
      </c>
      <c r="B24" s="13">
        <v>1183.1500000000001</v>
      </c>
      <c r="C24" s="13">
        <f>++'Completion Factors'!J14</f>
        <v>0.51073379388868367</v>
      </c>
      <c r="D24" s="13">
        <f t="shared" si="1"/>
        <v>1133.4188547679539</v>
      </c>
      <c r="E24" s="13">
        <f t="shared" si="2"/>
        <v>1133.4188547679539</v>
      </c>
      <c r="F24" s="19">
        <v>0</v>
      </c>
      <c r="G24" s="13">
        <f t="shared" si="3"/>
        <v>2316.5688547679538</v>
      </c>
      <c r="H24" s="14">
        <f t="shared" si="4"/>
        <v>1133.4188547679537</v>
      </c>
      <c r="I24" s="45">
        <v>776.44012571770372</v>
      </c>
      <c r="J24" s="45">
        <f t="shared" si="9"/>
        <v>356.97872905024997</v>
      </c>
      <c r="K24" s="13">
        <v>66219.250833333339</v>
      </c>
      <c r="L24" s="13">
        <f t="shared" si="5"/>
        <v>3.4983314151325962</v>
      </c>
      <c r="M24" s="13">
        <f t="shared" si="6"/>
        <v>1.7867160759306384</v>
      </c>
      <c r="N24" s="13">
        <f t="shared" si="7"/>
        <v>1.7116153392019577</v>
      </c>
      <c r="O24" s="13">
        <f t="shared" si="10"/>
        <v>46.035733167082981</v>
      </c>
      <c r="P24" s="18">
        <f t="shared" si="11"/>
        <v>0.1142271674175548</v>
      </c>
      <c r="Q24" s="18">
        <f t="shared" si="12"/>
        <v>0.9199443692704774</v>
      </c>
      <c r="R24" s="13"/>
      <c r="T24" s="16">
        <f t="shared" si="8"/>
        <v>45474</v>
      </c>
      <c r="U24" s="17"/>
      <c r="V24" s="17"/>
      <c r="W24" s="17">
        <v>200</v>
      </c>
      <c r="X24" s="17">
        <v>581.87</v>
      </c>
      <c r="Y24" s="17">
        <v>661.87</v>
      </c>
      <c r="Z24" s="17">
        <v>1183.1500000000001</v>
      </c>
      <c r="AA24" s="17">
        <v>1183.1500000000001</v>
      </c>
      <c r="AB24" s="17">
        <v>1183.1500000000001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3"/>
      <c r="AT24" s="13"/>
    </row>
    <row r="25" spans="1:46" x14ac:dyDescent="0.35">
      <c r="A25" s="12">
        <f t="shared" si="0"/>
        <v>45505</v>
      </c>
      <c r="B25" s="13">
        <v>15585.9</v>
      </c>
      <c r="C25" s="13">
        <f>++'Completion Factors'!J13</f>
        <v>0.40627180675397362</v>
      </c>
      <c r="D25" s="13">
        <f t="shared" si="1"/>
        <v>22777.33303979192</v>
      </c>
      <c r="E25" s="13">
        <f t="shared" si="2"/>
        <v>22777.33303979192</v>
      </c>
      <c r="F25" s="19">
        <v>0</v>
      </c>
      <c r="G25" s="13">
        <f t="shared" si="3"/>
        <v>38363.233039791921</v>
      </c>
      <c r="H25" s="14">
        <f t="shared" si="4"/>
        <v>22777.33303979192</v>
      </c>
      <c r="I25" s="45">
        <v>14382.283113168292</v>
      </c>
      <c r="J25" s="45">
        <f t="shared" si="9"/>
        <v>8395.0499266236275</v>
      </c>
      <c r="K25" s="13">
        <v>65710.082500000004</v>
      </c>
      <c r="L25" s="13">
        <f t="shared" si="5"/>
        <v>58.382567149861543</v>
      </c>
      <c r="M25" s="13">
        <f t="shared" si="6"/>
        <v>23.719191038909436</v>
      </c>
      <c r="N25" s="13">
        <f t="shared" si="7"/>
        <v>34.663376110952107</v>
      </c>
      <c r="O25" s="13">
        <f t="shared" si="10"/>
        <v>47.452252386910288</v>
      </c>
      <c r="P25" s="18">
        <f t="shared" si="11"/>
        <v>1.4167746700227002</v>
      </c>
      <c r="Q25" s="18">
        <f t="shared" si="12"/>
        <v>0.92372981745077765</v>
      </c>
      <c r="R25" s="13"/>
      <c r="T25" s="16">
        <f t="shared" si="8"/>
        <v>45505</v>
      </c>
      <c r="U25" s="17"/>
      <c r="V25" s="17"/>
      <c r="W25" s="17">
        <v>6524.6399999999994</v>
      </c>
      <c r="X25" s="17">
        <v>7124.6399999999994</v>
      </c>
      <c r="Y25" s="17">
        <v>15585.9</v>
      </c>
      <c r="Z25" s="17">
        <v>15585.9</v>
      </c>
      <c r="AA25" s="17">
        <v>15585.9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3"/>
      <c r="AT25" s="13"/>
    </row>
    <row r="26" spans="1:46" x14ac:dyDescent="0.35">
      <c r="A26" s="12">
        <f t="shared" si="0"/>
        <v>45536</v>
      </c>
      <c r="B26" s="13">
        <v>18407.560000000001</v>
      </c>
      <c r="C26" s="13">
        <f>++'Completion Factors'!J12</f>
        <v>0.35161879470435992</v>
      </c>
      <c r="D26" s="13">
        <f t="shared" si="1"/>
        <v>33943.338977049913</v>
      </c>
      <c r="E26" s="13">
        <f t="shared" si="2"/>
        <v>33943.338977049913</v>
      </c>
      <c r="F26" s="19">
        <v>0</v>
      </c>
      <c r="G26" s="13">
        <f t="shared" si="3"/>
        <v>52350.898977049917</v>
      </c>
      <c r="H26" s="14">
        <f t="shared" si="4"/>
        <v>33943.33897704992</v>
      </c>
      <c r="I26" s="45">
        <v>18710.981378147098</v>
      </c>
      <c r="J26" s="45">
        <f t="shared" si="9"/>
        <v>15232.357598902821</v>
      </c>
      <c r="K26" s="13">
        <v>65527.215833333328</v>
      </c>
      <c r="L26" s="13">
        <f t="shared" si="5"/>
        <v>79.891840834811276</v>
      </c>
      <c r="M26" s="13">
        <f t="shared" si="6"/>
        <v>28.091472781048903</v>
      </c>
      <c r="N26" s="13">
        <f t="shared" si="7"/>
        <v>51.800368053762369</v>
      </c>
      <c r="O26" s="13">
        <f t="shared" si="10"/>
        <v>51.959739172668606</v>
      </c>
      <c r="P26" s="18">
        <f t="shared" si="11"/>
        <v>3.1066934207261312</v>
      </c>
      <c r="Q26" s="18">
        <f t="shared" si="12"/>
        <v>0.93251085170879711</v>
      </c>
      <c r="R26" s="13"/>
      <c r="T26" s="16">
        <f t="shared" si="8"/>
        <v>45536</v>
      </c>
      <c r="U26" s="17"/>
      <c r="V26" s="17"/>
      <c r="W26" s="17">
        <v>5300</v>
      </c>
      <c r="X26" s="17">
        <v>8407.5600000000013</v>
      </c>
      <c r="Y26" s="17">
        <v>18407.560000000001</v>
      </c>
      <c r="Z26" s="17">
        <v>18407.560000000001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3"/>
      <c r="AT26" s="13"/>
    </row>
    <row r="27" spans="1:46" x14ac:dyDescent="0.35">
      <c r="A27" s="12">
        <f t="shared" si="0"/>
        <v>45566</v>
      </c>
      <c r="B27" s="13">
        <v>20211.5</v>
      </c>
      <c r="C27" s="13">
        <f>++'Completion Factors'!J11</f>
        <v>0.33834962176598132</v>
      </c>
      <c r="D27" s="13">
        <f t="shared" si="1"/>
        <v>39524.047787841875</v>
      </c>
      <c r="E27" s="13">
        <f t="shared" si="2"/>
        <v>39524.047787841875</v>
      </c>
      <c r="F27" s="19">
        <v>0</v>
      </c>
      <c r="G27" s="13">
        <f t="shared" si="3"/>
        <v>59735.547787841875</v>
      </c>
      <c r="H27" s="14">
        <f t="shared" si="4"/>
        <v>39524.047787841875</v>
      </c>
      <c r="I27" s="45">
        <v>363.27249747785004</v>
      </c>
      <c r="J27" s="48">
        <f t="shared" si="9"/>
        <v>39160.775290364028</v>
      </c>
      <c r="K27" s="13">
        <v>64982.709166666667</v>
      </c>
      <c r="L27" s="13">
        <f t="shared" si="5"/>
        <v>91.925296057806776</v>
      </c>
      <c r="M27" s="13">
        <f t="shared" si="6"/>
        <v>31.102889151884778</v>
      </c>
      <c r="N27" s="13">
        <f t="shared" si="7"/>
        <v>60.822406905921994</v>
      </c>
      <c r="O27" s="13">
        <f t="shared" si="10"/>
        <v>56.364956148730712</v>
      </c>
      <c r="P27" s="18">
        <f t="shared" si="11"/>
        <v>2.3995439651991561</v>
      </c>
      <c r="Q27" s="18">
        <f t="shared" si="12"/>
        <v>0.93164290651770876</v>
      </c>
      <c r="R27" s="13"/>
      <c r="T27" s="16">
        <f t="shared" si="8"/>
        <v>45566</v>
      </c>
      <c r="U27" s="17"/>
      <c r="V27" s="17"/>
      <c r="W27" s="17">
        <v>175</v>
      </c>
      <c r="X27" s="17">
        <v>175</v>
      </c>
      <c r="Y27" s="17">
        <v>20211.5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3"/>
      <c r="AT27" s="13"/>
    </row>
    <row r="28" spans="1:46" x14ac:dyDescent="0.35">
      <c r="A28" s="12">
        <f t="shared" si="0"/>
        <v>45597</v>
      </c>
      <c r="B28" s="13">
        <v>32282.5</v>
      </c>
      <c r="C28" s="13">
        <f>++'Completion Factors'!J10</f>
        <v>0.17010169986000859</v>
      </c>
      <c r="D28" s="13">
        <f t="shared" si="1"/>
        <v>157501.02377764633</v>
      </c>
      <c r="E28" s="13">
        <f t="shared" si="2"/>
        <v>157501.02377764633</v>
      </c>
      <c r="F28" s="19">
        <v>0</v>
      </c>
      <c r="G28" s="13">
        <f t="shared" si="3"/>
        <v>189783.52377764633</v>
      </c>
      <c r="H28" s="14">
        <f t="shared" si="4"/>
        <v>157501.02377764633</v>
      </c>
      <c r="I28" s="45">
        <v>3721</v>
      </c>
      <c r="J28" s="48">
        <f t="shared" si="9"/>
        <v>153780.02377764633</v>
      </c>
      <c r="K28" s="13">
        <v>64918.209166666667</v>
      </c>
      <c r="L28" s="13">
        <f t="shared" si="5"/>
        <v>292.34251254591578</v>
      </c>
      <c r="M28" s="13">
        <f t="shared" si="6"/>
        <v>49.727958325406156</v>
      </c>
      <c r="N28" s="13">
        <f t="shared" si="7"/>
        <v>242.61455422050963</v>
      </c>
      <c r="O28" s="13">
        <f t="shared" si="10"/>
        <v>78.930078777616814</v>
      </c>
      <c r="P28" s="18">
        <f t="shared" si="11"/>
        <v>17.507753299267023</v>
      </c>
      <c r="Q28" s="18">
        <f t="shared" si="12"/>
        <v>0.93391903011300614</v>
      </c>
      <c r="R28" s="20"/>
      <c r="T28" s="16">
        <f t="shared" si="8"/>
        <v>45597</v>
      </c>
      <c r="U28" s="17"/>
      <c r="V28" s="17"/>
      <c r="W28" s="17">
        <v>22246</v>
      </c>
      <c r="X28" s="17">
        <v>32282.5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3"/>
      <c r="AT28" s="13"/>
    </row>
    <row r="29" spans="1:46" x14ac:dyDescent="0.35">
      <c r="A29" s="12">
        <f t="shared" si="0"/>
        <v>45627</v>
      </c>
      <c r="B29" s="13"/>
      <c r="C29" s="13">
        <f>++'Completion Factors'!J9</f>
        <v>0.12622404793393591</v>
      </c>
      <c r="D29" s="13">
        <f t="shared" si="1"/>
        <v>0</v>
      </c>
      <c r="E29" s="13">
        <f t="shared" si="2"/>
        <v>0</v>
      </c>
      <c r="F29" s="13">
        <f>ROUND(+K29*L29/100,0)-D29-B29</f>
        <v>25942</v>
      </c>
      <c r="G29" s="13">
        <f t="shared" si="3"/>
        <v>25942</v>
      </c>
      <c r="H29" s="14">
        <f t="shared" si="4"/>
        <v>25942</v>
      </c>
      <c r="I29" s="45"/>
      <c r="J29" s="45"/>
      <c r="K29" s="13">
        <v>64856.215833333343</v>
      </c>
      <c r="L29" s="19">
        <v>40</v>
      </c>
      <c r="M29" s="13">
        <f t="shared" si="6"/>
        <v>0</v>
      </c>
      <c r="N29" s="13">
        <f t="shared" si="7"/>
        <v>40</v>
      </c>
      <c r="O29" s="13">
        <f t="shared" si="10"/>
        <v>81.032399401368423</v>
      </c>
      <c r="P29" s="18">
        <f t="shared" si="11"/>
        <v>2.2151237630489815</v>
      </c>
      <c r="Q29" s="18">
        <f t="shared" si="12"/>
        <v>0.9399159605815145</v>
      </c>
      <c r="R29" s="13"/>
      <c r="T29" s="16">
        <f t="shared" si="8"/>
        <v>45627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3"/>
      <c r="AT29" s="13"/>
    </row>
    <row r="30" spans="1:46" x14ac:dyDescent="0.35">
      <c r="A30" s="12">
        <f t="shared" si="0"/>
        <v>45658</v>
      </c>
      <c r="B30" s="13">
        <v>50000</v>
      </c>
      <c r="C30" s="13">
        <f>++'Completion Factors'!J8</f>
        <v>8.5507701545986609E-2</v>
      </c>
      <c r="D30" s="13">
        <f t="shared" si="1"/>
        <v>534742.65003029781</v>
      </c>
      <c r="E30" s="13">
        <f t="shared" si="2"/>
        <v>534742.65003029781</v>
      </c>
      <c r="F30" s="13">
        <f>ROUND(+K30*L30/100,0)-D30-B30</f>
        <v>-559093.65003029781</v>
      </c>
      <c r="G30" s="13">
        <f t="shared" si="3"/>
        <v>25649</v>
      </c>
      <c r="H30" s="14">
        <f t="shared" si="4"/>
        <v>-24351</v>
      </c>
      <c r="I30" s="45"/>
      <c r="J30" s="45"/>
      <c r="K30" s="13">
        <v>64123.19</v>
      </c>
      <c r="L30" s="19">
        <v>40</v>
      </c>
      <c r="M30" s="13">
        <f t="shared" si="6"/>
        <v>77.974910480904029</v>
      </c>
      <c r="N30" s="13">
        <f t="shared" si="7"/>
        <v>-37.974910480904029</v>
      </c>
      <c r="O30" s="13">
        <f t="shared" si="10"/>
        <v>80.878907818960784</v>
      </c>
      <c r="P30" s="18">
        <f t="shared" si="11"/>
        <v>0.90178991159242317</v>
      </c>
      <c r="Q30" s="18">
        <f t="shared" si="12"/>
        <v>0.93715877688643767</v>
      </c>
      <c r="R30" s="13"/>
      <c r="T30" s="16">
        <f t="shared" si="8"/>
        <v>45658</v>
      </c>
      <c r="U30" s="17">
        <v>50000</v>
      </c>
      <c r="V30" s="17">
        <v>50000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3"/>
      <c r="AT30" s="13"/>
    </row>
    <row r="31" spans="1:46" x14ac:dyDescent="0.35">
      <c r="A31" s="12">
        <f>DATE(YEAR(H4),MONTH(H4),1)</f>
        <v>45689</v>
      </c>
      <c r="B31" s="13"/>
      <c r="C31" s="13">
        <f>+'Completion Factors'!J7</f>
        <v>8.5507701545986609E-2</v>
      </c>
      <c r="D31" s="13">
        <f t="shared" si="1"/>
        <v>0</v>
      </c>
      <c r="E31" s="13">
        <f t="shared" si="2"/>
        <v>0</v>
      </c>
      <c r="F31" s="13">
        <f>ROUND(+K31*L31/100,0)-D31-B31</f>
        <v>25276</v>
      </c>
      <c r="G31" s="13">
        <f t="shared" si="3"/>
        <v>25276</v>
      </c>
      <c r="H31" s="14">
        <f t="shared" si="4"/>
        <v>25276</v>
      </c>
      <c r="I31" s="45"/>
      <c r="J31" s="45"/>
      <c r="K31" s="13">
        <v>63189.121666666673</v>
      </c>
      <c r="L31" s="19">
        <v>40</v>
      </c>
      <c r="M31" s="13">
        <f t="shared" si="6"/>
        <v>0</v>
      </c>
      <c r="N31" s="13">
        <f t="shared" si="7"/>
        <v>40</v>
      </c>
      <c r="O31" s="13">
        <f t="shared" si="10"/>
        <v>81.034911867013577</v>
      </c>
      <c r="P31" s="18">
        <f t="shared" si="11"/>
        <v>0.97214667411764732</v>
      </c>
      <c r="Q31" s="18">
        <f t="shared" si="12"/>
        <v>0.92783652014718543</v>
      </c>
      <c r="R31" s="13"/>
      <c r="T31" s="16">
        <f t="shared" si="8"/>
        <v>45689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3"/>
      <c r="AT31" s="13"/>
    </row>
    <row r="32" spans="1:46" x14ac:dyDescent="0.35">
      <c r="H32" s="21" t="s">
        <v>61</v>
      </c>
      <c r="I32" s="46"/>
      <c r="J32" s="46"/>
      <c r="T32" t="s">
        <v>36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3:43" x14ac:dyDescent="0.35">
      <c r="C33" s="17"/>
      <c r="D33" s="13"/>
      <c r="E33" s="13"/>
      <c r="F33" s="13"/>
      <c r="G33" s="13"/>
      <c r="H33" s="14">
        <f>SUM(H8:H31)</f>
        <v>380478.21214115503</v>
      </c>
      <c r="I33" s="14">
        <f>SUM(I8:I31)</f>
        <v>77593.307753484652</v>
      </c>
      <c r="J33" s="14">
        <f>SUM(J8:J31)</f>
        <v>276017.90438767045</v>
      </c>
      <c r="K33" s="13"/>
      <c r="L33" s="22">
        <f>SUM(G20:G31)/SUM(K20:K31)</f>
        <v>0.8103491186701357</v>
      </c>
      <c r="M33" s="13"/>
      <c r="N33" s="13"/>
      <c r="O33" s="16"/>
    </row>
    <row r="34" spans="3:43" x14ac:dyDescent="0.35">
      <c r="C34" s="17"/>
      <c r="D34" s="13"/>
      <c r="G34" t="str">
        <f>IF(ABS(+B33+E33+F33-G33)&gt;0.005,B33+E33+F33,"  ")</f>
        <v xml:space="preserve">  </v>
      </c>
      <c r="H34" s="21"/>
      <c r="I34" s="46"/>
      <c r="J34" s="46"/>
      <c r="L34" s="23"/>
      <c r="O34" s="16"/>
    </row>
    <row r="35" spans="3:43" x14ac:dyDescent="0.35">
      <c r="C35" s="17"/>
      <c r="D35" s="13"/>
      <c r="H35" s="24">
        <v>7.4999999999999997E-2</v>
      </c>
      <c r="I35" s="47"/>
      <c r="J35" s="47"/>
      <c r="L35" s="23"/>
    </row>
    <row r="36" spans="3:43" x14ac:dyDescent="0.35">
      <c r="C36" s="17"/>
      <c r="D36" s="13"/>
      <c r="F36" s="23"/>
      <c r="H36" s="25">
        <f>H33*(1+H35)</f>
        <v>409014.07805174164</v>
      </c>
      <c r="I36" s="25"/>
      <c r="J36" s="25"/>
      <c r="K36" s="26"/>
      <c r="L36" s="27"/>
      <c r="M36" s="27"/>
      <c r="T36" s="31" t="s">
        <v>62</v>
      </c>
    </row>
    <row r="37" spans="3:43" x14ac:dyDescent="0.35">
      <c r="C37" s="17"/>
      <c r="D37" s="13"/>
      <c r="O37" s="16"/>
      <c r="T37" t="s">
        <v>63</v>
      </c>
      <c r="U37" s="39">
        <f>+IFERROR(AVERAGE(#REF!),1)</f>
        <v>1</v>
      </c>
      <c r="V37" s="39">
        <f>+IFERROR(AVERAGE(#REF!),1)</f>
        <v>1</v>
      </c>
      <c r="W37" s="39">
        <f>+IFERROR(AVERAGE(#REF!),1)</f>
        <v>1</v>
      </c>
      <c r="X37" s="39">
        <f>+IFERROR(AVERAGE(#REF!),1)</f>
        <v>1</v>
      </c>
      <c r="Y37" s="39">
        <f>+IFERROR(AVERAGE(#REF!),1)</f>
        <v>1</v>
      </c>
      <c r="Z37" s="39">
        <f>+IFERROR(AVERAGE(#REF!),1)</f>
        <v>1</v>
      </c>
      <c r="AA37" s="39">
        <f>+IFERROR(AVERAGE(#REF!),1)</f>
        <v>1</v>
      </c>
      <c r="AB37" s="39">
        <f>+IFERROR(AVERAGE(#REF!),1)</f>
        <v>1</v>
      </c>
      <c r="AC37" s="39">
        <f>+IFERROR(AVERAGE(#REF!),1)</f>
        <v>1</v>
      </c>
      <c r="AD37" s="39">
        <f>+IFERROR(AVERAGE(#REF!),1)</f>
        <v>1</v>
      </c>
      <c r="AE37" s="39">
        <f>+IFERROR(AVERAGE(#REF!),1)</f>
        <v>1</v>
      </c>
      <c r="AF37" s="39">
        <f>+IFERROR(AVERAGE(#REF!),1)</f>
        <v>1</v>
      </c>
      <c r="AG37" s="39">
        <f>+IFERROR(AVERAGE(#REF!),1)</f>
        <v>1</v>
      </c>
      <c r="AH37" s="39">
        <f>+IFERROR(AVERAGE(#REF!),1)</f>
        <v>1</v>
      </c>
      <c r="AI37" s="39">
        <f>+IFERROR(AVERAGE(#REF!),1)</f>
        <v>1</v>
      </c>
      <c r="AJ37" s="39">
        <f>+IFERROR(AVERAGE(#REF!),1)</f>
        <v>1</v>
      </c>
      <c r="AK37" s="39">
        <f>+IFERROR(AVERAGE(#REF!),1)</f>
        <v>1</v>
      </c>
      <c r="AL37" s="39">
        <f>+IFERROR(AVERAGE(#REF!),1)</f>
        <v>1</v>
      </c>
      <c r="AM37" s="39">
        <f>+IFERROR(AVERAGE(#REF!),1)</f>
        <v>1</v>
      </c>
      <c r="AN37" s="39">
        <f>+IFERROR(AVERAGE(#REF!),1)</f>
        <v>1</v>
      </c>
      <c r="AO37" s="39">
        <f>+IFERROR(AVERAGE(#REF!),1)</f>
        <v>1</v>
      </c>
      <c r="AP37" s="39">
        <f>+IFERROR(AVERAGE(#REF!),1)</f>
        <v>1</v>
      </c>
      <c r="AQ37" s="39">
        <f>+IFERROR(AVERAGE(#REF!),1)</f>
        <v>1</v>
      </c>
    </row>
    <row r="38" spans="3:43" x14ac:dyDescent="0.35">
      <c r="C38" s="17"/>
      <c r="D38" s="13"/>
      <c r="T38" t="s">
        <v>64</v>
      </c>
      <c r="U38" s="39">
        <f t="shared" ref="U38:AO38" si="13">+U37*V38</f>
        <v>1</v>
      </c>
      <c r="V38" s="39">
        <f t="shared" si="13"/>
        <v>1</v>
      </c>
      <c r="W38" s="39">
        <f t="shared" si="13"/>
        <v>1</v>
      </c>
      <c r="X38" s="39">
        <f t="shared" si="13"/>
        <v>1</v>
      </c>
      <c r="Y38" s="39">
        <f t="shared" si="13"/>
        <v>1</v>
      </c>
      <c r="Z38" s="39">
        <f t="shared" si="13"/>
        <v>1</v>
      </c>
      <c r="AA38" s="39">
        <f t="shared" si="13"/>
        <v>1</v>
      </c>
      <c r="AB38" s="39">
        <f t="shared" si="13"/>
        <v>1</v>
      </c>
      <c r="AC38" s="39">
        <f t="shared" si="13"/>
        <v>1</v>
      </c>
      <c r="AD38" s="39">
        <f t="shared" si="13"/>
        <v>1</v>
      </c>
      <c r="AE38" s="39">
        <f t="shared" si="13"/>
        <v>1</v>
      </c>
      <c r="AF38" s="39">
        <f t="shared" si="13"/>
        <v>1</v>
      </c>
      <c r="AG38" s="39">
        <f t="shared" si="13"/>
        <v>1</v>
      </c>
      <c r="AH38" s="39">
        <f t="shared" si="13"/>
        <v>1</v>
      </c>
      <c r="AI38" s="39">
        <f t="shared" si="13"/>
        <v>1</v>
      </c>
      <c r="AJ38" s="39">
        <f t="shared" si="13"/>
        <v>1</v>
      </c>
      <c r="AK38" s="39">
        <f t="shared" si="13"/>
        <v>1</v>
      </c>
      <c r="AL38" s="39">
        <f t="shared" si="13"/>
        <v>1</v>
      </c>
      <c r="AM38" s="39">
        <f t="shared" si="13"/>
        <v>1</v>
      </c>
      <c r="AN38" s="39">
        <f t="shared" si="13"/>
        <v>1</v>
      </c>
      <c r="AO38" s="39">
        <f t="shared" si="13"/>
        <v>1</v>
      </c>
      <c r="AP38" s="39">
        <f>+AP37*AQ38</f>
        <v>1</v>
      </c>
      <c r="AQ38" s="39">
        <f>+AQ37</f>
        <v>1</v>
      </c>
    </row>
    <row r="39" spans="3:43" x14ac:dyDescent="0.35">
      <c r="C39" s="17"/>
      <c r="D39" s="13"/>
      <c r="F39" s="10"/>
      <c r="H39" s="28"/>
      <c r="I39" s="28"/>
      <c r="J39" s="28"/>
      <c r="K39" s="28"/>
      <c r="L39" s="28"/>
      <c r="M39" s="28"/>
      <c r="N39" s="29"/>
      <c r="O39" s="30"/>
      <c r="P39" s="30"/>
      <c r="T39" t="s">
        <v>65</v>
      </c>
      <c r="U39" s="40">
        <f>1/U38</f>
        <v>1</v>
      </c>
      <c r="V39" s="40">
        <f t="shared" ref="V39:AQ39" si="14">1/V38</f>
        <v>1</v>
      </c>
      <c r="W39" s="40">
        <f t="shared" si="14"/>
        <v>1</v>
      </c>
      <c r="X39" s="40">
        <f t="shared" si="14"/>
        <v>1</v>
      </c>
      <c r="Y39" s="40">
        <f t="shared" si="14"/>
        <v>1</v>
      </c>
      <c r="Z39" s="40">
        <f t="shared" si="14"/>
        <v>1</v>
      </c>
      <c r="AA39" s="40">
        <f t="shared" si="14"/>
        <v>1</v>
      </c>
      <c r="AB39" s="40">
        <f t="shared" si="14"/>
        <v>1</v>
      </c>
      <c r="AC39" s="40">
        <f t="shared" si="14"/>
        <v>1</v>
      </c>
      <c r="AD39" s="40">
        <f t="shared" si="14"/>
        <v>1</v>
      </c>
      <c r="AE39" s="40">
        <f t="shared" si="14"/>
        <v>1</v>
      </c>
      <c r="AF39" s="40">
        <f t="shared" si="14"/>
        <v>1</v>
      </c>
      <c r="AG39" s="40">
        <f t="shared" si="14"/>
        <v>1</v>
      </c>
      <c r="AH39" s="40">
        <f t="shared" si="14"/>
        <v>1</v>
      </c>
      <c r="AI39" s="40">
        <f t="shared" si="14"/>
        <v>1</v>
      </c>
      <c r="AJ39" s="40">
        <f t="shared" si="14"/>
        <v>1</v>
      </c>
      <c r="AK39" s="40">
        <f t="shared" si="14"/>
        <v>1</v>
      </c>
      <c r="AL39" s="40">
        <f t="shared" si="14"/>
        <v>1</v>
      </c>
      <c r="AM39" s="40">
        <f t="shared" si="14"/>
        <v>1</v>
      </c>
      <c r="AN39" s="40">
        <f t="shared" si="14"/>
        <v>1</v>
      </c>
      <c r="AO39" s="40">
        <f t="shared" si="14"/>
        <v>1</v>
      </c>
      <c r="AP39" s="40">
        <f t="shared" si="14"/>
        <v>1</v>
      </c>
      <c r="AQ39" s="40">
        <f t="shared" si="14"/>
        <v>1</v>
      </c>
    </row>
    <row r="40" spans="3:43" x14ac:dyDescent="0.35">
      <c r="C40" s="17"/>
      <c r="D40" s="13"/>
      <c r="H40" s="28"/>
      <c r="I40" s="28"/>
      <c r="J40" s="28"/>
      <c r="K40" s="28"/>
      <c r="L40" s="28"/>
      <c r="M40" s="28"/>
      <c r="N40" s="29"/>
      <c r="T40" t="s">
        <v>66</v>
      </c>
      <c r="U40" s="41">
        <f t="shared" ref="U40:AP40" si="15">+V39-U39</f>
        <v>0</v>
      </c>
      <c r="V40" s="41">
        <f t="shared" si="15"/>
        <v>0</v>
      </c>
      <c r="W40" s="41">
        <f t="shared" si="15"/>
        <v>0</v>
      </c>
      <c r="X40" s="41">
        <f t="shared" si="15"/>
        <v>0</v>
      </c>
      <c r="Y40" s="41">
        <f t="shared" si="15"/>
        <v>0</v>
      </c>
      <c r="Z40" s="41">
        <f t="shared" si="15"/>
        <v>0</v>
      </c>
      <c r="AA40" s="41">
        <f t="shared" si="15"/>
        <v>0</v>
      </c>
      <c r="AB40" s="41">
        <f t="shared" si="15"/>
        <v>0</v>
      </c>
      <c r="AC40" s="41">
        <f t="shared" si="15"/>
        <v>0</v>
      </c>
      <c r="AD40" s="41">
        <f t="shared" si="15"/>
        <v>0</v>
      </c>
      <c r="AE40" s="41">
        <f t="shared" si="15"/>
        <v>0</v>
      </c>
      <c r="AF40" s="41">
        <f t="shared" si="15"/>
        <v>0</v>
      </c>
      <c r="AG40" s="41">
        <f t="shared" si="15"/>
        <v>0</v>
      </c>
      <c r="AH40" s="41">
        <f t="shared" si="15"/>
        <v>0</v>
      </c>
      <c r="AI40" s="41">
        <f t="shared" si="15"/>
        <v>0</v>
      </c>
      <c r="AJ40" s="41">
        <f t="shared" si="15"/>
        <v>0</v>
      </c>
      <c r="AK40" s="41">
        <f t="shared" si="15"/>
        <v>0</v>
      </c>
      <c r="AL40" s="41">
        <f t="shared" si="15"/>
        <v>0</v>
      </c>
      <c r="AM40" s="41">
        <f t="shared" si="15"/>
        <v>0</v>
      </c>
      <c r="AN40" s="41">
        <f t="shared" si="15"/>
        <v>0</v>
      </c>
      <c r="AO40" s="41">
        <f t="shared" si="15"/>
        <v>0</v>
      </c>
      <c r="AP40" s="41">
        <f t="shared" si="15"/>
        <v>0</v>
      </c>
    </row>
    <row r="41" spans="3:43" x14ac:dyDescent="0.35">
      <c r="C41" s="17"/>
      <c r="D41" s="13"/>
    </row>
    <row r="42" spans="3:43" x14ac:dyDescent="0.35">
      <c r="C42" s="17"/>
      <c r="D42" s="13"/>
      <c r="H42" s="17"/>
      <c r="I42" s="17"/>
      <c r="J42" s="17"/>
      <c r="K42" s="17"/>
      <c r="L42" s="17"/>
      <c r="M42" s="17"/>
      <c r="N42" s="29"/>
      <c r="O42" s="23"/>
    </row>
    <row r="43" spans="3:43" x14ac:dyDescent="0.35">
      <c r="C43" s="17"/>
      <c r="D43" s="13"/>
      <c r="H43" s="17"/>
      <c r="I43" s="17"/>
      <c r="J43" s="17"/>
      <c r="K43" s="17"/>
      <c r="L43" s="17"/>
      <c r="M43" s="17"/>
      <c r="N43" s="29"/>
      <c r="O43" s="23"/>
      <c r="P43" s="23"/>
    </row>
    <row r="44" spans="3:43" x14ac:dyDescent="0.35">
      <c r="C44" s="17"/>
      <c r="D44" s="13"/>
    </row>
    <row r="45" spans="3:43" x14ac:dyDescent="0.35">
      <c r="C45" s="17"/>
      <c r="D45" s="13"/>
      <c r="H45" s="30"/>
      <c r="I45" s="30"/>
      <c r="J45" s="30"/>
      <c r="K45" s="27"/>
    </row>
    <row r="46" spans="3:43" x14ac:dyDescent="0.35">
      <c r="C46" s="17"/>
      <c r="D46" s="13"/>
      <c r="H46" s="30"/>
      <c r="I46" s="30"/>
      <c r="J46" s="30"/>
      <c r="K46" s="27"/>
    </row>
    <row r="47" spans="3:43" x14ac:dyDescent="0.35">
      <c r="C47" s="17"/>
      <c r="D47" s="13"/>
      <c r="H47" s="30"/>
      <c r="I47" s="30"/>
      <c r="J47" s="30"/>
    </row>
    <row r="48" spans="3:43" x14ac:dyDescent="0.35">
      <c r="C48" s="17"/>
      <c r="D48" s="13"/>
    </row>
    <row r="50" spans="8:11" x14ac:dyDescent="0.35">
      <c r="H50" s="23"/>
      <c r="I50" s="23"/>
      <c r="J50" s="23"/>
    </row>
    <row r="51" spans="8:11" x14ac:dyDescent="0.35">
      <c r="H51" s="23"/>
      <c r="I51" s="23"/>
      <c r="J51" s="23"/>
    </row>
    <row r="52" spans="8:11" x14ac:dyDescent="0.35">
      <c r="H52" s="23"/>
      <c r="I52" s="23"/>
      <c r="J52" s="23"/>
      <c r="K52" s="23"/>
    </row>
    <row r="53" spans="8:11" x14ac:dyDescent="0.35">
      <c r="H53" s="23"/>
      <c r="I53" s="23"/>
      <c r="J53" s="23"/>
    </row>
    <row r="54" spans="8:11" x14ac:dyDescent="0.35">
      <c r="H54" s="23"/>
      <c r="I54" s="23"/>
      <c r="J54" s="23"/>
    </row>
  </sheetData>
  <mergeCells count="1">
    <mergeCell ref="L4:O4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3560-CE6F-4DAF-9993-94BB322DFF0E}">
  <dimension ref="A4:AT54"/>
  <sheetViews>
    <sheetView zoomScale="80" zoomScaleNormal="80" workbookViewId="0">
      <pane ySplit="7" topLeftCell="A8" activePane="bottomLeft" state="frozen"/>
      <selection activeCell="E7" sqref="E7"/>
      <selection pane="bottomLeft" activeCell="H30" sqref="H30"/>
    </sheetView>
  </sheetViews>
  <sheetFormatPr defaultRowHeight="14.5" x14ac:dyDescent="0.35"/>
  <cols>
    <col min="1" max="1" width="10.81640625" bestFit="1" customWidth="1"/>
    <col min="2" max="2" width="13.1796875" bestFit="1" customWidth="1"/>
    <col min="3" max="3" width="12.1796875" bestFit="1" customWidth="1"/>
    <col min="4" max="5" width="14.1796875" bestFit="1" customWidth="1"/>
    <col min="6" max="6" width="15" bestFit="1" customWidth="1"/>
    <col min="7" max="7" width="14.1796875" bestFit="1" customWidth="1"/>
    <col min="8" max="8" width="13.54296875" bestFit="1" customWidth="1"/>
    <col min="9" max="10" width="13.54296875" customWidth="1"/>
    <col min="11" max="11" width="14.453125" bestFit="1" customWidth="1"/>
    <col min="12" max="12" width="16.54296875" bestFit="1" customWidth="1"/>
    <col min="13" max="15" width="12.1796875" bestFit="1" customWidth="1"/>
    <col min="16" max="16" width="10.54296875" bestFit="1" customWidth="1"/>
    <col min="17" max="17" width="13.54296875" bestFit="1" customWidth="1"/>
    <col min="18" max="18" width="27.1796875" bestFit="1" customWidth="1"/>
    <col min="19" max="19" width="7.1796875" customWidth="1"/>
    <col min="20" max="20" width="10.1796875" customWidth="1"/>
    <col min="21" max="42" width="11.54296875" bestFit="1" customWidth="1"/>
    <col min="43" max="44" width="10.54296875" bestFit="1" customWidth="1"/>
    <col min="45" max="46" width="11.54296875" bestFit="1" customWidth="1"/>
    <col min="48" max="48" width="10.1796875" bestFit="1" customWidth="1"/>
  </cols>
  <sheetData>
    <row r="4" spans="1:46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51">
        <v>45716</v>
      </c>
      <c r="I4" s="8">
        <v>45688</v>
      </c>
      <c r="J4" s="43"/>
      <c r="L4" s="36" t="s">
        <v>39</v>
      </c>
      <c r="M4" s="37"/>
      <c r="N4" s="37"/>
      <c r="O4" s="38"/>
    </row>
    <row r="5" spans="1:46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52" t="s">
        <v>43</v>
      </c>
      <c r="I5" s="9" t="s">
        <v>43</v>
      </c>
      <c r="J5" s="44"/>
      <c r="N5" s="7" t="s">
        <v>45</v>
      </c>
      <c r="O5" s="7" t="s">
        <v>46</v>
      </c>
    </row>
    <row r="6" spans="1:46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52" t="s">
        <v>49</v>
      </c>
      <c r="I6" s="9" t="s">
        <v>49</v>
      </c>
      <c r="J6" s="44" t="s">
        <v>67</v>
      </c>
      <c r="K6" s="7" t="s">
        <v>51</v>
      </c>
      <c r="L6" s="7" t="s">
        <v>45</v>
      </c>
      <c r="M6" s="7" t="s">
        <v>47</v>
      </c>
      <c r="N6" s="7" t="s">
        <v>52</v>
      </c>
      <c r="O6" s="7" t="s">
        <v>53</v>
      </c>
      <c r="U6" s="7" t="s">
        <v>54</v>
      </c>
      <c r="AT6" s="7" t="s">
        <v>55</v>
      </c>
    </row>
    <row r="7" spans="1:46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52" t="s">
        <v>17</v>
      </c>
      <c r="I7" s="44"/>
      <c r="J7" s="44"/>
      <c r="K7" s="7" t="s">
        <v>58</v>
      </c>
      <c r="L7" s="7" t="s">
        <v>58</v>
      </c>
      <c r="M7" s="7" t="s">
        <v>57</v>
      </c>
      <c r="N7" s="7" t="s">
        <v>58</v>
      </c>
      <c r="O7" s="7" t="s">
        <v>59</v>
      </c>
      <c r="T7" s="10" t="s">
        <v>60</v>
      </c>
      <c r="U7" s="11">
        <f>T8</f>
        <v>44986</v>
      </c>
      <c r="V7" s="11">
        <f>T9</f>
        <v>45017</v>
      </c>
      <c r="W7" s="11">
        <f>T10</f>
        <v>45047</v>
      </c>
      <c r="X7" s="11">
        <f>T11</f>
        <v>45078</v>
      </c>
      <c r="Y7" s="11">
        <f>T12</f>
        <v>45108</v>
      </c>
      <c r="Z7" s="11">
        <f>T13</f>
        <v>45139</v>
      </c>
      <c r="AA7" s="11">
        <f>T14</f>
        <v>45170</v>
      </c>
      <c r="AB7" s="11">
        <f>T15</f>
        <v>45200</v>
      </c>
      <c r="AC7" s="11">
        <f>T16</f>
        <v>45231</v>
      </c>
      <c r="AD7" s="11">
        <f>T17</f>
        <v>45261</v>
      </c>
      <c r="AE7" s="11">
        <f>T18</f>
        <v>45292</v>
      </c>
      <c r="AF7" s="11">
        <f>T19</f>
        <v>45323</v>
      </c>
      <c r="AG7" s="11">
        <f>T20</f>
        <v>45352</v>
      </c>
      <c r="AH7" s="11">
        <f>T21</f>
        <v>45383</v>
      </c>
      <c r="AI7" s="11">
        <f>T22</f>
        <v>45413</v>
      </c>
      <c r="AJ7" s="11">
        <f>T23</f>
        <v>45444</v>
      </c>
      <c r="AK7" s="11">
        <f>T24</f>
        <v>45474</v>
      </c>
      <c r="AL7" s="11">
        <f>T25</f>
        <v>45505</v>
      </c>
      <c r="AM7" s="11">
        <f>T26</f>
        <v>45536</v>
      </c>
      <c r="AN7" s="11">
        <f>T27</f>
        <v>45566</v>
      </c>
      <c r="AO7" s="11">
        <f>T28</f>
        <v>45597</v>
      </c>
      <c r="AP7" s="11">
        <f>T29</f>
        <v>45627</v>
      </c>
      <c r="AQ7" s="11">
        <f>T30</f>
        <v>45658</v>
      </c>
      <c r="AR7" s="11">
        <f>T31</f>
        <v>45689</v>
      </c>
      <c r="AS7" s="11" t="s">
        <v>36</v>
      </c>
      <c r="AT7" s="7" t="s">
        <v>36</v>
      </c>
    </row>
    <row r="8" spans="1:46" x14ac:dyDescent="0.35">
      <c r="A8" s="12">
        <f t="shared" ref="A8:A30" si="0">DATE(YEAR(A9),MONTH(A9)-1,1)</f>
        <v>44986</v>
      </c>
      <c r="B8" s="13">
        <v>32645.62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50">
        <f t="shared" ref="G8:G31" si="3">B8+D8+F8</f>
        <v>32645.62</v>
      </c>
      <c r="H8" s="53">
        <f t="shared" ref="H8:H31" si="4">G8-B8</f>
        <v>0</v>
      </c>
      <c r="I8" s="45"/>
      <c r="J8" s="45"/>
      <c r="K8" s="13">
        <v>73976.997499999998</v>
      </c>
      <c r="L8" s="13">
        <f t="shared" ref="L8:L28" si="5">100*$G8/$K8</f>
        <v>44.129420094401645</v>
      </c>
      <c r="M8" s="13">
        <f t="shared" ref="M8:M31" si="6">100*(B8/K8)</f>
        <v>44.129420094401638</v>
      </c>
      <c r="N8" s="13">
        <f t="shared" ref="N8:N31" si="7">L8-M8</f>
        <v>0</v>
      </c>
      <c r="O8" s="13"/>
      <c r="P8" s="13"/>
      <c r="Q8" s="13"/>
      <c r="R8" s="15"/>
      <c r="T8" s="16">
        <f t="shared" ref="T8:T31" si="8">A8</f>
        <v>44986</v>
      </c>
      <c r="U8" s="17"/>
      <c r="V8" s="17"/>
      <c r="W8" s="17">
        <v>2780</v>
      </c>
      <c r="X8" s="17">
        <v>8460</v>
      </c>
      <c r="Y8" s="17">
        <v>8460</v>
      </c>
      <c r="Z8" s="17">
        <v>8460</v>
      </c>
      <c r="AA8" s="17">
        <v>25540</v>
      </c>
      <c r="AB8" s="17">
        <v>30540</v>
      </c>
      <c r="AC8" s="17">
        <v>32040</v>
      </c>
      <c r="AD8" s="17">
        <v>32040</v>
      </c>
      <c r="AE8" s="17">
        <v>32040</v>
      </c>
      <c r="AF8" s="17">
        <v>32040</v>
      </c>
      <c r="AG8" s="17">
        <v>32040</v>
      </c>
      <c r="AH8" s="17">
        <v>32040</v>
      </c>
      <c r="AI8" s="17">
        <v>32040</v>
      </c>
      <c r="AJ8" s="17">
        <v>32645.62</v>
      </c>
      <c r="AK8" s="17">
        <v>32645.62</v>
      </c>
      <c r="AL8" s="17">
        <v>32645.62</v>
      </c>
      <c r="AM8" s="17">
        <v>32645.62</v>
      </c>
      <c r="AN8" s="17">
        <v>32645.62</v>
      </c>
      <c r="AO8" s="17">
        <v>32645.62</v>
      </c>
      <c r="AP8" s="17">
        <v>32645.62</v>
      </c>
      <c r="AQ8" s="17">
        <v>32645.62</v>
      </c>
      <c r="AR8" s="17">
        <v>32645.62</v>
      </c>
      <c r="AS8" s="13"/>
      <c r="AT8" s="13"/>
    </row>
    <row r="9" spans="1:46" x14ac:dyDescent="0.35">
      <c r="A9" s="12">
        <f t="shared" si="0"/>
        <v>45017</v>
      </c>
      <c r="B9" s="13">
        <v>13152.81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50">
        <f t="shared" si="3"/>
        <v>13152.81</v>
      </c>
      <c r="H9" s="53">
        <f t="shared" si="4"/>
        <v>0</v>
      </c>
      <c r="I9" s="45"/>
      <c r="J9" s="45"/>
      <c r="K9" s="13">
        <v>73669.02916666666</v>
      </c>
      <c r="L9" s="13">
        <f t="shared" si="5"/>
        <v>17.85392063501131</v>
      </c>
      <c r="M9" s="13">
        <f t="shared" si="6"/>
        <v>17.85392063501131</v>
      </c>
      <c r="N9" s="13">
        <f t="shared" si="7"/>
        <v>0</v>
      </c>
      <c r="O9" s="13"/>
      <c r="P9" s="13"/>
      <c r="Q9" s="13"/>
      <c r="R9" s="13"/>
      <c r="T9" s="16">
        <f t="shared" si="8"/>
        <v>45017</v>
      </c>
      <c r="U9" s="17"/>
      <c r="V9" s="17">
        <v>10000</v>
      </c>
      <c r="W9" s="17">
        <v>12000</v>
      </c>
      <c r="X9" s="17">
        <v>12850</v>
      </c>
      <c r="Y9" s="17">
        <v>12850</v>
      </c>
      <c r="Z9" s="17">
        <v>12850</v>
      </c>
      <c r="AA9" s="17">
        <v>12850</v>
      </c>
      <c r="AB9" s="17">
        <v>12850</v>
      </c>
      <c r="AC9" s="17">
        <v>12850</v>
      </c>
      <c r="AD9" s="17">
        <v>12850</v>
      </c>
      <c r="AE9" s="17">
        <v>12850</v>
      </c>
      <c r="AF9" s="17">
        <v>12850</v>
      </c>
      <c r="AG9" s="17">
        <v>12850</v>
      </c>
      <c r="AH9" s="17">
        <v>12850</v>
      </c>
      <c r="AI9" s="17">
        <v>13152.81</v>
      </c>
      <c r="AJ9" s="17">
        <v>13152.81</v>
      </c>
      <c r="AK9" s="17">
        <v>13152.81</v>
      </c>
      <c r="AL9" s="17">
        <v>13152.81</v>
      </c>
      <c r="AM9" s="17">
        <v>13152.81</v>
      </c>
      <c r="AN9" s="17">
        <v>13152.81</v>
      </c>
      <c r="AO9" s="17">
        <v>13152.81</v>
      </c>
      <c r="AP9" s="17">
        <v>13152.81</v>
      </c>
      <c r="AQ9" s="17">
        <v>13152.81</v>
      </c>
      <c r="AR9" s="17"/>
      <c r="AS9" s="13"/>
      <c r="AT9" s="13"/>
    </row>
    <row r="10" spans="1:46" x14ac:dyDescent="0.35">
      <c r="A10" s="12">
        <f t="shared" si="0"/>
        <v>45047</v>
      </c>
      <c r="B10" s="13">
        <v>11670.81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50">
        <f t="shared" si="3"/>
        <v>11670.81</v>
      </c>
      <c r="H10" s="53">
        <f t="shared" si="4"/>
        <v>0</v>
      </c>
      <c r="I10" s="45"/>
      <c r="J10" s="45"/>
      <c r="K10" s="13">
        <v>73100.85583333332</v>
      </c>
      <c r="L10" s="13">
        <f t="shared" si="5"/>
        <v>15.965353438007517</v>
      </c>
      <c r="M10" s="13">
        <f t="shared" si="6"/>
        <v>15.965353438007519</v>
      </c>
      <c r="N10" s="13">
        <f t="shared" si="7"/>
        <v>0</v>
      </c>
      <c r="O10" s="13"/>
      <c r="P10" s="13"/>
      <c r="Q10" s="13"/>
      <c r="R10" s="13"/>
      <c r="T10" s="16">
        <f t="shared" si="8"/>
        <v>45047</v>
      </c>
      <c r="U10" s="17"/>
      <c r="V10" s="17"/>
      <c r="W10" s="17">
        <v>6668</v>
      </c>
      <c r="X10" s="17">
        <v>6818</v>
      </c>
      <c r="Y10" s="17">
        <v>10558</v>
      </c>
      <c r="Z10" s="17">
        <v>10558</v>
      </c>
      <c r="AA10" s="17">
        <v>10558</v>
      </c>
      <c r="AB10" s="17">
        <v>10558</v>
      </c>
      <c r="AC10" s="17">
        <v>10558</v>
      </c>
      <c r="AD10" s="17">
        <v>10558</v>
      </c>
      <c r="AE10" s="17">
        <v>10558</v>
      </c>
      <c r="AF10" s="17">
        <v>10558</v>
      </c>
      <c r="AG10" s="17">
        <v>10558</v>
      </c>
      <c r="AH10" s="17">
        <v>10860.81</v>
      </c>
      <c r="AI10" s="17">
        <v>11670.81</v>
      </c>
      <c r="AJ10" s="17">
        <v>11670.81</v>
      </c>
      <c r="AK10" s="17">
        <v>11670.81</v>
      </c>
      <c r="AL10" s="17">
        <v>11670.81</v>
      </c>
      <c r="AM10" s="17">
        <v>11670.81</v>
      </c>
      <c r="AN10" s="17">
        <v>11670.81</v>
      </c>
      <c r="AO10" s="17">
        <v>11670.81</v>
      </c>
      <c r="AP10" s="17">
        <v>11670.81</v>
      </c>
      <c r="AQ10" s="17"/>
      <c r="AR10" s="17"/>
      <c r="AS10" s="13"/>
      <c r="AT10" s="13"/>
    </row>
    <row r="11" spans="1:46" x14ac:dyDescent="0.35">
      <c r="A11" s="12">
        <f t="shared" si="0"/>
        <v>45078</v>
      </c>
      <c r="B11" s="13">
        <v>30200.62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50">
        <f t="shared" si="3"/>
        <v>30200.62</v>
      </c>
      <c r="H11" s="53">
        <f t="shared" si="4"/>
        <v>0</v>
      </c>
      <c r="I11" s="45"/>
      <c r="J11" s="45"/>
      <c r="K11" s="13">
        <v>72660.900833333333</v>
      </c>
      <c r="L11" s="13">
        <f t="shared" si="5"/>
        <v>41.563784172278531</v>
      </c>
      <c r="M11" s="13">
        <f t="shared" si="6"/>
        <v>41.563784172278531</v>
      </c>
      <c r="N11" s="13">
        <f t="shared" si="7"/>
        <v>0</v>
      </c>
      <c r="O11" s="13"/>
      <c r="P11" s="13"/>
      <c r="Q11" s="13"/>
      <c r="R11" s="13"/>
      <c r="T11" s="16">
        <f t="shared" si="8"/>
        <v>45078</v>
      </c>
      <c r="U11" s="17"/>
      <c r="V11" s="17">
        <v>750</v>
      </c>
      <c r="W11" s="17">
        <v>16850</v>
      </c>
      <c r="X11" s="17">
        <v>16850</v>
      </c>
      <c r="Y11" s="17">
        <v>16850</v>
      </c>
      <c r="Z11" s="17">
        <v>29595</v>
      </c>
      <c r="AA11" s="17">
        <v>29595</v>
      </c>
      <c r="AB11" s="17">
        <v>29595</v>
      </c>
      <c r="AC11" s="17">
        <v>29595</v>
      </c>
      <c r="AD11" s="17">
        <v>29595</v>
      </c>
      <c r="AE11" s="17">
        <v>29595</v>
      </c>
      <c r="AF11" s="17">
        <v>29595</v>
      </c>
      <c r="AG11" s="17">
        <v>30200.62</v>
      </c>
      <c r="AH11" s="17">
        <v>30200.62</v>
      </c>
      <c r="AI11" s="17">
        <v>30200.62</v>
      </c>
      <c r="AJ11" s="17">
        <v>30200.62</v>
      </c>
      <c r="AK11" s="17">
        <v>30200.62</v>
      </c>
      <c r="AL11" s="17">
        <v>30200.62</v>
      </c>
      <c r="AM11" s="17">
        <v>30200.62</v>
      </c>
      <c r="AN11" s="17">
        <v>30200.62</v>
      </c>
      <c r="AO11" s="17">
        <v>30200.62</v>
      </c>
      <c r="AP11" s="17"/>
      <c r="AQ11" s="17"/>
      <c r="AR11" s="17"/>
      <c r="AS11" s="13"/>
      <c r="AT11" s="13"/>
    </row>
    <row r="12" spans="1:46" x14ac:dyDescent="0.35">
      <c r="A12" s="12">
        <f t="shared" si="0"/>
        <v>45108</v>
      </c>
      <c r="B12" s="13">
        <v>22045.21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50">
        <f t="shared" si="3"/>
        <v>22045.21</v>
      </c>
      <c r="H12" s="53">
        <f t="shared" si="4"/>
        <v>0</v>
      </c>
      <c r="I12" s="45"/>
      <c r="J12" s="45"/>
      <c r="K12" s="13">
        <v>71981.799166666664</v>
      </c>
      <c r="L12" s="13">
        <f t="shared" si="5"/>
        <v>30.626089171453632</v>
      </c>
      <c r="M12" s="13">
        <f t="shared" si="6"/>
        <v>30.626089171453629</v>
      </c>
      <c r="N12" s="13">
        <f t="shared" si="7"/>
        <v>0</v>
      </c>
      <c r="O12" s="13"/>
      <c r="P12" s="13"/>
      <c r="Q12" s="13"/>
      <c r="R12" s="13"/>
      <c r="T12" s="16">
        <f t="shared" si="8"/>
        <v>45108</v>
      </c>
      <c r="U12" s="17"/>
      <c r="V12" s="17">
        <v>10775</v>
      </c>
      <c r="W12" s="17">
        <v>10775</v>
      </c>
      <c r="X12" s="17">
        <v>18415</v>
      </c>
      <c r="Y12" s="17">
        <v>18655</v>
      </c>
      <c r="Z12" s="17">
        <v>18655</v>
      </c>
      <c r="AA12" s="17">
        <v>18655</v>
      </c>
      <c r="AB12" s="17">
        <v>18655</v>
      </c>
      <c r="AC12" s="17">
        <v>18655</v>
      </c>
      <c r="AD12" s="17">
        <v>18655</v>
      </c>
      <c r="AE12" s="17">
        <v>18655</v>
      </c>
      <c r="AF12" s="17">
        <v>18957.810000000001</v>
      </c>
      <c r="AG12" s="17">
        <v>23965.21</v>
      </c>
      <c r="AH12" s="17">
        <v>22045.21</v>
      </c>
      <c r="AI12" s="17">
        <v>22045.21</v>
      </c>
      <c r="AJ12" s="17">
        <v>22045.21</v>
      </c>
      <c r="AK12" s="17">
        <v>22045.21</v>
      </c>
      <c r="AL12" s="17">
        <v>22045.21</v>
      </c>
      <c r="AM12" s="17">
        <v>22045.21</v>
      </c>
      <c r="AN12" s="17">
        <v>22045.21</v>
      </c>
      <c r="AO12" s="17"/>
      <c r="AP12" s="17"/>
      <c r="AQ12" s="17"/>
      <c r="AR12" s="17"/>
      <c r="AS12" s="13"/>
      <c r="AT12" s="13"/>
    </row>
    <row r="13" spans="1:46" x14ac:dyDescent="0.35">
      <c r="A13" s="12">
        <f t="shared" si="0"/>
        <v>45139</v>
      </c>
      <c r="B13" s="13">
        <v>29313.62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50">
        <f t="shared" si="3"/>
        <v>29313.62</v>
      </c>
      <c r="H13" s="53">
        <f t="shared" si="4"/>
        <v>0</v>
      </c>
      <c r="I13" s="45"/>
      <c r="J13" s="45"/>
      <c r="K13" s="13">
        <v>71135.608333333323</v>
      </c>
      <c r="L13" s="13">
        <f t="shared" si="5"/>
        <v>41.208082262598687</v>
      </c>
      <c r="M13" s="13">
        <f t="shared" si="6"/>
        <v>41.20808226259868</v>
      </c>
      <c r="N13" s="13">
        <f t="shared" si="7"/>
        <v>0</v>
      </c>
      <c r="O13" s="13"/>
      <c r="P13" s="13"/>
      <c r="Q13" s="13"/>
      <c r="R13" s="13"/>
      <c r="T13" s="16">
        <f t="shared" si="8"/>
        <v>45139</v>
      </c>
      <c r="U13" s="17">
        <v>10000</v>
      </c>
      <c r="V13" s="17">
        <v>10575</v>
      </c>
      <c r="W13" s="17">
        <v>11475</v>
      </c>
      <c r="X13" s="17">
        <v>17175</v>
      </c>
      <c r="Y13" s="17">
        <v>27958</v>
      </c>
      <c r="Z13" s="17">
        <v>27958</v>
      </c>
      <c r="AA13" s="17">
        <v>27958</v>
      </c>
      <c r="AB13" s="17">
        <v>27958</v>
      </c>
      <c r="AC13" s="17">
        <v>27958</v>
      </c>
      <c r="AD13" s="17">
        <v>27958</v>
      </c>
      <c r="AE13" s="17">
        <v>28563.62</v>
      </c>
      <c r="AF13" s="17">
        <v>28563.62</v>
      </c>
      <c r="AG13" s="17">
        <v>29313.62</v>
      </c>
      <c r="AH13" s="17">
        <v>29313.62</v>
      </c>
      <c r="AI13" s="17">
        <v>29313.62</v>
      </c>
      <c r="AJ13" s="17">
        <v>29313.62</v>
      </c>
      <c r="AK13" s="17">
        <v>29313.62</v>
      </c>
      <c r="AL13" s="17">
        <v>29313.62</v>
      </c>
      <c r="AM13" s="17">
        <v>29313.62</v>
      </c>
      <c r="AN13" s="17"/>
      <c r="AO13" s="17"/>
      <c r="AP13" s="17"/>
      <c r="AQ13" s="17"/>
      <c r="AR13" s="17"/>
      <c r="AS13" s="13"/>
      <c r="AT13" s="13"/>
    </row>
    <row r="14" spans="1:46" x14ac:dyDescent="0.35">
      <c r="A14" s="12">
        <f t="shared" si="0"/>
        <v>45170</v>
      </c>
      <c r="B14" s="13">
        <v>18070.57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50">
        <f t="shared" si="3"/>
        <v>18070.57</v>
      </c>
      <c r="H14" s="53">
        <f t="shared" si="4"/>
        <v>0</v>
      </c>
      <c r="I14" s="45"/>
      <c r="J14" s="45"/>
      <c r="K14" s="13">
        <v>70269.654999999999</v>
      </c>
      <c r="L14" s="13">
        <f t="shared" si="5"/>
        <v>25.716036317525681</v>
      </c>
      <c r="M14" s="13">
        <f t="shared" si="6"/>
        <v>25.716036317525681</v>
      </c>
      <c r="N14" s="13">
        <f t="shared" si="7"/>
        <v>0</v>
      </c>
      <c r="O14" s="13"/>
      <c r="P14" s="13"/>
      <c r="Q14" s="13"/>
      <c r="R14" s="13"/>
      <c r="T14" s="16">
        <f t="shared" si="8"/>
        <v>45170</v>
      </c>
      <c r="U14" s="17"/>
      <c r="V14" s="17"/>
      <c r="W14" s="17">
        <v>3600</v>
      </c>
      <c r="X14" s="17">
        <v>3600</v>
      </c>
      <c r="Y14" s="17">
        <v>3600</v>
      </c>
      <c r="Z14" s="17">
        <v>5600</v>
      </c>
      <c r="AA14" s="17">
        <v>5600</v>
      </c>
      <c r="AB14" s="17">
        <v>5600</v>
      </c>
      <c r="AC14" s="17">
        <v>5600</v>
      </c>
      <c r="AD14" s="17">
        <v>5902.81</v>
      </c>
      <c r="AE14" s="17">
        <v>6977.4600000000009</v>
      </c>
      <c r="AF14" s="17">
        <v>7727.4600000000009</v>
      </c>
      <c r="AG14" s="17">
        <v>7727.4600000000009</v>
      </c>
      <c r="AH14" s="17">
        <v>17738.419999999998</v>
      </c>
      <c r="AI14" s="17">
        <v>17819.419999999998</v>
      </c>
      <c r="AJ14" s="17">
        <v>17819.419999999998</v>
      </c>
      <c r="AK14" s="17">
        <v>18070.57</v>
      </c>
      <c r="AL14" s="17">
        <v>18070.57</v>
      </c>
      <c r="AM14" s="17"/>
      <c r="AN14" s="17"/>
      <c r="AO14" s="17"/>
      <c r="AP14" s="17"/>
      <c r="AQ14" s="17"/>
      <c r="AR14" s="17"/>
      <c r="AS14" s="13"/>
      <c r="AT14" s="13"/>
    </row>
    <row r="15" spans="1:46" x14ac:dyDescent="0.35">
      <c r="A15" s="12">
        <f t="shared" si="0"/>
        <v>45200</v>
      </c>
      <c r="B15" s="13">
        <v>26721.119999999999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50">
        <f t="shared" si="3"/>
        <v>26721.119999999999</v>
      </c>
      <c r="H15" s="53">
        <f t="shared" si="4"/>
        <v>0</v>
      </c>
      <c r="I15" s="45">
        <v>47.96681941640054</v>
      </c>
      <c r="J15" s="45">
        <f>+H15-I15</f>
        <v>-47.96681941640054</v>
      </c>
      <c r="K15" s="13">
        <v>69750.661666666667</v>
      </c>
      <c r="L15" s="13">
        <f t="shared" si="5"/>
        <v>38.309486048603077</v>
      </c>
      <c r="M15" s="13">
        <f t="shared" si="6"/>
        <v>38.309486048603077</v>
      </c>
      <c r="N15" s="13">
        <f t="shared" si="7"/>
        <v>0</v>
      </c>
      <c r="O15" s="13"/>
      <c r="P15" s="13"/>
      <c r="Q15" s="13"/>
      <c r="R15" s="13"/>
      <c r="T15" s="16">
        <f t="shared" si="8"/>
        <v>45200</v>
      </c>
      <c r="U15" s="17"/>
      <c r="V15" s="17"/>
      <c r="W15" s="17"/>
      <c r="X15" s="17">
        <v>10000</v>
      </c>
      <c r="Y15" s="17">
        <v>10000</v>
      </c>
      <c r="Z15" s="17">
        <v>10000</v>
      </c>
      <c r="AA15" s="17">
        <v>10000</v>
      </c>
      <c r="AB15" s="17">
        <v>10121</v>
      </c>
      <c r="AC15" s="17">
        <v>10726.62</v>
      </c>
      <c r="AD15" s="17">
        <v>10726.62</v>
      </c>
      <c r="AE15" s="17">
        <v>10726.62</v>
      </c>
      <c r="AF15" s="17">
        <v>10976.62</v>
      </c>
      <c r="AG15" s="17">
        <v>26559.59</v>
      </c>
      <c r="AH15" s="17">
        <v>26559.59</v>
      </c>
      <c r="AI15" s="17">
        <v>26721.119999999999</v>
      </c>
      <c r="AJ15" s="17">
        <v>26721.119999999999</v>
      </c>
      <c r="AK15" s="17">
        <v>26721.119999999999</v>
      </c>
      <c r="AL15" s="17"/>
      <c r="AM15" s="17"/>
      <c r="AN15" s="17"/>
      <c r="AO15" s="17"/>
      <c r="AP15" s="17"/>
      <c r="AQ15" s="17"/>
      <c r="AR15" s="17"/>
      <c r="AS15" s="13"/>
      <c r="AT15" s="13"/>
    </row>
    <row r="16" spans="1:46" x14ac:dyDescent="0.35">
      <c r="A16" s="12">
        <f t="shared" si="0"/>
        <v>45231</v>
      </c>
      <c r="B16" s="13">
        <v>11588.48</v>
      </c>
      <c r="C16" s="13">
        <f>++'Completion Factors'!J22</f>
        <v>0.99840698977625086</v>
      </c>
      <c r="D16" s="13">
        <f t="shared" si="1"/>
        <v>18.490021911655308</v>
      </c>
      <c r="E16" s="13">
        <f t="shared" si="2"/>
        <v>18.490021911655308</v>
      </c>
      <c r="F16" s="13"/>
      <c r="G16" s="50">
        <f t="shared" si="3"/>
        <v>11606.970021911655</v>
      </c>
      <c r="H16" s="53">
        <f t="shared" si="4"/>
        <v>18.490021911655276</v>
      </c>
      <c r="I16" s="45">
        <v>39.669757080067939</v>
      </c>
      <c r="J16" s="45">
        <f t="shared" ref="J16:J30" si="9">+H16-I16</f>
        <v>-21.179735168412662</v>
      </c>
      <c r="K16" s="13">
        <v>69511.603333333333</v>
      </c>
      <c r="L16" s="13">
        <f t="shared" si="5"/>
        <v>16.697888503955269</v>
      </c>
      <c r="M16" s="13">
        <f t="shared" si="6"/>
        <v>16.671288596853444</v>
      </c>
      <c r="N16" s="13">
        <f t="shared" si="7"/>
        <v>2.6599907101825693E-2</v>
      </c>
      <c r="O16" s="13"/>
      <c r="P16" s="13"/>
      <c r="Q16" s="13"/>
      <c r="R16" s="13"/>
      <c r="T16" s="16">
        <f t="shared" si="8"/>
        <v>45231</v>
      </c>
      <c r="U16" s="17"/>
      <c r="V16" s="17"/>
      <c r="W16" s="17"/>
      <c r="X16" s="17"/>
      <c r="Y16" s="17"/>
      <c r="Z16" s="17"/>
      <c r="AA16" s="17"/>
      <c r="AB16" s="17">
        <v>302.81</v>
      </c>
      <c r="AC16" s="17">
        <v>302.81</v>
      </c>
      <c r="AD16" s="17">
        <v>302.81</v>
      </c>
      <c r="AE16" s="17">
        <v>302.81</v>
      </c>
      <c r="AF16" s="17">
        <v>302.81</v>
      </c>
      <c r="AG16" s="17">
        <v>302.81</v>
      </c>
      <c r="AH16" s="17">
        <v>302.81</v>
      </c>
      <c r="AI16" s="17">
        <v>11588.48</v>
      </c>
      <c r="AJ16" s="17">
        <v>11588.48</v>
      </c>
      <c r="AK16" s="17"/>
      <c r="AL16" s="17"/>
      <c r="AM16" s="17"/>
      <c r="AN16" s="17"/>
      <c r="AO16" s="17"/>
      <c r="AP16" s="17"/>
      <c r="AQ16" s="17"/>
      <c r="AR16" s="17"/>
      <c r="AS16" s="13"/>
      <c r="AT16" s="13"/>
    </row>
    <row r="17" spans="1:46" x14ac:dyDescent="0.35">
      <c r="A17" s="12">
        <f t="shared" si="0"/>
        <v>45261</v>
      </c>
      <c r="B17" s="13">
        <v>12421.01</v>
      </c>
      <c r="C17" s="13">
        <f>+'Plot Patterns'!$B$16</f>
        <v>0.99553472668649512</v>
      </c>
      <c r="D17" s="13">
        <f t="shared" si="1"/>
        <v>55.711973669044646</v>
      </c>
      <c r="E17" s="13">
        <f t="shared" si="2"/>
        <v>55.711973669044646</v>
      </c>
      <c r="F17" s="13"/>
      <c r="G17" s="50">
        <f t="shared" si="3"/>
        <v>12476.721973669044</v>
      </c>
      <c r="H17" s="53">
        <f t="shared" si="4"/>
        <v>55.7119736690438</v>
      </c>
      <c r="I17" s="45">
        <v>1037.0541075554302</v>
      </c>
      <c r="J17" s="45">
        <f t="shared" si="9"/>
        <v>-981.34213388638636</v>
      </c>
      <c r="K17" s="13">
        <v>69002.143333333326</v>
      </c>
      <c r="L17" s="13">
        <f t="shared" si="5"/>
        <v>18.081644092411594</v>
      </c>
      <c r="M17" s="13">
        <f t="shared" si="6"/>
        <v>18.000904609581454</v>
      </c>
      <c r="N17" s="13">
        <f t="shared" si="7"/>
        <v>8.0739482830139764E-2</v>
      </c>
      <c r="O17" s="13"/>
      <c r="P17" s="13"/>
      <c r="Q17" s="13"/>
      <c r="R17" s="13"/>
      <c r="T17" s="16">
        <f t="shared" si="8"/>
        <v>45261</v>
      </c>
      <c r="U17" s="17"/>
      <c r="V17" s="17"/>
      <c r="W17" s="17"/>
      <c r="X17" s="17">
        <v>1550</v>
      </c>
      <c r="Y17" s="17">
        <v>3550</v>
      </c>
      <c r="Z17" s="17">
        <v>10063</v>
      </c>
      <c r="AA17" s="17">
        <v>10365.81</v>
      </c>
      <c r="AB17" s="17">
        <v>11416.81</v>
      </c>
      <c r="AC17" s="17">
        <v>11416.81</v>
      </c>
      <c r="AD17" s="17">
        <v>11416.81</v>
      </c>
      <c r="AE17" s="17">
        <v>11416.81</v>
      </c>
      <c r="AF17" s="17">
        <v>11416.81</v>
      </c>
      <c r="AG17" s="17">
        <v>11416.81</v>
      </c>
      <c r="AH17" s="17">
        <v>12421.01</v>
      </c>
      <c r="AI17" s="17">
        <v>12421.01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3"/>
      <c r="AT17" s="13"/>
    </row>
    <row r="18" spans="1:46" x14ac:dyDescent="0.35">
      <c r="A18" s="12">
        <f t="shared" si="0"/>
        <v>45292</v>
      </c>
      <c r="B18" s="13">
        <v>27866.78</v>
      </c>
      <c r="C18" s="13">
        <f>+'Plot Patterns'!$B$16</f>
        <v>0.99553472668649512</v>
      </c>
      <c r="D18" s="13">
        <f t="shared" si="1"/>
        <v>124.99090763159033</v>
      </c>
      <c r="E18" s="13">
        <f t="shared" si="2"/>
        <v>124.99090763159033</v>
      </c>
      <c r="F18" s="13"/>
      <c r="G18" s="50">
        <f t="shared" si="3"/>
        <v>27991.770907631588</v>
      </c>
      <c r="H18" s="53">
        <f t="shared" si="4"/>
        <v>124.99090763158893</v>
      </c>
      <c r="I18" s="45">
        <v>2624.020274309516</v>
      </c>
      <c r="J18" s="49">
        <f t="shared" si="9"/>
        <v>-2499.0293666779271</v>
      </c>
      <c r="K18" s="13">
        <v>68422.973333333328</v>
      </c>
      <c r="L18" s="13">
        <f t="shared" si="5"/>
        <v>40.909901373717346</v>
      </c>
      <c r="M18" s="13">
        <f t="shared" si="6"/>
        <v>40.727227482855177</v>
      </c>
      <c r="N18" s="13">
        <f t="shared" si="7"/>
        <v>0.18267389086216923</v>
      </c>
      <c r="O18" s="13"/>
      <c r="P18" s="13"/>
      <c r="Q18" s="13"/>
      <c r="R18" s="13"/>
      <c r="T18" s="16">
        <f t="shared" si="8"/>
        <v>45292</v>
      </c>
      <c r="U18" s="17"/>
      <c r="V18" s="17">
        <v>100</v>
      </c>
      <c r="W18" s="17">
        <v>11107</v>
      </c>
      <c r="X18" s="17">
        <v>14681</v>
      </c>
      <c r="Y18" s="17">
        <v>15160.73</v>
      </c>
      <c r="Z18" s="17">
        <v>15261.78</v>
      </c>
      <c r="AA18" s="42">
        <v>15261.78</v>
      </c>
      <c r="AB18" s="42">
        <v>15261.78</v>
      </c>
      <c r="AC18" s="42">
        <v>15261.78</v>
      </c>
      <c r="AD18" s="42">
        <v>16361.78</v>
      </c>
      <c r="AE18" s="42">
        <v>16361.78</v>
      </c>
      <c r="AF18" s="42">
        <v>27866.78</v>
      </c>
      <c r="AG18" s="42">
        <v>16361.78</v>
      </c>
      <c r="AH18" s="17">
        <v>27866.78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3"/>
      <c r="AT18" s="13"/>
    </row>
    <row r="19" spans="1:46" x14ac:dyDescent="0.35">
      <c r="A19" s="12">
        <f t="shared" si="0"/>
        <v>45323</v>
      </c>
      <c r="B19" s="13">
        <v>21878.86</v>
      </c>
      <c r="C19" s="13">
        <f>+'Plot Patterns'!$B$14</f>
        <v>0.84679856639589601</v>
      </c>
      <c r="D19" s="13">
        <f t="shared" si="1"/>
        <v>3958.2881344374127</v>
      </c>
      <c r="E19" s="13">
        <f t="shared" si="2"/>
        <v>3958.2881344374127</v>
      </c>
      <c r="F19" s="13"/>
      <c r="G19" s="50">
        <f t="shared" si="3"/>
        <v>25837.148134437411</v>
      </c>
      <c r="H19" s="53">
        <f t="shared" si="4"/>
        <v>3958.2881344374109</v>
      </c>
      <c r="I19" s="45">
        <v>1331.6771844412833</v>
      </c>
      <c r="J19" s="49">
        <f t="shared" si="9"/>
        <v>2626.6109499961276</v>
      </c>
      <c r="K19" s="13">
        <v>68103.723333333328</v>
      </c>
      <c r="L19" s="13">
        <f t="shared" si="5"/>
        <v>37.937937707131844</v>
      </c>
      <c r="M19" s="13">
        <f t="shared" si="6"/>
        <v>32.125791262416051</v>
      </c>
      <c r="N19" s="13">
        <f t="shared" si="7"/>
        <v>5.8121464447157933</v>
      </c>
      <c r="O19" s="13">
        <f t="shared" ref="O19:O31" si="10">SUM(G8:G19)/SUM(K8:K19)*100</f>
        <v>30.734770903809132</v>
      </c>
      <c r="P19" s="18"/>
      <c r="Q19" s="13"/>
      <c r="R19" s="13"/>
      <c r="T19" s="16">
        <f t="shared" si="8"/>
        <v>45323</v>
      </c>
      <c r="U19" s="17"/>
      <c r="V19" s="17"/>
      <c r="W19" s="17">
        <v>45</v>
      </c>
      <c r="X19" s="17">
        <v>45</v>
      </c>
      <c r="Y19" s="17">
        <v>3941.6</v>
      </c>
      <c r="Z19" s="17">
        <v>4544.26</v>
      </c>
      <c r="AA19" s="42">
        <v>4544.26</v>
      </c>
      <c r="AB19" s="42">
        <v>4544.26</v>
      </c>
      <c r="AC19" s="42">
        <v>4544.26</v>
      </c>
      <c r="AD19" s="42">
        <v>4544.26</v>
      </c>
      <c r="AE19" s="42">
        <v>21878.86</v>
      </c>
      <c r="AF19" s="42">
        <v>5948.8600000000006</v>
      </c>
      <c r="AG19" s="42">
        <v>21878.86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3"/>
      <c r="AT19" s="13"/>
    </row>
    <row r="20" spans="1:46" x14ac:dyDescent="0.35">
      <c r="A20" s="12">
        <f t="shared" si="0"/>
        <v>45352</v>
      </c>
      <c r="B20" s="13">
        <v>45863.96</v>
      </c>
      <c r="C20" s="13">
        <f>+'Plot Patterns'!$B$13</f>
        <v>0.74673834217322621</v>
      </c>
      <c r="D20" s="13">
        <f t="shared" si="1"/>
        <v>15555.090569336655</v>
      </c>
      <c r="E20" s="13">
        <f t="shared" si="2"/>
        <v>15555.090569336655</v>
      </c>
      <c r="F20" s="13"/>
      <c r="G20" s="50">
        <f t="shared" si="3"/>
        <v>61419.050569336658</v>
      </c>
      <c r="H20" s="53">
        <f t="shared" si="4"/>
        <v>15555.090569336659</v>
      </c>
      <c r="I20" s="45">
        <v>8378.8396869280114</v>
      </c>
      <c r="J20" s="49">
        <f t="shared" si="9"/>
        <v>7176.2508824086472</v>
      </c>
      <c r="K20" s="13">
        <v>67665.975000000006</v>
      </c>
      <c r="L20" s="13">
        <f t="shared" si="5"/>
        <v>90.767997607862227</v>
      </c>
      <c r="M20" s="13">
        <f t="shared" si="6"/>
        <v>67.779944056078406</v>
      </c>
      <c r="N20" s="13">
        <f t="shared" si="7"/>
        <v>22.988053551783821</v>
      </c>
      <c r="O20" s="13">
        <f t="shared" si="10"/>
        <v>34.368276151262513</v>
      </c>
      <c r="P20" s="18">
        <f t="shared" ref="P20:P31" si="11">L20/L8</f>
        <v>2.0568590616801976</v>
      </c>
      <c r="Q20" s="18">
        <f t="shared" ref="Q20:Q31" si="12">K20/K8</f>
        <v>0.91468939382137004</v>
      </c>
      <c r="R20" s="13"/>
      <c r="T20" s="16">
        <f t="shared" si="8"/>
        <v>45352</v>
      </c>
      <c r="U20" s="17"/>
      <c r="V20" s="17">
        <v>15000</v>
      </c>
      <c r="W20" s="17">
        <v>30175</v>
      </c>
      <c r="X20" s="17">
        <v>32627.78</v>
      </c>
      <c r="Y20" s="17">
        <v>40851.97</v>
      </c>
      <c r="Z20" s="17">
        <v>40851.97</v>
      </c>
      <c r="AA20" s="17">
        <v>40851.97</v>
      </c>
      <c r="AB20" s="17">
        <v>40851.97</v>
      </c>
      <c r="AC20" s="17">
        <v>40851.97</v>
      </c>
      <c r="AD20" s="17">
        <v>40851.97</v>
      </c>
      <c r="AE20" s="17">
        <v>45863.96</v>
      </c>
      <c r="AF20" s="17">
        <v>45863.96</v>
      </c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3"/>
      <c r="AT20" s="13"/>
    </row>
    <row r="21" spans="1:46" x14ac:dyDescent="0.35">
      <c r="A21" s="12">
        <f t="shared" si="0"/>
        <v>45383</v>
      </c>
      <c r="B21" s="13">
        <v>22450.78</v>
      </c>
      <c r="C21" s="13">
        <f>+'Plot Patterns'!$B$12</f>
        <v>0.75634596072452598</v>
      </c>
      <c r="D21" s="13">
        <f t="shared" si="1"/>
        <v>7232.4353086316978</v>
      </c>
      <c r="E21" s="13">
        <f t="shared" si="2"/>
        <v>7232.4353086316978</v>
      </c>
      <c r="F21" s="13"/>
      <c r="G21" s="50">
        <f t="shared" si="3"/>
        <v>29683.215308631698</v>
      </c>
      <c r="H21" s="53">
        <f t="shared" si="4"/>
        <v>7232.4353086316987</v>
      </c>
      <c r="I21" s="45">
        <v>8745.7346183190966</v>
      </c>
      <c r="J21" s="49">
        <f t="shared" si="9"/>
        <v>-1513.2993096873979</v>
      </c>
      <c r="K21" s="13">
        <v>67122.17333333334</v>
      </c>
      <c r="L21" s="13">
        <f t="shared" si="5"/>
        <v>44.222667167260518</v>
      </c>
      <c r="M21" s="13">
        <f t="shared" si="6"/>
        <v>33.447635684422607</v>
      </c>
      <c r="N21" s="13">
        <f t="shared" si="7"/>
        <v>10.77503148283791</v>
      </c>
      <c r="O21" s="13">
        <f t="shared" si="10"/>
        <v>36.607434159254055</v>
      </c>
      <c r="P21" s="18">
        <f t="shared" si="11"/>
        <v>2.4769163071409892</v>
      </c>
      <c r="Q21" s="18">
        <f t="shared" si="12"/>
        <v>0.91113150387088848</v>
      </c>
      <c r="R21" s="13"/>
      <c r="T21" s="16">
        <f t="shared" si="8"/>
        <v>45383</v>
      </c>
      <c r="U21" s="17"/>
      <c r="V21" s="17">
        <v>350</v>
      </c>
      <c r="W21" s="17">
        <v>350</v>
      </c>
      <c r="X21" s="17">
        <v>591</v>
      </c>
      <c r="Y21" s="17">
        <v>591</v>
      </c>
      <c r="Z21" s="17">
        <v>591</v>
      </c>
      <c r="AA21" s="17">
        <v>10689.63</v>
      </c>
      <c r="AB21" s="17">
        <v>10689.63</v>
      </c>
      <c r="AC21" s="17">
        <v>21443.08</v>
      </c>
      <c r="AD21" s="17">
        <v>21050.78</v>
      </c>
      <c r="AE21" s="17">
        <v>22450.78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3"/>
      <c r="AT21" s="13"/>
    </row>
    <row r="22" spans="1:46" x14ac:dyDescent="0.35">
      <c r="A22" s="12">
        <f t="shared" si="0"/>
        <v>45413</v>
      </c>
      <c r="B22" s="13">
        <v>54604.290000000008</v>
      </c>
      <c r="C22" s="13">
        <f>+'Plot Patterns'!$B$11</f>
        <v>0.68465101340703094</v>
      </c>
      <c r="D22" s="13">
        <f t="shared" si="1"/>
        <v>25150.634670705604</v>
      </c>
      <c r="E22" s="13">
        <f t="shared" si="2"/>
        <v>25150.634670705604</v>
      </c>
      <c r="F22" s="13"/>
      <c r="G22" s="50">
        <f t="shared" si="3"/>
        <v>79754.924670705615</v>
      </c>
      <c r="H22" s="53">
        <f t="shared" si="4"/>
        <v>25150.634670705607</v>
      </c>
      <c r="I22" s="45">
        <v>15291.914200360647</v>
      </c>
      <c r="J22" s="49">
        <f t="shared" si="9"/>
        <v>9858.7204703449606</v>
      </c>
      <c r="K22" s="13">
        <v>66819.176666666666</v>
      </c>
      <c r="L22" s="13">
        <f t="shared" si="5"/>
        <v>119.35933462420536</v>
      </c>
      <c r="M22" s="13">
        <f t="shared" si="6"/>
        <v>81.719489410051111</v>
      </c>
      <c r="N22" s="13">
        <f t="shared" si="7"/>
        <v>37.639845214154249</v>
      </c>
      <c r="O22" s="13">
        <f t="shared" si="10"/>
        <v>45.062474243445415</v>
      </c>
      <c r="P22" s="18">
        <f t="shared" si="11"/>
        <v>7.4761473391535178</v>
      </c>
      <c r="Q22" s="18">
        <f t="shared" si="12"/>
        <v>0.91406832252431347</v>
      </c>
      <c r="R22" s="13"/>
      <c r="T22" s="16">
        <f t="shared" si="8"/>
        <v>45413</v>
      </c>
      <c r="U22" s="17"/>
      <c r="V22" s="17"/>
      <c r="W22" s="17">
        <v>20810</v>
      </c>
      <c r="X22" s="17">
        <v>20810</v>
      </c>
      <c r="Y22" s="17">
        <v>25881.51</v>
      </c>
      <c r="Z22" s="17">
        <v>26866.34</v>
      </c>
      <c r="AA22" s="42">
        <v>31894.29</v>
      </c>
      <c r="AB22" s="42">
        <v>54604.290000000008</v>
      </c>
      <c r="AC22" s="42">
        <v>36019.290000000008</v>
      </c>
      <c r="AD22" s="42">
        <v>54604.290000000008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3"/>
      <c r="AT22" s="13"/>
    </row>
    <row r="23" spans="1:46" x14ac:dyDescent="0.35">
      <c r="A23" s="12">
        <f t="shared" si="0"/>
        <v>45444</v>
      </c>
      <c r="B23" s="13">
        <v>5947.33</v>
      </c>
      <c r="C23" s="13">
        <f>+'Plot Patterns'!$B$10</f>
        <v>0.63954251319647681</v>
      </c>
      <c r="D23" s="13">
        <f t="shared" si="1"/>
        <v>3352.0205158474005</v>
      </c>
      <c r="E23" s="13">
        <f t="shared" si="2"/>
        <v>3352.0205158474005</v>
      </c>
      <c r="F23" s="13"/>
      <c r="G23" s="50">
        <f t="shared" si="3"/>
        <v>9299.3505158473999</v>
      </c>
      <c r="H23" s="53">
        <f t="shared" si="4"/>
        <v>3352.0205158474</v>
      </c>
      <c r="I23" s="45">
        <v>2142.4539905632519</v>
      </c>
      <c r="J23" s="49">
        <f t="shared" si="9"/>
        <v>1209.5665252841482</v>
      </c>
      <c r="K23" s="13">
        <v>66590.506666666668</v>
      </c>
      <c r="L23" s="13">
        <f t="shared" si="5"/>
        <v>13.964979366199044</v>
      </c>
      <c r="M23" s="13">
        <f t="shared" si="6"/>
        <v>8.9311980005958809</v>
      </c>
      <c r="N23" s="13">
        <f t="shared" si="7"/>
        <v>5.0337813656031631</v>
      </c>
      <c r="O23" s="13">
        <f t="shared" si="10"/>
        <v>42.86422554132416</v>
      </c>
      <c r="P23" s="18">
        <f t="shared" si="11"/>
        <v>0.33598912236468487</v>
      </c>
      <c r="Q23" s="18">
        <f t="shared" si="12"/>
        <v>0.91645583667355446</v>
      </c>
      <c r="R23" s="13"/>
      <c r="T23" s="16">
        <f t="shared" si="8"/>
        <v>45444</v>
      </c>
      <c r="U23" s="17"/>
      <c r="V23" s="17"/>
      <c r="W23" s="17"/>
      <c r="X23" s="17"/>
      <c r="Y23" s="17"/>
      <c r="Z23" s="17"/>
      <c r="AA23" s="17">
        <v>947.32999999999993</v>
      </c>
      <c r="AB23" s="17">
        <v>5947.33</v>
      </c>
      <c r="AC23" s="17">
        <v>5947.33</v>
      </c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3"/>
      <c r="AT23" s="13"/>
    </row>
    <row r="24" spans="1:46" x14ac:dyDescent="0.35">
      <c r="A24" s="12">
        <f t="shared" si="0"/>
        <v>45474</v>
      </c>
      <c r="B24" s="13">
        <v>1183.1500000000001</v>
      </c>
      <c r="C24" s="13">
        <f>+'Plot Patterns'!$B$9</f>
        <v>0.65244724698730672</v>
      </c>
      <c r="D24" s="13">
        <f t="shared" si="1"/>
        <v>630.25331415793096</v>
      </c>
      <c r="E24" s="13">
        <f t="shared" si="2"/>
        <v>630.25331415793096</v>
      </c>
      <c r="F24" s="19">
        <v>0</v>
      </c>
      <c r="G24" s="50">
        <f t="shared" si="3"/>
        <v>1813.4033141579312</v>
      </c>
      <c r="H24" s="53">
        <f t="shared" si="4"/>
        <v>630.25331415793107</v>
      </c>
      <c r="I24" s="45">
        <v>776.44012571770372</v>
      </c>
      <c r="J24" s="45">
        <f t="shared" si="9"/>
        <v>-146.18681155977265</v>
      </c>
      <c r="K24" s="13">
        <v>66219.250833333339</v>
      </c>
      <c r="L24" s="13">
        <f t="shared" si="5"/>
        <v>2.7384835849654507</v>
      </c>
      <c r="M24" s="13">
        <f t="shared" si="6"/>
        <v>1.7867160759306384</v>
      </c>
      <c r="N24" s="13">
        <f t="shared" si="7"/>
        <v>0.95176750903481233</v>
      </c>
      <c r="O24" s="13">
        <f t="shared" si="10"/>
        <v>40.699779546285058</v>
      </c>
      <c r="P24" s="18">
        <f t="shared" si="11"/>
        <v>8.941669207696204E-2</v>
      </c>
      <c r="Q24" s="18">
        <f t="shared" si="12"/>
        <v>0.9199443692704774</v>
      </c>
      <c r="R24" s="13"/>
      <c r="T24" s="16">
        <f t="shared" si="8"/>
        <v>45474</v>
      </c>
      <c r="U24" s="17"/>
      <c r="V24" s="17"/>
      <c r="W24" s="17">
        <v>200</v>
      </c>
      <c r="X24" s="17">
        <v>581.87</v>
      </c>
      <c r="Y24" s="17">
        <v>661.87</v>
      </c>
      <c r="Z24" s="17">
        <v>1183.1500000000001</v>
      </c>
      <c r="AA24" s="17">
        <v>1183.1500000000001</v>
      </c>
      <c r="AB24" s="17">
        <v>1183.1500000000001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3"/>
      <c r="AT24" s="13"/>
    </row>
    <row r="25" spans="1:46" x14ac:dyDescent="0.35">
      <c r="A25" s="12">
        <f t="shared" si="0"/>
        <v>45505</v>
      </c>
      <c r="B25" s="13">
        <v>15585.9</v>
      </c>
      <c r="C25" s="13">
        <f>+'Plot Patterns'!$B$8</f>
        <v>0.57631767404078937</v>
      </c>
      <c r="D25" s="13">
        <f t="shared" si="1"/>
        <v>11458.038962900684</v>
      </c>
      <c r="E25" s="13">
        <f t="shared" si="2"/>
        <v>11458.038962900684</v>
      </c>
      <c r="F25" s="19">
        <v>0</v>
      </c>
      <c r="G25" s="50">
        <f t="shared" si="3"/>
        <v>27043.938962900684</v>
      </c>
      <c r="H25" s="53">
        <f t="shared" si="4"/>
        <v>11458.038962900684</v>
      </c>
      <c r="I25" s="45">
        <v>14382.283113168292</v>
      </c>
      <c r="J25" s="45">
        <f t="shared" si="9"/>
        <v>-2924.2441502676083</v>
      </c>
      <c r="K25" s="13">
        <v>65710.082500000004</v>
      </c>
      <c r="L25" s="13">
        <f t="shared" si="5"/>
        <v>41.156452608168138</v>
      </c>
      <c r="M25" s="13">
        <f t="shared" si="6"/>
        <v>23.719191038909436</v>
      </c>
      <c r="N25" s="13">
        <f t="shared" si="7"/>
        <v>17.437261569258702</v>
      </c>
      <c r="O25" s="13">
        <f t="shared" si="10"/>
        <v>40.692234784909218</v>
      </c>
      <c r="P25" s="18">
        <f t="shared" si="11"/>
        <v>0.99874709883120649</v>
      </c>
      <c r="Q25" s="18">
        <f t="shared" si="12"/>
        <v>0.92372981745077765</v>
      </c>
      <c r="R25" s="13"/>
      <c r="T25" s="16">
        <f t="shared" si="8"/>
        <v>45505</v>
      </c>
      <c r="U25" s="17"/>
      <c r="V25" s="17"/>
      <c r="W25" s="17">
        <v>6524.6399999999994</v>
      </c>
      <c r="X25" s="17">
        <v>7124.6399999999994</v>
      </c>
      <c r="Y25" s="17">
        <v>15585.9</v>
      </c>
      <c r="Z25" s="17">
        <v>15585.9</v>
      </c>
      <c r="AA25" s="17">
        <v>15585.9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3"/>
      <c r="AT25" s="13"/>
    </row>
    <row r="26" spans="1:46" x14ac:dyDescent="0.35">
      <c r="A26" s="12">
        <f t="shared" si="0"/>
        <v>45536</v>
      </c>
      <c r="B26" s="13">
        <v>18407.560000000001</v>
      </c>
      <c r="C26" s="13">
        <f>+'Plot Patterns'!$B$7</f>
        <v>0.50721597656891615</v>
      </c>
      <c r="D26" s="13">
        <f t="shared" si="1"/>
        <v>17883.804724981095</v>
      </c>
      <c r="E26" s="13">
        <f t="shared" si="2"/>
        <v>17883.804724981095</v>
      </c>
      <c r="F26" s="19">
        <v>0</v>
      </c>
      <c r="G26" s="50">
        <f t="shared" si="3"/>
        <v>36291.364724981097</v>
      </c>
      <c r="H26" s="53">
        <f t="shared" si="4"/>
        <v>17883.804724981095</v>
      </c>
      <c r="I26" s="45">
        <v>18710.981378147098</v>
      </c>
      <c r="J26" s="45">
        <f t="shared" si="9"/>
        <v>-827.17665316600323</v>
      </c>
      <c r="K26" s="13">
        <v>65527.215833333328</v>
      </c>
      <c r="L26" s="13">
        <f t="shared" si="5"/>
        <v>55.383651301906653</v>
      </c>
      <c r="M26" s="13">
        <f t="shared" si="6"/>
        <v>28.091472781048903</v>
      </c>
      <c r="N26" s="13">
        <f t="shared" si="7"/>
        <v>27.29217852085775</v>
      </c>
      <c r="O26" s="13">
        <f t="shared" si="10"/>
        <v>43.178595626871697</v>
      </c>
      <c r="P26" s="18">
        <f t="shared" si="11"/>
        <v>2.1536620425505566</v>
      </c>
      <c r="Q26" s="18">
        <f t="shared" si="12"/>
        <v>0.93251085170879711</v>
      </c>
      <c r="R26" s="13"/>
      <c r="T26" s="16">
        <f t="shared" si="8"/>
        <v>45536</v>
      </c>
      <c r="U26" s="17"/>
      <c r="V26" s="17"/>
      <c r="W26" s="17">
        <v>5300</v>
      </c>
      <c r="X26" s="17">
        <v>8407.5600000000013</v>
      </c>
      <c r="Y26" s="17">
        <v>18407.560000000001</v>
      </c>
      <c r="Z26" s="17">
        <v>18407.560000000001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3"/>
      <c r="AT26" s="13"/>
    </row>
    <row r="27" spans="1:46" x14ac:dyDescent="0.35">
      <c r="A27" s="12">
        <f t="shared" si="0"/>
        <v>45566</v>
      </c>
      <c r="B27" s="13">
        <v>20211.5</v>
      </c>
      <c r="C27" s="13">
        <f>+'Plot Patterns'!$B$6</f>
        <v>0.46090539499833988</v>
      </c>
      <c r="D27" s="13">
        <f t="shared" si="1"/>
        <v>23640.23230630724</v>
      </c>
      <c r="E27" s="13">
        <f t="shared" si="2"/>
        <v>23640.23230630724</v>
      </c>
      <c r="F27" s="19">
        <v>0</v>
      </c>
      <c r="G27" s="50">
        <f t="shared" si="3"/>
        <v>43851.73230630724</v>
      </c>
      <c r="H27" s="53">
        <f t="shared" si="4"/>
        <v>23640.23230630724</v>
      </c>
      <c r="I27" s="45">
        <v>363.27249747785004</v>
      </c>
      <c r="J27" s="48">
        <f t="shared" si="9"/>
        <v>23276.95980882939</v>
      </c>
      <c r="K27" s="13">
        <v>64982.709166666667</v>
      </c>
      <c r="L27" s="13">
        <f t="shared" si="5"/>
        <v>67.482154666462094</v>
      </c>
      <c r="M27" s="13">
        <f t="shared" si="6"/>
        <v>31.102889151884778</v>
      </c>
      <c r="N27" s="13">
        <f t="shared" si="7"/>
        <v>36.379265514577313</v>
      </c>
      <c r="O27" s="13">
        <f t="shared" si="10"/>
        <v>45.560360842114996</v>
      </c>
      <c r="P27" s="18">
        <f t="shared" si="11"/>
        <v>1.7614998692712238</v>
      </c>
      <c r="Q27" s="18">
        <f t="shared" si="12"/>
        <v>0.93164290651770876</v>
      </c>
      <c r="R27" s="13"/>
      <c r="T27" s="16">
        <f t="shared" si="8"/>
        <v>45566</v>
      </c>
      <c r="U27" s="17"/>
      <c r="V27" s="17"/>
      <c r="W27" s="17">
        <v>175</v>
      </c>
      <c r="X27" s="17">
        <v>175</v>
      </c>
      <c r="Y27" s="17">
        <v>20211.5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3"/>
      <c r="AT27" s="13"/>
    </row>
    <row r="28" spans="1:46" x14ac:dyDescent="0.35">
      <c r="A28" s="12">
        <f t="shared" si="0"/>
        <v>45597</v>
      </c>
      <c r="B28" s="13">
        <v>32282.5</v>
      </c>
      <c r="C28" s="13">
        <f>+'Plot Patterns'!$B$5</f>
        <v>0.32829959634611511</v>
      </c>
      <c r="D28" s="13">
        <f t="shared" si="1"/>
        <v>66049.938904267372</v>
      </c>
      <c r="E28" s="13">
        <f t="shared" si="2"/>
        <v>66049.938904267372</v>
      </c>
      <c r="F28" s="19">
        <v>0</v>
      </c>
      <c r="G28" s="50">
        <f t="shared" si="3"/>
        <v>98332.438904267372</v>
      </c>
      <c r="H28" s="53">
        <f t="shared" si="4"/>
        <v>66049.938904267372</v>
      </c>
      <c r="I28" s="45">
        <v>3721</v>
      </c>
      <c r="J28" s="48">
        <f t="shared" si="9"/>
        <v>62328.938904267372</v>
      </c>
      <c r="K28" s="13">
        <v>64918.209166666667</v>
      </c>
      <c r="L28" s="13">
        <f t="shared" si="5"/>
        <v>151.47127464932873</v>
      </c>
      <c r="M28" s="13">
        <f t="shared" si="6"/>
        <v>49.727958325406156</v>
      </c>
      <c r="N28" s="13">
        <f t="shared" si="7"/>
        <v>101.74331632392258</v>
      </c>
      <c r="O28" s="13">
        <f t="shared" si="10"/>
        <v>56.647615163737633</v>
      </c>
      <c r="P28" s="18">
        <f t="shared" si="11"/>
        <v>9.071283151366675</v>
      </c>
      <c r="Q28" s="18">
        <f t="shared" si="12"/>
        <v>0.93391903011300614</v>
      </c>
      <c r="R28" s="20"/>
      <c r="T28" s="16">
        <f t="shared" si="8"/>
        <v>45597</v>
      </c>
      <c r="U28" s="17"/>
      <c r="V28" s="17"/>
      <c r="W28" s="17">
        <v>22246</v>
      </c>
      <c r="X28" s="17">
        <v>32282.5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3"/>
      <c r="AT28" s="13"/>
    </row>
    <row r="29" spans="1:46" x14ac:dyDescent="0.35">
      <c r="A29" s="12">
        <f t="shared" si="0"/>
        <v>45627</v>
      </c>
      <c r="B29" s="13"/>
      <c r="C29" s="13">
        <f>+'Plot Patterns'!$B$4</f>
        <v>0.26245256549959772</v>
      </c>
      <c r="D29" s="13">
        <f t="shared" si="1"/>
        <v>0</v>
      </c>
      <c r="E29" s="13">
        <f t="shared" si="2"/>
        <v>0</v>
      </c>
      <c r="F29" s="50">
        <f>ROUND(+K29*L29/100,0)-D29-B29</f>
        <v>25942</v>
      </c>
      <c r="G29" s="50">
        <f t="shared" si="3"/>
        <v>25942</v>
      </c>
      <c r="H29" s="53">
        <f t="shared" si="4"/>
        <v>25942</v>
      </c>
      <c r="I29" s="45">
        <v>25942</v>
      </c>
      <c r="J29" s="45">
        <f t="shared" si="9"/>
        <v>0</v>
      </c>
      <c r="K29" s="13">
        <v>64856.215833333343</v>
      </c>
      <c r="L29" s="19">
        <v>40</v>
      </c>
      <c r="M29" s="13">
        <f t="shared" si="6"/>
        <v>0</v>
      </c>
      <c r="N29" s="13">
        <f t="shared" si="7"/>
        <v>40</v>
      </c>
      <c r="O29" s="13">
        <f t="shared" si="10"/>
        <v>58.631940529242002</v>
      </c>
      <c r="P29" s="18">
        <f t="shared" si="11"/>
        <v>2.2121882167112772</v>
      </c>
      <c r="Q29" s="18">
        <f t="shared" si="12"/>
        <v>0.9399159605815145</v>
      </c>
      <c r="R29" s="13"/>
      <c r="T29" s="16">
        <f t="shared" si="8"/>
        <v>45627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3"/>
      <c r="AT29" s="13"/>
    </row>
    <row r="30" spans="1:46" x14ac:dyDescent="0.35">
      <c r="A30" s="12">
        <f t="shared" si="0"/>
        <v>45658</v>
      </c>
      <c r="B30" s="13">
        <v>50000</v>
      </c>
      <c r="C30" s="13">
        <f>+'Plot Patterns'!$B$3</f>
        <v>0.13457727094752481</v>
      </c>
      <c r="D30" s="13">
        <f t="shared" si="1"/>
        <v>321533.76382179948</v>
      </c>
      <c r="E30" s="13">
        <f t="shared" si="2"/>
        <v>321533.76382179948</v>
      </c>
      <c r="F30" s="50">
        <f>ROUND(+K30*L30/100,0)-D30-B30</f>
        <v>-345884.76382179948</v>
      </c>
      <c r="G30" s="50">
        <f t="shared" si="3"/>
        <v>25649</v>
      </c>
      <c r="H30" s="53">
        <f t="shared" si="4"/>
        <v>-24351</v>
      </c>
      <c r="I30" s="45">
        <v>-24351</v>
      </c>
      <c r="J30" s="45">
        <f t="shared" si="9"/>
        <v>0</v>
      </c>
      <c r="K30" s="13">
        <v>64123.19</v>
      </c>
      <c r="L30" s="19">
        <v>40</v>
      </c>
      <c r="M30" s="13">
        <f t="shared" si="6"/>
        <v>77.974910480904029</v>
      </c>
      <c r="N30" s="13">
        <f t="shared" si="7"/>
        <v>-37.974910480904029</v>
      </c>
      <c r="O30" s="13">
        <f t="shared" si="10"/>
        <v>58.654431931738024</v>
      </c>
      <c r="P30" s="18">
        <f t="shared" si="11"/>
        <v>0.97775840705639261</v>
      </c>
      <c r="Q30" s="18">
        <f t="shared" si="12"/>
        <v>0.93715877688643767</v>
      </c>
      <c r="R30" s="13"/>
      <c r="T30" s="16">
        <f t="shared" si="8"/>
        <v>45658</v>
      </c>
      <c r="U30" s="17">
        <v>50000</v>
      </c>
      <c r="V30" s="17">
        <v>50000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3"/>
      <c r="AT30" s="13"/>
    </row>
    <row r="31" spans="1:46" x14ac:dyDescent="0.35">
      <c r="A31" s="12">
        <f>DATE(YEAR(H4),MONTH(H4),1)</f>
        <v>45689</v>
      </c>
      <c r="B31" s="13"/>
      <c r="C31" s="13">
        <f>+'Plot Patterns'!$B$2</f>
        <v>0.13329981439292601</v>
      </c>
      <c r="D31" s="13">
        <f t="shared" si="1"/>
        <v>0</v>
      </c>
      <c r="E31" s="13">
        <f t="shared" si="2"/>
        <v>0</v>
      </c>
      <c r="F31" s="50">
        <f>ROUND(+K31*L31/100,0)-D31-B31</f>
        <v>25276</v>
      </c>
      <c r="G31" s="50">
        <f t="shared" si="3"/>
        <v>25276</v>
      </c>
      <c r="H31" s="53">
        <f t="shared" si="4"/>
        <v>25276</v>
      </c>
      <c r="I31" s="45"/>
      <c r="J31" s="45"/>
      <c r="K31" s="13">
        <v>63189.121666666673</v>
      </c>
      <c r="L31" s="19">
        <v>40</v>
      </c>
      <c r="M31" s="13">
        <f t="shared" si="6"/>
        <v>0</v>
      </c>
      <c r="N31" s="13">
        <f t="shared" si="7"/>
        <v>40</v>
      </c>
      <c r="O31" s="13">
        <f t="shared" si="10"/>
        <v>58.949139731129755</v>
      </c>
      <c r="P31" s="18">
        <f t="shared" si="11"/>
        <v>1.0543535684197329</v>
      </c>
      <c r="Q31" s="18">
        <f t="shared" si="12"/>
        <v>0.92783652014718543</v>
      </c>
      <c r="R31" s="13"/>
      <c r="T31" s="16">
        <f t="shared" si="8"/>
        <v>45689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3"/>
      <c r="AT31" s="13"/>
    </row>
    <row r="32" spans="1:46" x14ac:dyDescent="0.35">
      <c r="H32" s="21" t="s">
        <v>61</v>
      </c>
      <c r="I32" s="46"/>
      <c r="J32" s="46"/>
      <c r="T32" t="s">
        <v>36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3:43" x14ac:dyDescent="0.35">
      <c r="C33" s="17"/>
      <c r="D33" s="13"/>
      <c r="E33" s="13"/>
      <c r="F33" s="13"/>
      <c r="G33" s="13"/>
      <c r="H33" s="14">
        <f>SUM(H8:H31)</f>
        <v>201976.93031478539</v>
      </c>
      <c r="I33" s="14">
        <f>SUM(I8:I31)</f>
        <v>79184.307753484652</v>
      </c>
      <c r="J33" s="14">
        <f>SUM(J8:J31)</f>
        <v>97516.622561300741</v>
      </c>
      <c r="K33" s="13"/>
      <c r="L33" s="22">
        <f>SUM(G20:G31)/SUM(K20:K31)</f>
        <v>0.58949139731129752</v>
      </c>
      <c r="M33" s="13"/>
      <c r="N33" s="13"/>
      <c r="O33" s="16"/>
    </row>
    <row r="34" spans="3:43" x14ac:dyDescent="0.35">
      <c r="C34" s="17"/>
      <c r="D34" s="13"/>
      <c r="G34" t="str">
        <f>IF(ABS(+B33+E33+F33-G33)&gt;0.005,B33+E33+F33,"  ")</f>
        <v xml:space="preserve">  </v>
      </c>
      <c r="H34" s="21"/>
      <c r="I34" s="46"/>
      <c r="J34" s="46"/>
      <c r="L34" s="23"/>
      <c r="O34" s="16"/>
    </row>
    <row r="35" spans="3:43" x14ac:dyDescent="0.35">
      <c r="C35" s="17"/>
      <c r="D35" s="13"/>
      <c r="H35" s="24">
        <v>7.4999999999999997E-2</v>
      </c>
      <c r="I35" s="47"/>
      <c r="J35" s="47"/>
      <c r="L35" s="23"/>
    </row>
    <row r="36" spans="3:43" x14ac:dyDescent="0.35">
      <c r="C36" s="17"/>
      <c r="D36" s="13"/>
      <c r="F36" s="23"/>
      <c r="H36" s="25">
        <f>H33*(1+H35)</f>
        <v>217125.20008839428</v>
      </c>
      <c r="I36" s="25"/>
      <c r="J36" s="25"/>
      <c r="K36" s="26"/>
      <c r="L36" s="27"/>
      <c r="M36" s="27"/>
      <c r="T36" s="31"/>
    </row>
    <row r="37" spans="3:43" x14ac:dyDescent="0.35">
      <c r="C37" s="17"/>
      <c r="D37" s="13"/>
      <c r="O37" s="16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3:43" x14ac:dyDescent="0.35">
      <c r="C38" s="17"/>
      <c r="D38" s="13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3:43" x14ac:dyDescent="0.35">
      <c r="C39" s="17"/>
      <c r="D39" s="13"/>
      <c r="F39" s="10"/>
      <c r="H39" s="28"/>
      <c r="I39" s="28"/>
      <c r="J39" s="28"/>
      <c r="K39" s="28"/>
      <c r="L39" s="28"/>
      <c r="M39" s="28"/>
      <c r="N39" s="29"/>
      <c r="O39" s="30"/>
      <c r="P39" s="3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3:43" x14ac:dyDescent="0.35">
      <c r="C40" s="17"/>
      <c r="D40" s="13"/>
      <c r="H40" s="28"/>
      <c r="I40" s="28"/>
      <c r="J40" s="28"/>
      <c r="K40" s="28"/>
      <c r="L40" s="28"/>
      <c r="M40" s="28"/>
      <c r="N40" s="29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</row>
    <row r="41" spans="3:43" x14ac:dyDescent="0.35">
      <c r="C41" s="17"/>
      <c r="D41" s="13"/>
    </row>
    <row r="42" spans="3:43" x14ac:dyDescent="0.35">
      <c r="C42" s="17"/>
      <c r="D42" s="13"/>
      <c r="H42" s="17"/>
      <c r="I42" s="17"/>
      <c r="J42" s="17"/>
      <c r="K42" s="17"/>
      <c r="L42" s="17"/>
      <c r="M42" s="17"/>
      <c r="N42" s="29"/>
      <c r="O42" s="23"/>
    </row>
    <row r="43" spans="3:43" x14ac:dyDescent="0.35">
      <c r="C43" s="17"/>
      <c r="D43" s="13"/>
      <c r="H43" s="17"/>
      <c r="I43" s="17"/>
      <c r="J43" s="17"/>
      <c r="K43" s="17"/>
      <c r="L43" s="17"/>
      <c r="M43" s="17"/>
      <c r="N43" s="29"/>
      <c r="O43" s="23"/>
      <c r="P43" s="23"/>
    </row>
    <row r="44" spans="3:43" x14ac:dyDescent="0.35">
      <c r="C44" s="17"/>
      <c r="D44" s="13"/>
    </row>
    <row r="45" spans="3:43" x14ac:dyDescent="0.35">
      <c r="C45" s="17"/>
      <c r="D45" s="13"/>
      <c r="H45" s="30"/>
      <c r="I45" s="30"/>
      <c r="J45" s="30"/>
      <c r="K45" s="27"/>
    </row>
    <row r="46" spans="3:43" x14ac:dyDescent="0.35">
      <c r="C46" s="17"/>
      <c r="D46" s="13"/>
      <c r="H46" s="30"/>
      <c r="I46" s="30"/>
      <c r="J46" s="30"/>
      <c r="K46" s="27"/>
    </row>
    <row r="47" spans="3:43" x14ac:dyDescent="0.35">
      <c r="C47" s="17"/>
      <c r="D47" s="13"/>
      <c r="H47" s="30"/>
      <c r="I47" s="30"/>
      <c r="J47" s="30"/>
    </row>
    <row r="48" spans="3:43" x14ac:dyDescent="0.35">
      <c r="C48" s="17"/>
      <c r="D48" s="13"/>
    </row>
    <row r="50" spans="8:11" x14ac:dyDescent="0.35">
      <c r="H50" s="23"/>
      <c r="I50" s="23"/>
      <c r="J50" s="23"/>
    </row>
    <row r="51" spans="8:11" x14ac:dyDescent="0.35">
      <c r="H51" s="23"/>
      <c r="I51" s="23"/>
      <c r="J51" s="23"/>
    </row>
    <row r="52" spans="8:11" x14ac:dyDescent="0.35">
      <c r="H52" s="23"/>
      <c r="I52" s="23"/>
      <c r="J52" s="23"/>
      <c r="K52" s="23"/>
    </row>
    <row r="53" spans="8:11" x14ac:dyDescent="0.35">
      <c r="H53" s="23"/>
      <c r="I53" s="23"/>
      <c r="J53" s="23"/>
    </row>
    <row r="54" spans="8:11" x14ac:dyDescent="0.35">
      <c r="H54" s="23"/>
      <c r="I54" s="23"/>
      <c r="J54" s="23"/>
    </row>
  </sheetData>
  <mergeCells count="1">
    <mergeCell ref="L4:O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B994-393A-4F47-A72A-5DD28FF41719}">
  <dimension ref="A4:AT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F40" sqref="F40"/>
    </sheetView>
  </sheetViews>
  <sheetFormatPr defaultRowHeight="14.5" x14ac:dyDescent="0.35"/>
  <cols>
    <col min="1" max="1" width="10.81640625" bestFit="1" customWidth="1"/>
    <col min="2" max="2" width="13.1796875" bestFit="1" customWidth="1"/>
    <col min="3" max="3" width="12.1796875" bestFit="1" customWidth="1"/>
    <col min="4" max="5" width="14.1796875" bestFit="1" customWidth="1"/>
    <col min="6" max="6" width="15" bestFit="1" customWidth="1"/>
    <col min="7" max="7" width="14.1796875" bestFit="1" customWidth="1"/>
    <col min="8" max="8" width="13.54296875" bestFit="1" customWidth="1"/>
    <col min="9" max="10" width="13.54296875" customWidth="1"/>
    <col min="11" max="11" width="14.453125" bestFit="1" customWidth="1"/>
    <col min="12" max="12" width="16.54296875" bestFit="1" customWidth="1"/>
    <col min="13" max="15" width="12.1796875" bestFit="1" customWidth="1"/>
    <col min="16" max="16" width="10.54296875" bestFit="1" customWidth="1"/>
    <col min="17" max="17" width="13.54296875" bestFit="1" customWidth="1"/>
    <col min="18" max="18" width="27.1796875" bestFit="1" customWidth="1"/>
    <col min="19" max="19" width="7.1796875" customWidth="1"/>
    <col min="20" max="20" width="10.1796875" customWidth="1"/>
    <col min="21" max="42" width="11.54296875" bestFit="1" customWidth="1"/>
    <col min="43" max="44" width="10.54296875" bestFit="1" customWidth="1"/>
    <col min="45" max="46" width="11.54296875" bestFit="1" customWidth="1"/>
    <col min="48" max="48" width="10.1796875" bestFit="1" customWidth="1"/>
  </cols>
  <sheetData>
    <row r="4" spans="1:46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51">
        <v>45716</v>
      </c>
      <c r="I4" s="8">
        <v>45688</v>
      </c>
      <c r="J4" s="43"/>
      <c r="L4" s="36" t="s">
        <v>39</v>
      </c>
      <c r="M4" s="37"/>
      <c r="N4" s="37"/>
      <c r="O4" s="38"/>
    </row>
    <row r="5" spans="1:46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52" t="s">
        <v>43</v>
      </c>
      <c r="I5" s="9" t="s">
        <v>43</v>
      </c>
      <c r="J5" s="44"/>
      <c r="N5" s="7" t="s">
        <v>45</v>
      </c>
      <c r="O5" s="7" t="s">
        <v>46</v>
      </c>
    </row>
    <row r="6" spans="1:46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52" t="s">
        <v>49</v>
      </c>
      <c r="I6" s="9" t="s">
        <v>49</v>
      </c>
      <c r="J6" s="44" t="s">
        <v>67</v>
      </c>
      <c r="K6" s="7" t="s">
        <v>51</v>
      </c>
      <c r="L6" s="7" t="s">
        <v>45</v>
      </c>
      <c r="M6" s="7" t="s">
        <v>47</v>
      </c>
      <c r="N6" s="7" t="s">
        <v>52</v>
      </c>
      <c r="O6" s="7" t="s">
        <v>53</v>
      </c>
      <c r="U6" s="7" t="s">
        <v>54</v>
      </c>
      <c r="AT6" s="7" t="s">
        <v>55</v>
      </c>
    </row>
    <row r="7" spans="1:46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52" t="s">
        <v>17</v>
      </c>
      <c r="I7" s="44"/>
      <c r="J7" s="44"/>
      <c r="K7" s="7" t="s">
        <v>58</v>
      </c>
      <c r="L7" s="7" t="s">
        <v>58</v>
      </c>
      <c r="M7" s="7" t="s">
        <v>57</v>
      </c>
      <c r="N7" s="7" t="s">
        <v>58</v>
      </c>
      <c r="O7" s="7" t="s">
        <v>59</v>
      </c>
      <c r="T7" s="10" t="s">
        <v>60</v>
      </c>
      <c r="U7" s="11">
        <f>T8</f>
        <v>44986</v>
      </c>
      <c r="V7" s="11">
        <f>T9</f>
        <v>45017</v>
      </c>
      <c r="W7" s="11">
        <f>T10</f>
        <v>45047</v>
      </c>
      <c r="X7" s="11">
        <f>T11</f>
        <v>45078</v>
      </c>
      <c r="Y7" s="11">
        <f>T12</f>
        <v>45108</v>
      </c>
      <c r="Z7" s="11">
        <f>T13</f>
        <v>45139</v>
      </c>
      <c r="AA7" s="11">
        <f>T14</f>
        <v>45170</v>
      </c>
      <c r="AB7" s="11">
        <f>T15</f>
        <v>45200</v>
      </c>
      <c r="AC7" s="11">
        <f>T16</f>
        <v>45231</v>
      </c>
      <c r="AD7" s="11">
        <f>T17</f>
        <v>45261</v>
      </c>
      <c r="AE7" s="11">
        <f>T18</f>
        <v>45292</v>
      </c>
      <c r="AF7" s="11">
        <f>T19</f>
        <v>45323</v>
      </c>
      <c r="AG7" s="11">
        <f>T20</f>
        <v>45352</v>
      </c>
      <c r="AH7" s="11">
        <f>T21</f>
        <v>45383</v>
      </c>
      <c r="AI7" s="11">
        <f>T22</f>
        <v>45413</v>
      </c>
      <c r="AJ7" s="11">
        <f>T23</f>
        <v>45444</v>
      </c>
      <c r="AK7" s="11">
        <f>T24</f>
        <v>45474</v>
      </c>
      <c r="AL7" s="11">
        <f>T25</f>
        <v>45505</v>
      </c>
      <c r="AM7" s="11">
        <f>T26</f>
        <v>45536</v>
      </c>
      <c r="AN7" s="11">
        <f>T27</f>
        <v>45566</v>
      </c>
      <c r="AO7" s="11">
        <f>T28</f>
        <v>45597</v>
      </c>
      <c r="AP7" s="11">
        <f>T29</f>
        <v>45627</v>
      </c>
      <c r="AQ7" s="11">
        <f>T30</f>
        <v>45658</v>
      </c>
      <c r="AR7" s="11">
        <f>T31</f>
        <v>45689</v>
      </c>
      <c r="AS7" s="11" t="s">
        <v>36</v>
      </c>
      <c r="AT7" s="7" t="s">
        <v>36</v>
      </c>
    </row>
    <row r="8" spans="1:46" x14ac:dyDescent="0.35">
      <c r="A8" s="12">
        <f t="shared" ref="A8:A30" si="0">DATE(YEAR(A9),MONTH(A9)-1,1)</f>
        <v>44986</v>
      </c>
      <c r="B8" s="13">
        <v>32645.62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50">
        <f t="shared" ref="G8:G31" si="3">B8+D8+F8</f>
        <v>32645.62</v>
      </c>
      <c r="H8" s="53">
        <f t="shared" ref="H8:H31" si="4">G8-B8</f>
        <v>0</v>
      </c>
      <c r="I8" s="45"/>
      <c r="J8" s="45"/>
      <c r="K8" s="13">
        <v>73976.997499999998</v>
      </c>
      <c r="L8" s="13">
        <f t="shared" ref="L8:L28" si="5">100*$G8/$K8</f>
        <v>44.129420094401645</v>
      </c>
      <c r="M8" s="13">
        <f t="shared" ref="M8:M31" si="6">100*(B8/K8)</f>
        <v>44.129420094401638</v>
      </c>
      <c r="N8" s="13">
        <f t="shared" ref="N8:N31" si="7">L8-M8</f>
        <v>0</v>
      </c>
      <c r="O8" s="13"/>
      <c r="P8" s="13"/>
      <c r="Q8" s="13"/>
      <c r="R8" s="15"/>
      <c r="T8" s="16">
        <f t="shared" ref="T8:T31" si="8">A8</f>
        <v>44986</v>
      </c>
      <c r="U8" s="17"/>
      <c r="V8" s="17"/>
      <c r="W8" s="17">
        <v>2780</v>
      </c>
      <c r="X8" s="17">
        <v>8460</v>
      </c>
      <c r="Y8" s="17">
        <v>8460</v>
      </c>
      <c r="Z8" s="17">
        <v>8460</v>
      </c>
      <c r="AA8" s="17">
        <v>25540</v>
      </c>
      <c r="AB8" s="17">
        <v>30540</v>
      </c>
      <c r="AC8" s="17">
        <v>32040</v>
      </c>
      <c r="AD8" s="17">
        <v>32040</v>
      </c>
      <c r="AE8" s="17">
        <v>32040</v>
      </c>
      <c r="AF8" s="17">
        <v>32040</v>
      </c>
      <c r="AG8" s="17">
        <v>32040</v>
      </c>
      <c r="AH8" s="17">
        <v>32040</v>
      </c>
      <c r="AI8" s="17">
        <v>32040</v>
      </c>
      <c r="AJ8" s="17">
        <v>32645.62</v>
      </c>
      <c r="AK8" s="17">
        <v>32645.62</v>
      </c>
      <c r="AL8" s="17">
        <v>32645.62</v>
      </c>
      <c r="AM8" s="17">
        <v>32645.62</v>
      </c>
      <c r="AN8" s="17">
        <v>32645.62</v>
      </c>
      <c r="AO8" s="17">
        <v>32645.62</v>
      </c>
      <c r="AP8" s="17">
        <v>32645.62</v>
      </c>
      <c r="AQ8" s="17">
        <v>32645.62</v>
      </c>
      <c r="AR8" s="17">
        <v>32645.62</v>
      </c>
      <c r="AS8" s="13"/>
      <c r="AT8" s="13"/>
    </row>
    <row r="9" spans="1:46" x14ac:dyDescent="0.35">
      <c r="A9" s="12">
        <f t="shared" si="0"/>
        <v>45017</v>
      </c>
      <c r="B9" s="13">
        <v>13152.81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50">
        <f t="shared" si="3"/>
        <v>13152.81</v>
      </c>
      <c r="H9" s="53">
        <f t="shared" si="4"/>
        <v>0</v>
      </c>
      <c r="I9" s="45"/>
      <c r="J9" s="45"/>
      <c r="K9" s="13">
        <v>73669.02916666666</v>
      </c>
      <c r="L9" s="13">
        <f t="shared" si="5"/>
        <v>17.85392063501131</v>
      </c>
      <c r="M9" s="13">
        <f t="shared" si="6"/>
        <v>17.85392063501131</v>
      </c>
      <c r="N9" s="13">
        <f t="shared" si="7"/>
        <v>0</v>
      </c>
      <c r="O9" s="13"/>
      <c r="P9" s="13"/>
      <c r="Q9" s="13"/>
      <c r="R9" s="13"/>
      <c r="T9" s="16">
        <f t="shared" si="8"/>
        <v>45017</v>
      </c>
      <c r="U9" s="17"/>
      <c r="V9" s="17">
        <v>10000</v>
      </c>
      <c r="W9" s="17">
        <v>12000</v>
      </c>
      <c r="X9" s="17">
        <v>12850</v>
      </c>
      <c r="Y9" s="17">
        <v>12850</v>
      </c>
      <c r="Z9" s="17">
        <v>12850</v>
      </c>
      <c r="AA9" s="17">
        <v>12850</v>
      </c>
      <c r="AB9" s="17">
        <v>12850</v>
      </c>
      <c r="AC9" s="17">
        <v>12850</v>
      </c>
      <c r="AD9" s="17">
        <v>12850</v>
      </c>
      <c r="AE9" s="17">
        <v>12850</v>
      </c>
      <c r="AF9" s="17">
        <v>12850</v>
      </c>
      <c r="AG9" s="17">
        <v>12850</v>
      </c>
      <c r="AH9" s="17">
        <v>12850</v>
      </c>
      <c r="AI9" s="17">
        <v>13152.81</v>
      </c>
      <c r="AJ9" s="17">
        <v>13152.81</v>
      </c>
      <c r="AK9" s="17">
        <v>13152.81</v>
      </c>
      <c r="AL9" s="17">
        <v>13152.81</v>
      </c>
      <c r="AM9" s="17">
        <v>13152.81</v>
      </c>
      <c r="AN9" s="17">
        <v>13152.81</v>
      </c>
      <c r="AO9" s="17">
        <v>13152.81</v>
      </c>
      <c r="AP9" s="17">
        <v>13152.81</v>
      </c>
      <c r="AQ9" s="17">
        <v>13152.81</v>
      </c>
      <c r="AR9" s="17"/>
      <c r="AS9" s="13"/>
      <c r="AT9" s="13"/>
    </row>
    <row r="10" spans="1:46" x14ac:dyDescent="0.35">
      <c r="A10" s="12">
        <f t="shared" si="0"/>
        <v>45047</v>
      </c>
      <c r="B10" s="13">
        <v>11670.81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50">
        <f t="shared" si="3"/>
        <v>11670.81</v>
      </c>
      <c r="H10" s="53">
        <f t="shared" si="4"/>
        <v>0</v>
      </c>
      <c r="I10" s="45"/>
      <c r="J10" s="45"/>
      <c r="K10" s="13">
        <v>73100.85583333332</v>
      </c>
      <c r="L10" s="13">
        <f t="shared" si="5"/>
        <v>15.965353438007517</v>
      </c>
      <c r="M10" s="13">
        <f t="shared" si="6"/>
        <v>15.965353438007519</v>
      </c>
      <c r="N10" s="13">
        <f t="shared" si="7"/>
        <v>0</v>
      </c>
      <c r="O10" s="13"/>
      <c r="P10" s="13"/>
      <c r="Q10" s="13"/>
      <c r="R10" s="13"/>
      <c r="T10" s="16">
        <f t="shared" si="8"/>
        <v>45047</v>
      </c>
      <c r="U10" s="17"/>
      <c r="V10" s="17"/>
      <c r="W10" s="17">
        <v>6668</v>
      </c>
      <c r="X10" s="17">
        <v>6818</v>
      </c>
      <c r="Y10" s="17">
        <v>10558</v>
      </c>
      <c r="Z10" s="17">
        <v>10558</v>
      </c>
      <c r="AA10" s="17">
        <v>10558</v>
      </c>
      <c r="AB10" s="17">
        <v>10558</v>
      </c>
      <c r="AC10" s="17">
        <v>10558</v>
      </c>
      <c r="AD10" s="17">
        <v>10558</v>
      </c>
      <c r="AE10" s="17">
        <v>10558</v>
      </c>
      <c r="AF10" s="17">
        <v>10558</v>
      </c>
      <c r="AG10" s="17">
        <v>10558</v>
      </c>
      <c r="AH10" s="17">
        <v>10860.81</v>
      </c>
      <c r="AI10" s="17">
        <v>11670.81</v>
      </c>
      <c r="AJ10" s="17">
        <v>11670.81</v>
      </c>
      <c r="AK10" s="17">
        <v>11670.81</v>
      </c>
      <c r="AL10" s="17">
        <v>11670.81</v>
      </c>
      <c r="AM10" s="17">
        <v>11670.81</v>
      </c>
      <c r="AN10" s="17">
        <v>11670.81</v>
      </c>
      <c r="AO10" s="17">
        <v>11670.81</v>
      </c>
      <c r="AP10" s="17">
        <v>11670.81</v>
      </c>
      <c r="AQ10" s="17"/>
      <c r="AR10" s="17"/>
      <c r="AS10" s="13"/>
      <c r="AT10" s="13"/>
    </row>
    <row r="11" spans="1:46" x14ac:dyDescent="0.35">
      <c r="A11" s="12">
        <f t="shared" si="0"/>
        <v>45078</v>
      </c>
      <c r="B11" s="13">
        <v>30200.62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50">
        <f t="shared" si="3"/>
        <v>30200.62</v>
      </c>
      <c r="H11" s="53">
        <f t="shared" si="4"/>
        <v>0</v>
      </c>
      <c r="I11" s="45"/>
      <c r="J11" s="45"/>
      <c r="K11" s="13">
        <v>72660.900833333333</v>
      </c>
      <c r="L11" s="13">
        <f t="shared" si="5"/>
        <v>41.563784172278531</v>
      </c>
      <c r="M11" s="13">
        <f t="shared" si="6"/>
        <v>41.563784172278531</v>
      </c>
      <c r="N11" s="13">
        <f t="shared" si="7"/>
        <v>0</v>
      </c>
      <c r="O11" s="13"/>
      <c r="P11" s="13"/>
      <c r="Q11" s="13"/>
      <c r="R11" s="13"/>
      <c r="T11" s="16">
        <f t="shared" si="8"/>
        <v>45078</v>
      </c>
      <c r="U11" s="17"/>
      <c r="V11" s="17">
        <v>750</v>
      </c>
      <c r="W11" s="17">
        <v>16850</v>
      </c>
      <c r="X11" s="17">
        <v>16850</v>
      </c>
      <c r="Y11" s="17">
        <v>16850</v>
      </c>
      <c r="Z11" s="17">
        <v>29595</v>
      </c>
      <c r="AA11" s="17">
        <v>29595</v>
      </c>
      <c r="AB11" s="17">
        <v>29595</v>
      </c>
      <c r="AC11" s="17">
        <v>29595</v>
      </c>
      <c r="AD11" s="17">
        <v>29595</v>
      </c>
      <c r="AE11" s="17">
        <v>29595</v>
      </c>
      <c r="AF11" s="17">
        <v>29595</v>
      </c>
      <c r="AG11" s="17">
        <v>30200.62</v>
      </c>
      <c r="AH11" s="17">
        <v>30200.62</v>
      </c>
      <c r="AI11" s="17">
        <v>30200.62</v>
      </c>
      <c r="AJ11" s="17">
        <v>30200.62</v>
      </c>
      <c r="AK11" s="17">
        <v>30200.62</v>
      </c>
      <c r="AL11" s="17">
        <v>30200.62</v>
      </c>
      <c r="AM11" s="17">
        <v>30200.62</v>
      </c>
      <c r="AN11" s="17">
        <v>30200.62</v>
      </c>
      <c r="AO11" s="17">
        <v>30200.62</v>
      </c>
      <c r="AP11" s="17"/>
      <c r="AQ11" s="17"/>
      <c r="AR11" s="17"/>
      <c r="AS11" s="13"/>
      <c r="AT11" s="13"/>
    </row>
    <row r="12" spans="1:46" x14ac:dyDescent="0.35">
      <c r="A12" s="12">
        <f t="shared" si="0"/>
        <v>45108</v>
      </c>
      <c r="B12" s="13">
        <v>22045.21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50">
        <f t="shared" si="3"/>
        <v>22045.21</v>
      </c>
      <c r="H12" s="53">
        <f t="shared" si="4"/>
        <v>0</v>
      </c>
      <c r="I12" s="45"/>
      <c r="J12" s="45"/>
      <c r="K12" s="13">
        <v>71981.799166666664</v>
      </c>
      <c r="L12" s="13">
        <f t="shared" si="5"/>
        <v>30.626089171453632</v>
      </c>
      <c r="M12" s="13">
        <f t="shared" si="6"/>
        <v>30.626089171453629</v>
      </c>
      <c r="N12" s="13">
        <f t="shared" si="7"/>
        <v>0</v>
      </c>
      <c r="O12" s="13"/>
      <c r="P12" s="13"/>
      <c r="Q12" s="13"/>
      <c r="R12" s="13"/>
      <c r="T12" s="16">
        <f t="shared" si="8"/>
        <v>45108</v>
      </c>
      <c r="U12" s="17"/>
      <c r="V12" s="17">
        <v>10775</v>
      </c>
      <c r="W12" s="17">
        <v>10775</v>
      </c>
      <c r="X12" s="17">
        <v>18415</v>
      </c>
      <c r="Y12" s="17">
        <v>18655</v>
      </c>
      <c r="Z12" s="17">
        <v>18655</v>
      </c>
      <c r="AA12" s="17">
        <v>18655</v>
      </c>
      <c r="AB12" s="17">
        <v>18655</v>
      </c>
      <c r="AC12" s="17">
        <v>18655</v>
      </c>
      <c r="AD12" s="17">
        <v>18655</v>
      </c>
      <c r="AE12" s="17">
        <v>18655</v>
      </c>
      <c r="AF12" s="17">
        <v>18957.810000000001</v>
      </c>
      <c r="AG12" s="17">
        <v>23965.21</v>
      </c>
      <c r="AH12" s="17">
        <v>22045.21</v>
      </c>
      <c r="AI12" s="17">
        <v>22045.21</v>
      </c>
      <c r="AJ12" s="17">
        <v>22045.21</v>
      </c>
      <c r="AK12" s="17">
        <v>22045.21</v>
      </c>
      <c r="AL12" s="17">
        <v>22045.21</v>
      </c>
      <c r="AM12" s="17">
        <v>22045.21</v>
      </c>
      <c r="AN12" s="17">
        <v>22045.21</v>
      </c>
      <c r="AO12" s="17"/>
      <c r="AP12" s="17"/>
      <c r="AQ12" s="17"/>
      <c r="AR12" s="17"/>
      <c r="AS12" s="13"/>
      <c r="AT12" s="13"/>
    </row>
    <row r="13" spans="1:46" x14ac:dyDescent="0.35">
      <c r="A13" s="12">
        <f t="shared" si="0"/>
        <v>45139</v>
      </c>
      <c r="B13" s="13">
        <v>29313.62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50">
        <f t="shared" si="3"/>
        <v>29313.62</v>
      </c>
      <c r="H13" s="53">
        <f t="shared" si="4"/>
        <v>0</v>
      </c>
      <c r="I13" s="45"/>
      <c r="J13" s="45"/>
      <c r="K13" s="13">
        <v>71135.608333333323</v>
      </c>
      <c r="L13" s="13">
        <f t="shared" si="5"/>
        <v>41.208082262598687</v>
      </c>
      <c r="M13" s="13">
        <f t="shared" si="6"/>
        <v>41.20808226259868</v>
      </c>
      <c r="N13" s="13">
        <f t="shared" si="7"/>
        <v>0</v>
      </c>
      <c r="O13" s="13"/>
      <c r="P13" s="13"/>
      <c r="Q13" s="13"/>
      <c r="R13" s="13"/>
      <c r="T13" s="16">
        <f t="shared" si="8"/>
        <v>45139</v>
      </c>
      <c r="U13" s="17">
        <v>10000</v>
      </c>
      <c r="V13" s="17">
        <v>10575</v>
      </c>
      <c r="W13" s="17">
        <v>11475</v>
      </c>
      <c r="X13" s="17">
        <v>17175</v>
      </c>
      <c r="Y13" s="17">
        <v>27958</v>
      </c>
      <c r="Z13" s="17">
        <v>27958</v>
      </c>
      <c r="AA13" s="17">
        <v>27958</v>
      </c>
      <c r="AB13" s="17">
        <v>27958</v>
      </c>
      <c r="AC13" s="17">
        <v>27958</v>
      </c>
      <c r="AD13" s="17">
        <v>27958</v>
      </c>
      <c r="AE13" s="17">
        <v>28563.62</v>
      </c>
      <c r="AF13" s="17">
        <v>28563.62</v>
      </c>
      <c r="AG13" s="17">
        <v>29313.62</v>
      </c>
      <c r="AH13" s="17">
        <v>29313.62</v>
      </c>
      <c r="AI13" s="17">
        <v>29313.62</v>
      </c>
      <c r="AJ13" s="17">
        <v>29313.62</v>
      </c>
      <c r="AK13" s="17">
        <v>29313.62</v>
      </c>
      <c r="AL13" s="17">
        <v>29313.62</v>
      </c>
      <c r="AM13" s="17">
        <v>29313.62</v>
      </c>
      <c r="AN13" s="17"/>
      <c r="AO13" s="17"/>
      <c r="AP13" s="17"/>
      <c r="AQ13" s="17"/>
      <c r="AR13" s="17"/>
      <c r="AS13" s="13"/>
      <c r="AT13" s="13"/>
    </row>
    <row r="14" spans="1:46" x14ac:dyDescent="0.35">
      <c r="A14" s="12">
        <f t="shared" si="0"/>
        <v>45170</v>
      </c>
      <c r="B14" s="13">
        <v>18070.57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50">
        <f t="shared" si="3"/>
        <v>18070.57</v>
      </c>
      <c r="H14" s="53">
        <f t="shared" si="4"/>
        <v>0</v>
      </c>
      <c r="I14" s="45"/>
      <c r="J14" s="45"/>
      <c r="K14" s="13">
        <v>70269.654999999999</v>
      </c>
      <c r="L14" s="13">
        <f t="shared" si="5"/>
        <v>25.716036317525681</v>
      </c>
      <c r="M14" s="13">
        <f t="shared" si="6"/>
        <v>25.716036317525681</v>
      </c>
      <c r="N14" s="13">
        <f t="shared" si="7"/>
        <v>0</v>
      </c>
      <c r="O14" s="13"/>
      <c r="P14" s="13"/>
      <c r="Q14" s="13"/>
      <c r="R14" s="13"/>
      <c r="T14" s="16">
        <f t="shared" si="8"/>
        <v>45170</v>
      </c>
      <c r="U14" s="17"/>
      <c r="V14" s="17"/>
      <c r="W14" s="17">
        <v>3600</v>
      </c>
      <c r="X14" s="17">
        <v>3600</v>
      </c>
      <c r="Y14" s="17">
        <v>3600</v>
      </c>
      <c r="Z14" s="17">
        <v>5600</v>
      </c>
      <c r="AA14" s="17">
        <v>5600</v>
      </c>
      <c r="AB14" s="17">
        <v>5600</v>
      </c>
      <c r="AC14" s="17">
        <v>5600</v>
      </c>
      <c r="AD14" s="17">
        <v>5902.81</v>
      </c>
      <c r="AE14" s="17">
        <v>6977.4600000000009</v>
      </c>
      <c r="AF14" s="17">
        <v>7727.4600000000009</v>
      </c>
      <c r="AG14" s="17">
        <v>7727.4600000000009</v>
      </c>
      <c r="AH14" s="17">
        <v>17738.419999999998</v>
      </c>
      <c r="AI14" s="17">
        <v>17819.419999999998</v>
      </c>
      <c r="AJ14" s="17">
        <v>17819.419999999998</v>
      </c>
      <c r="AK14" s="17">
        <v>18070.57</v>
      </c>
      <c r="AL14" s="17">
        <v>18070.57</v>
      </c>
      <c r="AM14" s="17"/>
      <c r="AN14" s="17"/>
      <c r="AO14" s="17"/>
      <c r="AP14" s="17"/>
      <c r="AQ14" s="17"/>
      <c r="AR14" s="17"/>
      <c r="AS14" s="13"/>
      <c r="AT14" s="13"/>
    </row>
    <row r="15" spans="1:46" x14ac:dyDescent="0.35">
      <c r="A15" s="12">
        <f t="shared" si="0"/>
        <v>45200</v>
      </c>
      <c r="B15" s="13">
        <v>26721.119999999999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50">
        <f t="shared" si="3"/>
        <v>26721.119999999999</v>
      </c>
      <c r="H15" s="53">
        <f t="shared" si="4"/>
        <v>0</v>
      </c>
      <c r="I15" s="45">
        <v>47.96681941640054</v>
      </c>
      <c r="J15" s="45">
        <f>+H15-I15</f>
        <v>-47.96681941640054</v>
      </c>
      <c r="K15" s="13">
        <v>69750.661666666667</v>
      </c>
      <c r="L15" s="13">
        <f t="shared" si="5"/>
        <v>38.309486048603077</v>
      </c>
      <c r="M15" s="13">
        <f t="shared" si="6"/>
        <v>38.309486048603077</v>
      </c>
      <c r="N15" s="13">
        <f t="shared" si="7"/>
        <v>0</v>
      </c>
      <c r="O15" s="13"/>
      <c r="P15" s="13"/>
      <c r="Q15" s="13"/>
      <c r="R15" s="13"/>
      <c r="T15" s="16">
        <f t="shared" si="8"/>
        <v>45200</v>
      </c>
      <c r="U15" s="17"/>
      <c r="V15" s="17"/>
      <c r="W15" s="17"/>
      <c r="X15" s="17">
        <v>10000</v>
      </c>
      <c r="Y15" s="17">
        <v>10000</v>
      </c>
      <c r="Z15" s="17">
        <v>10000</v>
      </c>
      <c r="AA15" s="17">
        <v>10000</v>
      </c>
      <c r="AB15" s="17">
        <v>10121</v>
      </c>
      <c r="AC15" s="17">
        <v>10726.62</v>
      </c>
      <c r="AD15" s="17">
        <v>10726.62</v>
      </c>
      <c r="AE15" s="17">
        <v>10726.62</v>
      </c>
      <c r="AF15" s="17">
        <v>10976.62</v>
      </c>
      <c r="AG15" s="17">
        <v>26559.59</v>
      </c>
      <c r="AH15" s="17">
        <v>26559.59</v>
      </c>
      <c r="AI15" s="17">
        <v>26721.119999999999</v>
      </c>
      <c r="AJ15" s="17">
        <v>26721.119999999999</v>
      </c>
      <c r="AK15" s="17">
        <v>26721.119999999999</v>
      </c>
      <c r="AL15" s="17"/>
      <c r="AM15" s="17"/>
      <c r="AN15" s="17"/>
      <c r="AO15" s="17"/>
      <c r="AP15" s="17"/>
      <c r="AQ15" s="17"/>
      <c r="AR15" s="17"/>
      <c r="AS15" s="13"/>
      <c r="AT15" s="13"/>
    </row>
    <row r="16" spans="1:46" x14ac:dyDescent="0.35">
      <c r="A16" s="12">
        <f t="shared" si="0"/>
        <v>45231</v>
      </c>
      <c r="B16" s="13">
        <v>11588.48</v>
      </c>
      <c r="C16" s="13">
        <f>++'Completion Factors'!J22</f>
        <v>0.99840698977625086</v>
      </c>
      <c r="D16" s="13">
        <f t="shared" si="1"/>
        <v>18.490021911655308</v>
      </c>
      <c r="E16" s="13">
        <f t="shared" si="2"/>
        <v>18.490021911655308</v>
      </c>
      <c r="F16" s="13"/>
      <c r="G16" s="50">
        <f t="shared" si="3"/>
        <v>11606.970021911655</v>
      </c>
      <c r="H16" s="53">
        <f t="shared" si="4"/>
        <v>18.490021911655276</v>
      </c>
      <c r="I16" s="45">
        <v>39.669757080067939</v>
      </c>
      <c r="J16" s="45">
        <f t="shared" ref="J16:J30" si="9">+H16-I16</f>
        <v>-21.179735168412662</v>
      </c>
      <c r="K16" s="13">
        <v>69511.603333333333</v>
      </c>
      <c r="L16" s="13">
        <f t="shared" si="5"/>
        <v>16.697888503955269</v>
      </c>
      <c r="M16" s="13">
        <f t="shared" si="6"/>
        <v>16.671288596853444</v>
      </c>
      <c r="N16" s="13">
        <f t="shared" si="7"/>
        <v>2.6599907101825693E-2</v>
      </c>
      <c r="O16" s="13"/>
      <c r="P16" s="13"/>
      <c r="Q16" s="13"/>
      <c r="R16" s="13"/>
      <c r="T16" s="16">
        <f t="shared" si="8"/>
        <v>45231</v>
      </c>
      <c r="U16" s="17"/>
      <c r="V16" s="17"/>
      <c r="W16" s="17"/>
      <c r="X16" s="17"/>
      <c r="Y16" s="17"/>
      <c r="Z16" s="17"/>
      <c r="AA16" s="17"/>
      <c r="AB16" s="17">
        <v>302.81</v>
      </c>
      <c r="AC16" s="17">
        <v>302.81</v>
      </c>
      <c r="AD16" s="17">
        <v>302.81</v>
      </c>
      <c r="AE16" s="17">
        <v>302.81</v>
      </c>
      <c r="AF16" s="17">
        <v>302.81</v>
      </c>
      <c r="AG16" s="17">
        <v>302.81</v>
      </c>
      <c r="AH16" s="17">
        <v>302.81</v>
      </c>
      <c r="AI16" s="17">
        <v>11588.48</v>
      </c>
      <c r="AJ16" s="17">
        <v>11588.48</v>
      </c>
      <c r="AK16" s="17"/>
      <c r="AL16" s="17"/>
      <c r="AM16" s="17"/>
      <c r="AN16" s="17"/>
      <c r="AO16" s="17"/>
      <c r="AP16" s="17"/>
      <c r="AQ16" s="17"/>
      <c r="AR16" s="17"/>
      <c r="AS16" s="13"/>
      <c r="AT16" s="13"/>
    </row>
    <row r="17" spans="1:46" x14ac:dyDescent="0.35">
      <c r="A17" s="12">
        <f t="shared" si="0"/>
        <v>45261</v>
      </c>
      <c r="B17" s="13">
        <v>12421.01</v>
      </c>
      <c r="C17" s="13">
        <f>+'Plot Patterns'!$B$16</f>
        <v>0.99553472668649512</v>
      </c>
      <c r="D17" s="13">
        <f t="shared" si="1"/>
        <v>55.711973669044646</v>
      </c>
      <c r="E17" s="13">
        <f t="shared" si="2"/>
        <v>55.711973669044646</v>
      </c>
      <c r="F17" s="13"/>
      <c r="G17" s="50">
        <f t="shared" si="3"/>
        <v>12476.721973669044</v>
      </c>
      <c r="H17" s="53">
        <f t="shared" si="4"/>
        <v>55.7119736690438</v>
      </c>
      <c r="I17" s="45">
        <v>1037.0541075554302</v>
      </c>
      <c r="J17" s="45">
        <f t="shared" si="9"/>
        <v>-981.34213388638636</v>
      </c>
      <c r="K17" s="13">
        <v>69002.143333333326</v>
      </c>
      <c r="L17" s="13">
        <f t="shared" si="5"/>
        <v>18.081644092411594</v>
      </c>
      <c r="M17" s="13">
        <f t="shared" si="6"/>
        <v>18.000904609581454</v>
      </c>
      <c r="N17" s="13">
        <f t="shared" si="7"/>
        <v>8.0739482830139764E-2</v>
      </c>
      <c r="O17" s="13"/>
      <c r="P17" s="13"/>
      <c r="Q17" s="13"/>
      <c r="R17" s="13"/>
      <c r="T17" s="16">
        <f t="shared" si="8"/>
        <v>45261</v>
      </c>
      <c r="U17" s="17"/>
      <c r="V17" s="17"/>
      <c r="W17" s="17"/>
      <c r="X17" s="17">
        <v>1550</v>
      </c>
      <c r="Y17" s="17">
        <v>3550</v>
      </c>
      <c r="Z17" s="17">
        <v>10063</v>
      </c>
      <c r="AA17" s="17">
        <v>10365.81</v>
      </c>
      <c r="AB17" s="17">
        <v>11416.81</v>
      </c>
      <c r="AC17" s="17">
        <v>11416.81</v>
      </c>
      <c r="AD17" s="17">
        <v>11416.81</v>
      </c>
      <c r="AE17" s="17">
        <v>11416.81</v>
      </c>
      <c r="AF17" s="17">
        <v>11416.81</v>
      </c>
      <c r="AG17" s="17">
        <v>11416.81</v>
      </c>
      <c r="AH17" s="17">
        <v>12421.01</v>
      </c>
      <c r="AI17" s="17">
        <v>12421.01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3"/>
      <c r="AT17" s="13"/>
    </row>
    <row r="18" spans="1:46" x14ac:dyDescent="0.35">
      <c r="A18" s="12">
        <f t="shared" si="0"/>
        <v>45292</v>
      </c>
      <c r="B18" s="13">
        <v>27866.78</v>
      </c>
      <c r="C18" s="13">
        <f>+'Plot Patterns'!$B$16</f>
        <v>0.99553472668649512</v>
      </c>
      <c r="D18" s="13">
        <f t="shared" si="1"/>
        <v>124.99090763159033</v>
      </c>
      <c r="E18" s="13">
        <f t="shared" si="2"/>
        <v>124.99090763159033</v>
      </c>
      <c r="F18" s="13"/>
      <c r="G18" s="50">
        <f t="shared" si="3"/>
        <v>27991.770907631588</v>
      </c>
      <c r="H18" s="53">
        <f t="shared" si="4"/>
        <v>124.99090763158893</v>
      </c>
      <c r="I18" s="45">
        <v>2624.020274309516</v>
      </c>
      <c r="J18" s="49">
        <f t="shared" si="9"/>
        <v>-2499.0293666779271</v>
      </c>
      <c r="K18" s="13">
        <v>68422.973333333328</v>
      </c>
      <c r="L18" s="13">
        <f t="shared" si="5"/>
        <v>40.909901373717346</v>
      </c>
      <c r="M18" s="13">
        <f t="shared" si="6"/>
        <v>40.727227482855177</v>
      </c>
      <c r="N18" s="13">
        <f t="shared" si="7"/>
        <v>0.18267389086216923</v>
      </c>
      <c r="O18" s="13"/>
      <c r="P18" s="13"/>
      <c r="Q18" s="13"/>
      <c r="R18" s="13"/>
      <c r="T18" s="16">
        <f t="shared" si="8"/>
        <v>45292</v>
      </c>
      <c r="U18" s="17"/>
      <c r="V18" s="17">
        <v>100</v>
      </c>
      <c r="W18" s="17">
        <v>11107</v>
      </c>
      <c r="X18" s="17">
        <v>14681</v>
      </c>
      <c r="Y18" s="17">
        <v>15160.73</v>
      </c>
      <c r="Z18" s="17">
        <v>15261.78</v>
      </c>
      <c r="AA18" s="42">
        <v>15261.78</v>
      </c>
      <c r="AB18" s="42">
        <v>15261.78</v>
      </c>
      <c r="AC18" s="42">
        <v>15261.78</v>
      </c>
      <c r="AD18" s="42">
        <v>16361.78</v>
      </c>
      <c r="AE18" s="42">
        <v>16361.78</v>
      </c>
      <c r="AF18" s="42">
        <v>27866.78</v>
      </c>
      <c r="AG18" s="42">
        <v>16361.78</v>
      </c>
      <c r="AH18" s="17">
        <v>27866.78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3"/>
      <c r="AT18" s="13"/>
    </row>
    <row r="19" spans="1:46" x14ac:dyDescent="0.35">
      <c r="A19" s="12">
        <f t="shared" si="0"/>
        <v>45323</v>
      </c>
      <c r="B19" s="13">
        <v>21878.86</v>
      </c>
      <c r="C19" s="13">
        <f>+'Plot Patterns'!$B$14</f>
        <v>0.84679856639589601</v>
      </c>
      <c r="D19" s="13">
        <f t="shared" si="1"/>
        <v>3958.2881344374127</v>
      </c>
      <c r="E19" s="13">
        <f t="shared" si="2"/>
        <v>3958.2881344374127</v>
      </c>
      <c r="F19" s="13"/>
      <c r="G19" s="50">
        <f t="shared" si="3"/>
        <v>25837.148134437411</v>
      </c>
      <c r="H19" s="53">
        <f t="shared" si="4"/>
        <v>3958.2881344374109</v>
      </c>
      <c r="I19" s="45">
        <v>1331.6771844412833</v>
      </c>
      <c r="J19" s="49">
        <f t="shared" si="9"/>
        <v>2626.6109499961276</v>
      </c>
      <c r="K19" s="13">
        <v>68103.723333333328</v>
      </c>
      <c r="L19" s="13">
        <f t="shared" si="5"/>
        <v>37.937937707131844</v>
      </c>
      <c r="M19" s="13">
        <f t="shared" si="6"/>
        <v>32.125791262416051</v>
      </c>
      <c r="N19" s="13">
        <f t="shared" si="7"/>
        <v>5.8121464447157933</v>
      </c>
      <c r="O19" s="13">
        <f t="shared" ref="O19:O31" si="10">SUM(G8:G19)/SUM(K8:K19)*100</f>
        <v>30.734770903809132</v>
      </c>
      <c r="P19" s="18"/>
      <c r="Q19" s="13"/>
      <c r="R19" s="13"/>
      <c r="T19" s="16">
        <f t="shared" si="8"/>
        <v>45323</v>
      </c>
      <c r="U19" s="17"/>
      <c r="V19" s="17"/>
      <c r="W19" s="17">
        <v>45</v>
      </c>
      <c r="X19" s="17">
        <v>45</v>
      </c>
      <c r="Y19" s="17">
        <v>3941.6</v>
      </c>
      <c r="Z19" s="17">
        <v>4544.26</v>
      </c>
      <c r="AA19" s="42">
        <v>4544.26</v>
      </c>
      <c r="AB19" s="42">
        <v>4544.26</v>
      </c>
      <c r="AC19" s="42">
        <v>4544.26</v>
      </c>
      <c r="AD19" s="42">
        <v>4544.26</v>
      </c>
      <c r="AE19" s="42">
        <v>21878.86</v>
      </c>
      <c r="AF19" s="42">
        <v>5948.8600000000006</v>
      </c>
      <c r="AG19" s="42">
        <v>21878.86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3"/>
      <c r="AT19" s="13"/>
    </row>
    <row r="20" spans="1:46" x14ac:dyDescent="0.35">
      <c r="A20" s="12">
        <f t="shared" si="0"/>
        <v>45352</v>
      </c>
      <c r="B20" s="13">
        <v>45863.96</v>
      </c>
      <c r="C20" s="13">
        <f>+'Plot Patterns'!$B$13</f>
        <v>0.74673834217322621</v>
      </c>
      <c r="D20" s="13">
        <f t="shared" si="1"/>
        <v>15555.090569336655</v>
      </c>
      <c r="E20" s="13">
        <f t="shared" si="2"/>
        <v>15555.090569336655</v>
      </c>
      <c r="F20" s="13"/>
      <c r="G20" s="50">
        <f t="shared" si="3"/>
        <v>61419.050569336658</v>
      </c>
      <c r="H20" s="53">
        <f t="shared" si="4"/>
        <v>15555.090569336659</v>
      </c>
      <c r="I20" s="45">
        <v>8378.8396869280114</v>
      </c>
      <c r="J20" s="49">
        <f t="shared" si="9"/>
        <v>7176.2508824086472</v>
      </c>
      <c r="K20" s="13">
        <v>67665.975000000006</v>
      </c>
      <c r="L20" s="13">
        <f t="shared" si="5"/>
        <v>90.767997607862227</v>
      </c>
      <c r="M20" s="13">
        <f t="shared" si="6"/>
        <v>67.779944056078406</v>
      </c>
      <c r="N20" s="13">
        <f t="shared" si="7"/>
        <v>22.988053551783821</v>
      </c>
      <c r="O20" s="13">
        <f t="shared" si="10"/>
        <v>34.368276151262513</v>
      </c>
      <c r="P20" s="18">
        <f t="shared" ref="P20:P31" si="11">L20/L8</f>
        <v>2.0568590616801976</v>
      </c>
      <c r="Q20" s="18">
        <f t="shared" ref="Q20:Q31" si="12">K20/K8</f>
        <v>0.91468939382137004</v>
      </c>
      <c r="R20" s="13"/>
      <c r="T20" s="16">
        <f t="shared" si="8"/>
        <v>45352</v>
      </c>
      <c r="U20" s="17"/>
      <c r="V20" s="17">
        <v>15000</v>
      </c>
      <c r="W20" s="17">
        <v>30175</v>
      </c>
      <c r="X20" s="17">
        <v>32627.78</v>
      </c>
      <c r="Y20" s="17">
        <v>40851.97</v>
      </c>
      <c r="Z20" s="17">
        <v>40851.97</v>
      </c>
      <c r="AA20" s="17">
        <v>40851.97</v>
      </c>
      <c r="AB20" s="17">
        <v>40851.97</v>
      </c>
      <c r="AC20" s="17">
        <v>40851.97</v>
      </c>
      <c r="AD20" s="17">
        <v>40851.97</v>
      </c>
      <c r="AE20" s="17">
        <v>45863.96</v>
      </c>
      <c r="AF20" s="17">
        <v>45863.96</v>
      </c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3"/>
      <c r="AT20" s="13"/>
    </row>
    <row r="21" spans="1:46" x14ac:dyDescent="0.35">
      <c r="A21" s="12">
        <f t="shared" si="0"/>
        <v>45383</v>
      </c>
      <c r="B21" s="13">
        <v>22450.78</v>
      </c>
      <c r="C21" s="13">
        <f>+'Plot Patterns'!$B$12</f>
        <v>0.75634596072452598</v>
      </c>
      <c r="D21" s="13">
        <f t="shared" si="1"/>
        <v>7232.4353086316978</v>
      </c>
      <c r="E21" s="13">
        <f t="shared" si="2"/>
        <v>7232.4353086316978</v>
      </c>
      <c r="F21" s="13"/>
      <c r="G21" s="50">
        <f t="shared" si="3"/>
        <v>29683.215308631698</v>
      </c>
      <c r="H21" s="53">
        <f t="shared" si="4"/>
        <v>7232.4353086316987</v>
      </c>
      <c r="I21" s="45">
        <v>8745.7346183190966</v>
      </c>
      <c r="J21" s="49">
        <f t="shared" si="9"/>
        <v>-1513.2993096873979</v>
      </c>
      <c r="K21" s="13">
        <v>67122.17333333334</v>
      </c>
      <c r="L21" s="13">
        <f t="shared" si="5"/>
        <v>44.222667167260518</v>
      </c>
      <c r="M21" s="13">
        <f t="shared" si="6"/>
        <v>33.447635684422607</v>
      </c>
      <c r="N21" s="13">
        <f t="shared" si="7"/>
        <v>10.77503148283791</v>
      </c>
      <c r="O21" s="13">
        <f t="shared" si="10"/>
        <v>36.607434159254055</v>
      </c>
      <c r="P21" s="18">
        <f t="shared" si="11"/>
        <v>2.4769163071409892</v>
      </c>
      <c r="Q21" s="18">
        <f t="shared" si="12"/>
        <v>0.91113150387088848</v>
      </c>
      <c r="R21" s="13"/>
      <c r="T21" s="16">
        <f t="shared" si="8"/>
        <v>45383</v>
      </c>
      <c r="U21" s="17"/>
      <c r="V21" s="17">
        <v>350</v>
      </c>
      <c r="W21" s="17">
        <v>350</v>
      </c>
      <c r="X21" s="17">
        <v>591</v>
      </c>
      <c r="Y21" s="17">
        <v>591</v>
      </c>
      <c r="Z21" s="17">
        <v>591</v>
      </c>
      <c r="AA21" s="17">
        <v>10689.63</v>
      </c>
      <c r="AB21" s="17">
        <v>10689.63</v>
      </c>
      <c r="AC21" s="17">
        <v>21443.08</v>
      </c>
      <c r="AD21" s="17">
        <v>21050.78</v>
      </c>
      <c r="AE21" s="17">
        <v>22450.78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3"/>
      <c r="AT21" s="13"/>
    </row>
    <row r="22" spans="1:46" x14ac:dyDescent="0.35">
      <c r="A22" s="12">
        <f t="shared" si="0"/>
        <v>45413</v>
      </c>
      <c r="B22" s="13">
        <v>54604.290000000008</v>
      </c>
      <c r="C22" s="13">
        <f>+'Plot Patterns'!$B$11</f>
        <v>0.68465101340703094</v>
      </c>
      <c r="D22" s="13">
        <f t="shared" si="1"/>
        <v>25150.634670705604</v>
      </c>
      <c r="E22" s="13">
        <f t="shared" si="2"/>
        <v>25150.634670705604</v>
      </c>
      <c r="F22" s="13"/>
      <c r="G22" s="50">
        <f t="shared" si="3"/>
        <v>79754.924670705615</v>
      </c>
      <c r="H22" s="53">
        <f t="shared" si="4"/>
        <v>25150.634670705607</v>
      </c>
      <c r="I22" s="45">
        <v>15291.914200360647</v>
      </c>
      <c r="J22" s="49">
        <f t="shared" si="9"/>
        <v>9858.7204703449606</v>
      </c>
      <c r="K22" s="13">
        <v>66819.176666666666</v>
      </c>
      <c r="L22" s="13">
        <f t="shared" si="5"/>
        <v>119.35933462420536</v>
      </c>
      <c r="M22" s="13">
        <f t="shared" si="6"/>
        <v>81.719489410051111</v>
      </c>
      <c r="N22" s="13">
        <f t="shared" si="7"/>
        <v>37.639845214154249</v>
      </c>
      <c r="O22" s="13">
        <f t="shared" si="10"/>
        <v>45.062474243445415</v>
      </c>
      <c r="P22" s="18">
        <f t="shared" si="11"/>
        <v>7.4761473391535178</v>
      </c>
      <c r="Q22" s="18">
        <f t="shared" si="12"/>
        <v>0.91406832252431347</v>
      </c>
      <c r="R22" s="13"/>
      <c r="T22" s="16">
        <f t="shared" si="8"/>
        <v>45413</v>
      </c>
      <c r="U22" s="17"/>
      <c r="V22" s="17"/>
      <c r="W22" s="17">
        <v>20810</v>
      </c>
      <c r="X22" s="17">
        <v>20810</v>
      </c>
      <c r="Y22" s="17">
        <v>25881.51</v>
      </c>
      <c r="Z22" s="17">
        <v>26866.34</v>
      </c>
      <c r="AA22" s="42">
        <v>31894.29</v>
      </c>
      <c r="AB22" s="42">
        <v>54604.290000000008</v>
      </c>
      <c r="AC22" s="42">
        <v>36019.290000000008</v>
      </c>
      <c r="AD22" s="42">
        <v>54604.290000000008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3"/>
      <c r="AT22" s="13"/>
    </row>
    <row r="23" spans="1:46" x14ac:dyDescent="0.35">
      <c r="A23" s="12">
        <f t="shared" si="0"/>
        <v>45444</v>
      </c>
      <c r="B23" s="13">
        <v>5947.33</v>
      </c>
      <c r="C23" s="13">
        <f>+'Plot Patterns'!$B$10</f>
        <v>0.63954251319647681</v>
      </c>
      <c r="D23" s="13">
        <f t="shared" si="1"/>
        <v>3352.0205158474005</v>
      </c>
      <c r="E23" s="13">
        <f t="shared" si="2"/>
        <v>3352.0205158474005</v>
      </c>
      <c r="F23" s="13"/>
      <c r="G23" s="50">
        <f t="shared" si="3"/>
        <v>9299.3505158473999</v>
      </c>
      <c r="H23" s="53">
        <f t="shared" si="4"/>
        <v>3352.0205158474</v>
      </c>
      <c r="I23" s="45">
        <v>2142.4539905632519</v>
      </c>
      <c r="J23" s="49">
        <f t="shared" si="9"/>
        <v>1209.5665252841482</v>
      </c>
      <c r="K23" s="13">
        <v>66590.506666666668</v>
      </c>
      <c r="L23" s="13">
        <f t="shared" si="5"/>
        <v>13.964979366199044</v>
      </c>
      <c r="M23" s="13">
        <f t="shared" si="6"/>
        <v>8.9311980005958809</v>
      </c>
      <c r="N23" s="13">
        <f t="shared" si="7"/>
        <v>5.0337813656031631</v>
      </c>
      <c r="O23" s="13">
        <f t="shared" si="10"/>
        <v>42.86422554132416</v>
      </c>
      <c r="P23" s="18">
        <f t="shared" si="11"/>
        <v>0.33598912236468487</v>
      </c>
      <c r="Q23" s="18">
        <f t="shared" si="12"/>
        <v>0.91645583667355446</v>
      </c>
      <c r="R23" s="13"/>
      <c r="T23" s="16">
        <f t="shared" si="8"/>
        <v>45444</v>
      </c>
      <c r="U23" s="17"/>
      <c r="V23" s="17"/>
      <c r="W23" s="17"/>
      <c r="X23" s="17"/>
      <c r="Y23" s="17"/>
      <c r="Z23" s="17"/>
      <c r="AA23" s="17">
        <v>947.32999999999993</v>
      </c>
      <c r="AB23" s="17">
        <v>5947.33</v>
      </c>
      <c r="AC23" s="17">
        <v>5947.33</v>
      </c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3"/>
      <c r="AT23" s="13"/>
    </row>
    <row r="24" spans="1:46" x14ac:dyDescent="0.35">
      <c r="A24" s="12">
        <f t="shared" si="0"/>
        <v>45474</v>
      </c>
      <c r="B24" s="13">
        <v>1183.1500000000001</v>
      </c>
      <c r="C24" s="13">
        <f>+'Plot Patterns'!$B$9</f>
        <v>0.65244724698730672</v>
      </c>
      <c r="D24" s="13">
        <f t="shared" si="1"/>
        <v>630.25331415793096</v>
      </c>
      <c r="E24" s="13">
        <f t="shared" si="2"/>
        <v>630.25331415793096</v>
      </c>
      <c r="F24" s="19">
        <v>0</v>
      </c>
      <c r="G24" s="50">
        <f t="shared" si="3"/>
        <v>1813.4033141579312</v>
      </c>
      <c r="H24" s="53">
        <f t="shared" si="4"/>
        <v>630.25331415793107</v>
      </c>
      <c r="I24" s="45">
        <v>776.44012571770372</v>
      </c>
      <c r="J24" s="45">
        <f t="shared" si="9"/>
        <v>-146.18681155977265</v>
      </c>
      <c r="K24" s="13">
        <v>66219.250833333339</v>
      </c>
      <c r="L24" s="13">
        <f t="shared" si="5"/>
        <v>2.7384835849654507</v>
      </c>
      <c r="M24" s="13">
        <f t="shared" si="6"/>
        <v>1.7867160759306384</v>
      </c>
      <c r="N24" s="13">
        <f t="shared" si="7"/>
        <v>0.95176750903481233</v>
      </c>
      <c r="O24" s="13">
        <f t="shared" si="10"/>
        <v>40.699779546285058</v>
      </c>
      <c r="P24" s="18">
        <f t="shared" si="11"/>
        <v>8.941669207696204E-2</v>
      </c>
      <c r="Q24" s="18">
        <f t="shared" si="12"/>
        <v>0.9199443692704774</v>
      </c>
      <c r="R24" s="13"/>
      <c r="T24" s="16">
        <f t="shared" si="8"/>
        <v>45474</v>
      </c>
      <c r="U24" s="17"/>
      <c r="V24" s="17"/>
      <c r="W24" s="17">
        <v>200</v>
      </c>
      <c r="X24" s="17">
        <v>581.87</v>
      </c>
      <c r="Y24" s="17">
        <v>661.87</v>
      </c>
      <c r="Z24" s="17">
        <v>1183.1500000000001</v>
      </c>
      <c r="AA24" s="17">
        <v>1183.1500000000001</v>
      </c>
      <c r="AB24" s="17">
        <v>1183.1500000000001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3"/>
      <c r="AT24" s="13"/>
    </row>
    <row r="25" spans="1:46" x14ac:dyDescent="0.35">
      <c r="A25" s="12">
        <f t="shared" si="0"/>
        <v>45505</v>
      </c>
      <c r="B25" s="13">
        <v>15585.9</v>
      </c>
      <c r="C25" s="13">
        <f>+'Plot Patterns'!$B$8</f>
        <v>0.57631767404078937</v>
      </c>
      <c r="D25" s="13">
        <f t="shared" si="1"/>
        <v>11458.038962900684</v>
      </c>
      <c r="E25" s="13">
        <f t="shared" si="2"/>
        <v>11458.038962900684</v>
      </c>
      <c r="F25" s="19">
        <v>0</v>
      </c>
      <c r="G25" s="50">
        <f t="shared" si="3"/>
        <v>27043.938962900684</v>
      </c>
      <c r="H25" s="53">
        <f t="shared" si="4"/>
        <v>11458.038962900684</v>
      </c>
      <c r="I25" s="45">
        <v>14382.283113168292</v>
      </c>
      <c r="J25" s="45">
        <f t="shared" si="9"/>
        <v>-2924.2441502676083</v>
      </c>
      <c r="K25" s="13">
        <v>65710.082500000004</v>
      </c>
      <c r="L25" s="13">
        <f t="shared" si="5"/>
        <v>41.156452608168138</v>
      </c>
      <c r="M25" s="13">
        <f t="shared" si="6"/>
        <v>23.719191038909436</v>
      </c>
      <c r="N25" s="13">
        <f t="shared" si="7"/>
        <v>17.437261569258702</v>
      </c>
      <c r="O25" s="13">
        <f t="shared" si="10"/>
        <v>40.692234784909218</v>
      </c>
      <c r="P25" s="18">
        <f t="shared" si="11"/>
        <v>0.99874709883120649</v>
      </c>
      <c r="Q25" s="18">
        <f t="shared" si="12"/>
        <v>0.92372981745077765</v>
      </c>
      <c r="R25" s="13"/>
      <c r="T25" s="16">
        <f t="shared" si="8"/>
        <v>45505</v>
      </c>
      <c r="U25" s="17"/>
      <c r="V25" s="17"/>
      <c r="W25" s="17">
        <v>6524.6399999999994</v>
      </c>
      <c r="X25" s="17">
        <v>7124.6399999999994</v>
      </c>
      <c r="Y25" s="17">
        <v>15585.9</v>
      </c>
      <c r="Z25" s="17">
        <v>15585.9</v>
      </c>
      <c r="AA25" s="17">
        <v>15585.9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3"/>
      <c r="AT25" s="13"/>
    </row>
    <row r="26" spans="1:46" x14ac:dyDescent="0.35">
      <c r="A26" s="12">
        <f t="shared" si="0"/>
        <v>45536</v>
      </c>
      <c r="B26" s="13">
        <v>18407.560000000001</v>
      </c>
      <c r="C26" s="13">
        <f>+'Plot Patterns'!$B$7</f>
        <v>0.50721597656891615</v>
      </c>
      <c r="D26" s="13">
        <f t="shared" si="1"/>
        <v>17883.804724981095</v>
      </c>
      <c r="E26" s="13">
        <f t="shared" si="2"/>
        <v>17883.804724981095</v>
      </c>
      <c r="F26" s="19">
        <v>0</v>
      </c>
      <c r="G26" s="50">
        <f t="shared" si="3"/>
        <v>36291.364724981097</v>
      </c>
      <c r="H26" s="53">
        <f t="shared" si="4"/>
        <v>17883.804724981095</v>
      </c>
      <c r="I26" s="45">
        <v>18710.981378147098</v>
      </c>
      <c r="J26" s="45">
        <f t="shared" si="9"/>
        <v>-827.17665316600323</v>
      </c>
      <c r="K26" s="13">
        <v>65527.215833333328</v>
      </c>
      <c r="L26" s="13">
        <f t="shared" si="5"/>
        <v>55.383651301906653</v>
      </c>
      <c r="M26" s="13">
        <f t="shared" si="6"/>
        <v>28.091472781048903</v>
      </c>
      <c r="N26" s="13">
        <f t="shared" si="7"/>
        <v>27.29217852085775</v>
      </c>
      <c r="O26" s="13">
        <f t="shared" si="10"/>
        <v>43.178595626871697</v>
      </c>
      <c r="P26" s="18">
        <f t="shared" si="11"/>
        <v>2.1536620425505566</v>
      </c>
      <c r="Q26" s="18">
        <f t="shared" si="12"/>
        <v>0.93251085170879711</v>
      </c>
      <c r="R26" s="13"/>
      <c r="T26" s="16">
        <f t="shared" si="8"/>
        <v>45536</v>
      </c>
      <c r="U26" s="17"/>
      <c r="V26" s="17"/>
      <c r="W26" s="17">
        <v>5300</v>
      </c>
      <c r="X26" s="17">
        <v>8407.5600000000013</v>
      </c>
      <c r="Y26" s="17">
        <v>18407.560000000001</v>
      </c>
      <c r="Z26" s="17">
        <v>18407.560000000001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3"/>
      <c r="AT26" s="13"/>
    </row>
    <row r="27" spans="1:46" x14ac:dyDescent="0.35">
      <c r="A27" s="12">
        <f t="shared" si="0"/>
        <v>45566</v>
      </c>
      <c r="B27" s="13">
        <v>20211.5</v>
      </c>
      <c r="C27" s="13">
        <f>+'Plot Patterns'!$B$6</f>
        <v>0.46090539499833988</v>
      </c>
      <c r="D27" s="13">
        <f t="shared" si="1"/>
        <v>23640.23230630724</v>
      </c>
      <c r="E27" s="13">
        <f t="shared" si="2"/>
        <v>23640.23230630724</v>
      </c>
      <c r="F27" s="19">
        <v>0</v>
      </c>
      <c r="G27" s="50">
        <f t="shared" si="3"/>
        <v>43851.73230630724</v>
      </c>
      <c r="H27" s="53">
        <f t="shared" si="4"/>
        <v>23640.23230630724</v>
      </c>
      <c r="I27" s="45">
        <v>363.27249747785004</v>
      </c>
      <c r="J27" s="48">
        <f t="shared" si="9"/>
        <v>23276.95980882939</v>
      </c>
      <c r="K27" s="13">
        <v>64982.709166666667</v>
      </c>
      <c r="L27" s="13">
        <f t="shared" si="5"/>
        <v>67.482154666462094</v>
      </c>
      <c r="M27" s="13">
        <f t="shared" si="6"/>
        <v>31.102889151884778</v>
      </c>
      <c r="N27" s="13">
        <f t="shared" si="7"/>
        <v>36.379265514577313</v>
      </c>
      <c r="O27" s="13">
        <f t="shared" si="10"/>
        <v>45.560360842114996</v>
      </c>
      <c r="P27" s="18">
        <f t="shared" si="11"/>
        <v>1.7614998692712238</v>
      </c>
      <c r="Q27" s="18">
        <f t="shared" si="12"/>
        <v>0.93164290651770876</v>
      </c>
      <c r="R27" s="13"/>
      <c r="T27" s="16">
        <f t="shared" si="8"/>
        <v>45566</v>
      </c>
      <c r="U27" s="17"/>
      <c r="V27" s="17"/>
      <c r="W27" s="17">
        <v>175</v>
      </c>
      <c r="X27" s="17">
        <v>175</v>
      </c>
      <c r="Y27" s="17">
        <v>20211.5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3"/>
      <c r="AT27" s="13"/>
    </row>
    <row r="28" spans="1:46" x14ac:dyDescent="0.35">
      <c r="A28" s="12">
        <f t="shared" si="0"/>
        <v>45597</v>
      </c>
      <c r="B28" s="13">
        <v>32282.5</v>
      </c>
      <c r="C28" s="13">
        <f>+'Plot Patterns'!$B$5</f>
        <v>0.32829959634611511</v>
      </c>
      <c r="D28" s="13">
        <f t="shared" si="1"/>
        <v>66049.938904267372</v>
      </c>
      <c r="E28" s="13">
        <f t="shared" si="2"/>
        <v>66049.938904267372</v>
      </c>
      <c r="F28" s="19">
        <v>0</v>
      </c>
      <c r="G28" s="50">
        <f t="shared" si="3"/>
        <v>98332.438904267372</v>
      </c>
      <c r="H28" s="53">
        <f t="shared" si="4"/>
        <v>66049.938904267372</v>
      </c>
      <c r="I28" s="45">
        <v>3721</v>
      </c>
      <c r="J28" s="48">
        <f t="shared" si="9"/>
        <v>62328.938904267372</v>
      </c>
      <c r="K28" s="13">
        <v>64918.209166666667</v>
      </c>
      <c r="L28" s="13">
        <f t="shared" si="5"/>
        <v>151.47127464932873</v>
      </c>
      <c r="M28" s="13">
        <f t="shared" si="6"/>
        <v>49.727958325406156</v>
      </c>
      <c r="N28" s="13">
        <f t="shared" si="7"/>
        <v>101.74331632392258</v>
      </c>
      <c r="O28" s="13">
        <f t="shared" si="10"/>
        <v>56.647615163737633</v>
      </c>
      <c r="P28" s="18">
        <f t="shared" si="11"/>
        <v>9.071283151366675</v>
      </c>
      <c r="Q28" s="18">
        <f t="shared" si="12"/>
        <v>0.93391903011300614</v>
      </c>
      <c r="R28" s="20"/>
      <c r="T28" s="16">
        <f t="shared" si="8"/>
        <v>45597</v>
      </c>
      <c r="U28" s="17"/>
      <c r="V28" s="17"/>
      <c r="W28" s="17">
        <v>22246</v>
      </c>
      <c r="X28" s="17">
        <v>32282.5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3"/>
      <c r="AT28" s="13"/>
    </row>
    <row r="29" spans="1:46" x14ac:dyDescent="0.35">
      <c r="A29" s="12">
        <f t="shared" si="0"/>
        <v>45627</v>
      </c>
      <c r="B29" s="13"/>
      <c r="C29" s="13">
        <f>+'Plot Patterns'!$B$4</f>
        <v>0.26245256549959772</v>
      </c>
      <c r="D29" s="13">
        <f t="shared" si="1"/>
        <v>0</v>
      </c>
      <c r="E29" s="13">
        <f t="shared" si="2"/>
        <v>0</v>
      </c>
      <c r="F29" s="50">
        <f>ROUND(+K29*L29/100,0)-D29-B29</f>
        <v>25942</v>
      </c>
      <c r="G29" s="50">
        <f>+(L29/100*K29)*(1-C29)+B29</f>
        <v>19133.814239711752</v>
      </c>
      <c r="H29" s="53">
        <f t="shared" si="4"/>
        <v>19133.814239711752</v>
      </c>
      <c r="I29" s="45">
        <v>25942</v>
      </c>
      <c r="J29" s="45">
        <f t="shared" si="9"/>
        <v>-6808.1857602882483</v>
      </c>
      <c r="K29" s="13">
        <v>64856.215833333343</v>
      </c>
      <c r="L29" s="19">
        <v>40</v>
      </c>
      <c r="M29" s="13">
        <f t="shared" si="6"/>
        <v>0</v>
      </c>
      <c r="N29" s="13">
        <f t="shared" si="7"/>
        <v>40</v>
      </c>
      <c r="O29" s="13">
        <f t="shared" si="10"/>
        <v>57.777647729546764</v>
      </c>
      <c r="P29" s="18">
        <f t="shared" si="11"/>
        <v>2.2121882167112772</v>
      </c>
      <c r="Q29" s="18">
        <f t="shared" si="12"/>
        <v>0.9399159605815145</v>
      </c>
      <c r="R29" s="13"/>
      <c r="T29" s="16">
        <f t="shared" si="8"/>
        <v>45627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3"/>
      <c r="AT29" s="13"/>
    </row>
    <row r="30" spans="1:46" x14ac:dyDescent="0.35">
      <c r="A30" s="12">
        <f t="shared" si="0"/>
        <v>45658</v>
      </c>
      <c r="B30" s="13">
        <v>50000</v>
      </c>
      <c r="C30" s="13">
        <f>+'Plot Patterns'!$B$3</f>
        <v>0.13457727094752481</v>
      </c>
      <c r="D30" s="13">
        <f t="shared" si="1"/>
        <v>321533.76382179948</v>
      </c>
      <c r="E30" s="13">
        <f t="shared" si="2"/>
        <v>321533.76382179948</v>
      </c>
      <c r="F30" s="50">
        <f>ROUND(+K30*L30/100,0)-D30-B30</f>
        <v>-345884.76382179948</v>
      </c>
      <c r="G30" s="50">
        <f>+(L30/100*K30)*(1-C30)+B30</f>
        <v>72197.466434140151</v>
      </c>
      <c r="H30" s="53">
        <f t="shared" si="4"/>
        <v>22197.466434140151</v>
      </c>
      <c r="I30" s="45">
        <v>-24351</v>
      </c>
      <c r="J30" s="45">
        <f t="shared" si="9"/>
        <v>46548.466434140151</v>
      </c>
      <c r="K30" s="13">
        <v>64123.19</v>
      </c>
      <c r="L30" s="19">
        <v>40</v>
      </c>
      <c r="M30" s="13">
        <f t="shared" si="6"/>
        <v>77.974910480904029</v>
      </c>
      <c r="N30" s="13">
        <f t="shared" si="7"/>
        <v>-37.974910480904029</v>
      </c>
      <c r="O30" s="13">
        <f t="shared" si="10"/>
        <v>63.668102636224688</v>
      </c>
      <c r="P30" s="18">
        <f t="shared" si="11"/>
        <v>0.97775840705639261</v>
      </c>
      <c r="Q30" s="18">
        <f t="shared" si="12"/>
        <v>0.93715877688643767</v>
      </c>
      <c r="R30" s="13"/>
      <c r="T30" s="16">
        <f t="shared" si="8"/>
        <v>45658</v>
      </c>
      <c r="U30" s="17">
        <v>50000</v>
      </c>
      <c r="V30" s="17">
        <v>50000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3"/>
      <c r="AT30" s="13"/>
    </row>
    <row r="31" spans="1:46" x14ac:dyDescent="0.35">
      <c r="A31" s="12">
        <f>DATE(YEAR(H4),MONTH(H4),1)</f>
        <v>45689</v>
      </c>
      <c r="B31" s="13"/>
      <c r="C31" s="13">
        <f>+'Plot Patterns'!$B$2</f>
        <v>0.13329981439292601</v>
      </c>
      <c r="D31" s="13">
        <f t="shared" si="1"/>
        <v>0</v>
      </c>
      <c r="E31" s="13">
        <f t="shared" si="2"/>
        <v>0</v>
      </c>
      <c r="F31" s="50">
        <f>ROUND(+K31*L31/100,0)-D31-B31</f>
        <v>25276</v>
      </c>
      <c r="G31" s="50">
        <f>+(L31/100*K31)*(1-C31)+B31</f>
        <v>21906.409390739194</v>
      </c>
      <c r="H31" s="53">
        <f t="shared" si="4"/>
        <v>21906.409390739194</v>
      </c>
      <c r="I31" s="45"/>
      <c r="J31" s="45"/>
      <c r="K31" s="13">
        <v>63189.121666666673</v>
      </c>
      <c r="L31" s="19">
        <v>40</v>
      </c>
      <c r="M31" s="13">
        <f t="shared" si="6"/>
        <v>0</v>
      </c>
      <c r="N31" s="13">
        <f t="shared" si="7"/>
        <v>40</v>
      </c>
      <c r="O31" s="13">
        <f t="shared" si="10"/>
        <v>63.566327739584118</v>
      </c>
      <c r="P31" s="18">
        <f t="shared" si="11"/>
        <v>1.0543535684197329</v>
      </c>
      <c r="Q31" s="18">
        <f t="shared" si="12"/>
        <v>0.92783652014718543</v>
      </c>
      <c r="R31" s="13"/>
      <c r="T31" s="16">
        <f t="shared" si="8"/>
        <v>45689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3"/>
      <c r="AT31" s="13"/>
    </row>
    <row r="32" spans="1:46" x14ac:dyDescent="0.35">
      <c r="H32" s="21" t="s">
        <v>61</v>
      </c>
      <c r="I32" s="46"/>
      <c r="J32" s="46"/>
      <c r="T32" t="s">
        <v>36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3:43" x14ac:dyDescent="0.35">
      <c r="C33" s="17"/>
      <c r="D33" s="13"/>
      <c r="E33" s="13"/>
      <c r="F33" s="13"/>
      <c r="G33" s="13"/>
      <c r="H33" s="14">
        <f>SUM(H8:H31)</f>
        <v>238347.62037937649</v>
      </c>
      <c r="I33" s="14">
        <f>SUM(I8:I31)</f>
        <v>79184.307753484652</v>
      </c>
      <c r="J33" s="14">
        <f>SUM(J8:J31)</f>
        <v>137256.90323515265</v>
      </c>
      <c r="K33" s="13"/>
      <c r="L33" s="22">
        <f>SUM(G20:G31)/SUM(K20:K31)</f>
        <v>0.63566327739584116</v>
      </c>
      <c r="M33" s="13"/>
      <c r="N33" s="13"/>
      <c r="O33" s="16"/>
    </row>
    <row r="34" spans="3:43" x14ac:dyDescent="0.35">
      <c r="C34" s="17"/>
      <c r="D34" s="13"/>
      <c r="G34" t="str">
        <f>IF(ABS(+B33+E33+F33-G33)&gt;0.005,B33+E33+F33,"  ")</f>
        <v xml:space="preserve">  </v>
      </c>
      <c r="H34" s="21"/>
      <c r="I34" s="46"/>
      <c r="J34" s="46"/>
      <c r="L34" s="23"/>
      <c r="O34" s="16"/>
    </row>
    <row r="35" spans="3:43" x14ac:dyDescent="0.35">
      <c r="C35" s="17"/>
      <c r="D35" s="13"/>
      <c r="H35" s="24">
        <v>7.4999999999999997E-2</v>
      </c>
      <c r="I35" s="47"/>
      <c r="J35" s="47"/>
      <c r="L35" s="23"/>
    </row>
    <row r="36" spans="3:43" x14ac:dyDescent="0.35">
      <c r="C36" s="17"/>
      <c r="D36" s="13"/>
      <c r="F36" s="23"/>
      <c r="H36" s="25">
        <f>H33*(1+H35)</f>
        <v>256223.69190782972</v>
      </c>
      <c r="I36" s="25"/>
      <c r="J36" s="25"/>
      <c r="K36" s="26"/>
      <c r="L36" s="27"/>
      <c r="M36" s="27"/>
      <c r="T36" s="31"/>
    </row>
    <row r="37" spans="3:43" x14ac:dyDescent="0.35">
      <c r="C37" s="17"/>
      <c r="D37" s="13"/>
      <c r="O37" s="16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3:43" x14ac:dyDescent="0.35">
      <c r="C38" s="17"/>
      <c r="D38" s="13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3:43" x14ac:dyDescent="0.35">
      <c r="C39" s="17"/>
      <c r="D39" s="13"/>
      <c r="F39" s="10"/>
      <c r="H39" s="28"/>
      <c r="I39" s="28"/>
      <c r="J39" s="28"/>
      <c r="K39" s="28"/>
      <c r="L39" s="28"/>
      <c r="M39" s="28"/>
      <c r="N39" s="29"/>
      <c r="O39" s="30"/>
      <c r="P39" s="3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3:43" x14ac:dyDescent="0.35">
      <c r="C40" s="17"/>
      <c r="D40" s="13"/>
      <c r="H40" s="28"/>
      <c r="I40" s="28"/>
      <c r="J40" s="28"/>
      <c r="K40" s="28"/>
      <c r="L40" s="28"/>
      <c r="M40" s="28"/>
      <c r="N40" s="29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</row>
    <row r="41" spans="3:43" x14ac:dyDescent="0.35">
      <c r="C41" s="17"/>
      <c r="D41" s="13"/>
    </row>
    <row r="42" spans="3:43" x14ac:dyDescent="0.35">
      <c r="C42" s="17"/>
      <c r="D42" s="13"/>
      <c r="H42" s="17"/>
      <c r="I42" s="17"/>
      <c r="J42" s="17"/>
      <c r="K42" s="17"/>
      <c r="L42" s="17"/>
      <c r="M42" s="17"/>
      <c r="N42" s="29"/>
      <c r="O42" s="23"/>
    </row>
    <row r="43" spans="3:43" x14ac:dyDescent="0.35">
      <c r="C43" s="17"/>
      <c r="D43" s="13"/>
      <c r="H43" s="17"/>
      <c r="I43" s="17"/>
      <c r="J43" s="17"/>
      <c r="K43" s="17"/>
      <c r="L43" s="17"/>
      <c r="M43" s="17"/>
      <c r="N43" s="29"/>
      <c r="O43" s="23"/>
      <c r="P43" s="23"/>
    </row>
    <row r="44" spans="3:43" x14ac:dyDescent="0.35">
      <c r="C44" s="17"/>
      <c r="D44" s="13"/>
    </row>
    <row r="45" spans="3:43" x14ac:dyDescent="0.35">
      <c r="C45" s="17"/>
      <c r="D45" s="13"/>
      <c r="H45" s="30"/>
      <c r="I45" s="30"/>
      <c r="J45" s="30"/>
      <c r="K45" s="27"/>
    </row>
    <row r="46" spans="3:43" x14ac:dyDescent="0.35">
      <c r="C46" s="17"/>
      <c r="D46" s="13"/>
      <c r="H46" s="30"/>
      <c r="I46" s="30"/>
      <c r="J46" s="30"/>
      <c r="K46" s="27"/>
    </row>
    <row r="47" spans="3:43" x14ac:dyDescent="0.35">
      <c r="C47" s="17"/>
      <c r="D47" s="13"/>
      <c r="H47" s="30"/>
      <c r="I47" s="30"/>
      <c r="J47" s="30"/>
    </row>
    <row r="48" spans="3:43" x14ac:dyDescent="0.35">
      <c r="C48" s="17"/>
      <c r="D48" s="13"/>
    </row>
    <row r="50" spans="8:11" x14ac:dyDescent="0.35">
      <c r="H50" s="23"/>
      <c r="I50" s="23"/>
      <c r="J50" s="23"/>
    </row>
    <row r="51" spans="8:11" x14ac:dyDescent="0.35">
      <c r="H51" s="23"/>
      <c r="I51" s="23"/>
      <c r="J51" s="23"/>
    </row>
    <row r="52" spans="8:11" x14ac:dyDescent="0.35">
      <c r="H52" s="23"/>
      <c r="I52" s="23"/>
      <c r="J52" s="23"/>
      <c r="K52" s="23"/>
    </row>
    <row r="53" spans="8:11" x14ac:dyDescent="0.35">
      <c r="H53" s="23"/>
      <c r="I53" s="23"/>
      <c r="J53" s="23"/>
    </row>
    <row r="54" spans="8:11" x14ac:dyDescent="0.35">
      <c r="H54" s="23"/>
      <c r="I54" s="23"/>
      <c r="J54" s="23"/>
    </row>
  </sheetData>
  <mergeCells count="1">
    <mergeCell ref="L4:O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Completion Factors</vt:lpstr>
      <vt:lpstr>Plot Patterns</vt:lpstr>
      <vt:lpstr>Summary</vt:lpstr>
      <vt:lpstr>Summary - vol all</vt:lpstr>
      <vt:lpstr>Summary - vol all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2025-03-07T15:01:05Z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