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Process Results_03.2024\"/>
    </mc:Choice>
  </mc:AlternateContent>
  <xr:revisionPtr revIDLastSave="0" documentId="13_ncr:1_{D1E1B8CC-3627-4840-9BEB-2E723DB8704B}" xr6:coauthVersionLast="47" xr6:coauthVersionMax="47" xr10:uidLastSave="{00000000-0000-0000-0000-000000000000}"/>
  <bookViews>
    <workbookView xWindow="-110" yWindow="-110" windowWidth="19420" windowHeight="11620" xr2:uid="{9B94C235-4B85-4887-832D-FBC296CFB081}"/>
  </bookViews>
  <sheets>
    <sheet name="Claims Liability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6" i="1"/>
  <c r="D17" i="1" l="1"/>
  <c r="D7" i="1"/>
  <c r="B17" i="1"/>
  <c r="C17" i="1" s="1"/>
  <c r="D8" i="1" l="1"/>
  <c r="D18" i="1"/>
  <c r="E17" i="1"/>
  <c r="F17" i="1" s="1"/>
  <c r="D9" i="1" l="1"/>
  <c r="D10" i="1" s="1"/>
  <c r="D11" i="1" s="1"/>
  <c r="D12" i="1" s="1"/>
  <c r="D13" i="1" s="1"/>
  <c r="D19" i="1"/>
  <c r="B18" i="1"/>
  <c r="C18" i="1" s="1"/>
  <c r="E18" i="1" l="1"/>
  <c r="F18" i="1" s="1"/>
  <c r="B10" i="1" l="1"/>
  <c r="C10" i="1" s="1"/>
  <c r="B9" i="1"/>
  <c r="C9" i="1" s="1"/>
  <c r="B7" i="1"/>
  <c r="C7" i="1" s="1"/>
  <c r="B5" i="1"/>
  <c r="C5" i="1" s="1"/>
  <c r="B13" i="1" l="1"/>
  <c r="C13" i="1" s="1"/>
  <c r="B16" i="1"/>
  <c r="C16" i="1" s="1"/>
  <c r="B12" i="1"/>
  <c r="C12" i="1" s="1"/>
  <c r="B11" i="1"/>
  <c r="C11" i="1" s="1"/>
  <c r="B8" i="1"/>
  <c r="C8" i="1" s="1"/>
  <c r="B6" i="1"/>
  <c r="C6" i="1" s="1"/>
  <c r="B19" i="1"/>
  <c r="C19" i="1" s="1"/>
  <c r="E10" i="1"/>
  <c r="F10" i="1" s="1"/>
  <c r="E9" i="1"/>
  <c r="F9" i="1" s="1"/>
  <c r="E7" i="1"/>
  <c r="F7" i="1" s="1"/>
  <c r="E5" i="1"/>
  <c r="F5" i="1" s="1"/>
  <c r="E19" i="1" l="1"/>
  <c r="E6" i="1"/>
  <c r="F6" i="1" s="1"/>
  <c r="E8" i="1"/>
  <c r="F8" i="1" s="1"/>
  <c r="E11" i="1"/>
  <c r="F11" i="1" s="1"/>
  <c r="E12" i="1"/>
  <c r="F12" i="1" s="1"/>
  <c r="E16" i="1"/>
  <c r="F16" i="1" s="1"/>
  <c r="E13" i="1"/>
  <c r="F13" i="1" s="1"/>
  <c r="F19" i="1" l="1"/>
  <c r="J26" i="1" l="1"/>
  <c r="I26" i="1"/>
  <c r="H26" i="1"/>
  <c r="G26" i="1"/>
  <c r="F26" i="1"/>
  <c r="E26" i="1"/>
  <c r="D26" i="1"/>
  <c r="C26" i="1"/>
  <c r="B26" i="1"/>
  <c r="A26" i="1" l="1"/>
  <c r="K26" i="1" s="1"/>
  <c r="B14" i="1" l="1"/>
  <c r="C14" i="1" l="1"/>
  <c r="E14" i="1"/>
  <c r="F14" i="1"/>
  <c r="B15" i="1" l="1"/>
  <c r="C15" i="1" l="1"/>
  <c r="C21" i="1" s="1"/>
  <c r="E15" i="1"/>
  <c r="E21" i="1" s="1"/>
  <c r="F15" i="1"/>
  <c r="F21" i="1" s="1"/>
  <c r="B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tc={FEE7276F-F39D-4233-9473-6D1FFD4DFD91}</author>
  </authors>
  <commentList>
    <comment ref="C22" authorId="0" shapeId="0" xr:uid="{FEE7276F-F39D-4233-9473-6D1FFD4DFD91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defined by Karl</t>
      </text>
    </comment>
  </commentList>
</comments>
</file>

<file path=xl/sharedStrings.xml><?xml version="1.0" encoding="utf-8"?>
<sst xmlns="http://schemas.openxmlformats.org/spreadsheetml/2006/main" count="36" uniqueCount="36">
  <si>
    <t>Company_Code</t>
  </si>
  <si>
    <t>Claim Liability</t>
  </si>
  <si>
    <t>LAE Percentage</t>
  </si>
  <si>
    <t>LAE Liability</t>
  </si>
  <si>
    <t>Claim_Liability_Total</t>
  </si>
  <si>
    <t>ASL</t>
  </si>
  <si>
    <t>AMH</t>
  </si>
  <si>
    <t>GTL</t>
  </si>
  <si>
    <t>NFL</t>
  </si>
  <si>
    <t>NSL</t>
  </si>
  <si>
    <t>PEN</t>
  </si>
  <si>
    <t>PHS</t>
  </si>
  <si>
    <t>PRT</t>
  </si>
  <si>
    <t>USH</t>
  </si>
  <si>
    <t>Total</t>
  </si>
  <si>
    <t>GBR</t>
  </si>
  <si>
    <t>XCH</t>
  </si>
  <si>
    <t>SLI</t>
  </si>
  <si>
    <t>ULI</t>
  </si>
  <si>
    <t>PLICA-NonMS</t>
  </si>
  <si>
    <t>PLICA-MS</t>
  </si>
  <si>
    <t>Load</t>
  </si>
  <si>
    <t>Valuation Month</t>
  </si>
  <si>
    <t>Claims Liability Reserves at Septmeber 2024</t>
  </si>
  <si>
    <t>XCH Allocation</t>
  </si>
  <si>
    <t>TY 2020</t>
  </si>
  <si>
    <t>TY 2019</t>
  </si>
  <si>
    <t>TY 2021</t>
  </si>
  <si>
    <t>TY 2022</t>
  </si>
  <si>
    <t>TY 2023</t>
  </si>
  <si>
    <t>Pre-HCCUA 2019</t>
  </si>
  <si>
    <t>HCCUA 2022</t>
  </si>
  <si>
    <t>HCCUA 2023</t>
  </si>
  <si>
    <t>HCCUA 2020</t>
  </si>
  <si>
    <t>HCCUA 2021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</si>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</sst>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9"/>
      <color theme="1"/>
      <name val="Arial Narrow"/>
      <family val="2"/>
    </font>
    <font>
      <sz val="9"/>
      <color theme="1"/>
      <name val="Arial Narrow"/>
      <family val="2"/>
    </font>
    <font>
      <sz val="9"/>
      <color rgb="FFFF0000"/>
      <name val="Arial Narrow"/>
      <family val="2"/>
    </font>
    <font>
      <b/>
      <sz val="9"/>
      <color theme="1"/>
      <name val="Arial Narrow"/>
      <family val="2"/>
    </font>
    <font>
      <b/>
      <sz val="9"/>
      <color theme="0"/>
      <name val="Aptos Narrow"/>
      <family val="2"/>
    </font>
    <font>
      <sz val="9"/>
      <color theme="3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0" fontId="0" fillId="0" borderId="0" xfId="0" applyNumberFormat="1"/>
    <xf numFmtId="10" fontId="5" fillId="0" borderId="0" xfId="0" applyNumberFormat="1" applyFont="1"/>
    <xf numFmtId="10" fontId="2" fillId="0" borderId="0" xfId="1" applyNumberFormat="1" applyFont="1"/>
    <xf numFmtId="0" fontId="3" fillId="0" borderId="0" xfId="0" applyFont="1"/>
    <xf numFmtId="164" fontId="3" fillId="0" borderId="0" xfId="0" applyNumberFormat="1" applyFont="1"/>
    <xf numFmtId="164" fontId="0" fillId="0" borderId="0" xfId="2" applyNumberFormat="1" applyFont="1"/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10" fontId="0" fillId="3" borderId="0" xfId="0" applyNumberFormat="1" applyFill="1"/>
    <xf numFmtId="164" fontId="0" fillId="3" borderId="0" xfId="2" applyNumberFormat="1" applyFont="1" applyFill="1"/>
    <xf numFmtId="17" fontId="0" fillId="0" borderId="0" xfId="0" applyNumberFormat="1"/>
    <xf numFmtId="9" fontId="3" fillId="0" borderId="0" xfId="1" applyFont="1"/>
    <xf numFmtId="17" fontId="0" fillId="3" borderId="0" xfId="0" applyNumberFormat="1" applyFill="1"/>
    <xf numFmtId="164" fontId="0" fillId="0" borderId="0" xfId="2" applyNumberFormat="1" applyFont="1" applyFill="1"/>
    <xf numFmtId="0" fontId="3" fillId="0" borderId="2" xfId="0" applyFont="1" applyBorder="1"/>
    <xf numFmtId="0" fontId="2" fillId="0" borderId="0" xfId="0" applyFont="1"/>
    <xf numFmtId="164" fontId="2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1" Type="http://schemas.microsoft.com/office/2017/10/relationships/person" Target="persons/person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_03.2024\Unified_IBNP_ASL.xlsx" TargetMode="External"/><Relationship Id="rId1" Type="http://schemas.openxmlformats.org/officeDocument/2006/relationships/externalLinkPath" Target="Unified_IBNP_ASL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_03.2024\Unified_IBNP_AMH.xlsx" TargetMode="External"/><Relationship Id="rId1" Type="http://schemas.openxmlformats.org/officeDocument/2006/relationships/externalLinkPath" Target="Unified_IBNP_AMH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_03.2024\Unified_IBNP_GBR.xlsx" TargetMode="External"/><Relationship Id="rId1" Type="http://schemas.openxmlformats.org/officeDocument/2006/relationships/externalLinkPath" Target="Unified_IBNP_GBR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_03.2024\Unified_IBNP_GTL.xlsx" TargetMode="External"/><Relationship Id="rId1" Type="http://schemas.openxmlformats.org/officeDocument/2006/relationships/externalLinkPath" Target="Unified_IBNP_GTL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_03.2024\Unified_IBNP_NFL.xlsx" TargetMode="External"/><Relationship Id="rId1" Type="http://schemas.openxmlformats.org/officeDocument/2006/relationships/externalLinkPath" Target="Unified_IBNP_NFL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_03.2024\Unified_IBNP_NSL.xlsx" TargetMode="External"/><Relationship Id="rId1" Type="http://schemas.openxmlformats.org/officeDocument/2006/relationships/externalLinkPath" Target="Unified_IBNP_NSL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_03.2024\Unified_IBNP_PEN.xlsx" TargetMode="External"/><Relationship Id="rId1" Type="http://schemas.openxmlformats.org/officeDocument/2006/relationships/externalLinkPath" Target="Unified_IBNP_PE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_03.2024\Unified_IBNP_PHS.xlsx" TargetMode="External"/><Relationship Id="rId1" Type="http://schemas.openxmlformats.org/officeDocument/2006/relationships/externalLinkPath" Target="Unified_IBNP_PHS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_03.2024\Unified_IBNP_PRT.xlsx" TargetMode="External"/><Relationship Id="rId1" Type="http://schemas.openxmlformats.org/officeDocument/2006/relationships/externalLinkPath" Target="Unified_IBNP_PRT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_03.2024\Unified_IBNP_NMS_PLICA.xlsx" TargetMode="External"/><Relationship Id="rId1" Type="http://schemas.openxmlformats.org/officeDocument/2006/relationships/externalLinkPath" Target="Unified_IBNP_NMS_PLICA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_03.2024\Unified_IBNP_MS_PLICA.xlsx" TargetMode="External"/><Relationship Id="rId1" Type="http://schemas.openxmlformats.org/officeDocument/2006/relationships/externalLinkPath" Target="Unified_IBNP_MS_PLICA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_03.2024\Unified_IBNP_SLI.xlsx" TargetMode="External"/><Relationship Id="rId1" Type="http://schemas.openxmlformats.org/officeDocument/2006/relationships/externalLinkPath" Target="Unified_IBNP_SLI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_03.2024\Unified_IBNP_ULI.xlsx" TargetMode="External"/><Relationship Id="rId1" Type="http://schemas.openxmlformats.org/officeDocument/2006/relationships/externalLinkPath" Target="Unified_IBNP_ULI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_03.2024\Unified_IBNP_Split_USH.xlsx" TargetMode="External"/><Relationship Id="rId1" Type="http://schemas.openxmlformats.org/officeDocument/2006/relationships/externalLinkPath" Target="Unified_IBNP_Split_USH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_03.2024\Unified_IBNP_XCH.xlsx" TargetMode="External"/><Relationship Id="rId1" Type="http://schemas.openxmlformats.org/officeDocument/2006/relationships/externalLinkPath" Target="Unified_IBNP_XCH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_03.2024\Unified_Claims_Liability_Summary_0.xlsx" TargetMode="External"/><Relationship Id="rId1" Type="http://schemas.openxmlformats.org/officeDocument/2006/relationships/externalLinkPath" Target="Unified_Claims_Liability_Summary_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8029.532608560934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2653.5626681097037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45686.317072541307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82256.371887465139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30748.26785373699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42028.499060217509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155625.86483650358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152530.06150600832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57983.398268364188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86626.514683682632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8504.99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12714.785569524904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76110.17981358782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L33">
            <v>70028.962559786072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818796.56279878505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XCH Allocation"/>
    </sheetNames>
    <sheetDataSet>
      <sheetData sheetId="0"/>
      <sheetData sheetId="1">
        <row r="4">
          <cell r="C4">
            <v>-2.9148382208684396</v>
          </cell>
          <cell r="D4">
            <v>-2.7064014351928947</v>
          </cell>
          <cell r="E4">
            <v>3393.5604976046384</v>
          </cell>
          <cell r="F4">
            <v>273600.1598950167</v>
          </cell>
          <cell r="G4">
            <v>524864.67464999738</v>
          </cell>
          <cell r="H4">
            <v>43.295481141201719</v>
          </cell>
          <cell r="I4">
            <v>5980.1429206664125</v>
          </cell>
          <cell r="J4">
            <v>10894.152130973038</v>
          </cell>
          <cell r="K4">
            <v>0</v>
          </cell>
          <cell r="L4">
            <v>26.198463041861604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ulia Oranias" id="{FC6D6499-D49C-4EF0-B72D-3446266526EE}" userId="S::joranias@actrisk.com::f83fb233-9eca-431f-9d3a-a35e583d3cea" providerId="AD"/>
</personList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" dT="2024-10-10T15:17:37.29" personId="{FC6D6499-D49C-4EF0-B72D-3446266526EE}" id="{FEE7276F-F39D-4233-9473-6D1FFD4DFD91}">
    <text>To be defined by Karl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8D66-6A3A-466E-8973-92ABD33CCFF7}">
  <dimension ref="A2:K26"/>
  <sheetViews>
    <sheetView tabSelected="1" topLeftCell="A6" workbookViewId="0">
      <selection activeCell="A26" sqref="A26"/>
    </sheetView>
  </sheetViews>
  <sheetFormatPr defaultRowHeight="11.5" x14ac:dyDescent="0.25"/>
  <cols>
    <col min="1" max="1" width="16.25" bestFit="1" customWidth="1"/>
    <col min="2" max="2" width="15.75" customWidth="1"/>
    <col min="3" max="3" width="16.75" bestFit="1" customWidth="1"/>
    <col min="4" max="4" width="12.125" customWidth="1"/>
    <col min="5" max="5" width="19.375" bestFit="1" customWidth="1"/>
    <col min="6" max="6" width="21.375" bestFit="1" customWidth="1"/>
    <col min="7" max="7" width="12.625" bestFit="1" customWidth="1"/>
    <col min="8" max="8" width="16.625" bestFit="1" customWidth="1"/>
    <col min="9" max="10" width="12.625" bestFit="1" customWidth="1"/>
    <col min="11" max="11" width="19.375" bestFit="1" customWidth="1"/>
  </cols>
  <sheetData>
    <row r="2" spans="1:8" x14ac:dyDescent="0.25">
      <c r="B2" s="6" t="s">
        <v>23</v>
      </c>
    </row>
    <row r="4" spans="1:8" ht="12" x14ac:dyDescent="0.3">
      <c r="A4" s="1" t="s">
        <v>0</v>
      </c>
      <c r="B4" s="1" t="s">
        <v>1</v>
      </c>
      <c r="C4" s="1" t="s">
        <v>21</v>
      </c>
      <c r="D4" s="1" t="s">
        <v>2</v>
      </c>
      <c r="E4" s="1" t="s">
        <v>3</v>
      </c>
      <c r="F4" s="1" t="s">
        <v>4</v>
      </c>
      <c r="H4" s="2" t="s">
        <v>22</v>
      </c>
    </row>
    <row r="5" spans="1:8" x14ac:dyDescent="0.25">
      <c r="A5" t="s">
        <v>5</v>
      </c>
      <c r="B5" s="9">
        <f>+[1]Summary!$H$33</f>
        <v>8029.532608560934</v>
      </c>
      <c r="C5" s="9">
        <f t="shared" ref="C5:C19" si="0">+B5*$C$22</f>
        <v>401.47663042804675</v>
      </c>
      <c r="D5" s="4">
        <v>7.4999999999999997E-2</v>
      </c>
      <c r="E5" s="8">
        <f>+B5*D5</f>
        <v>602.21494564207001</v>
      </c>
      <c r="F5" s="8">
        <f>+B5+C5+E5</f>
        <v>9033.2241846310517</v>
      </c>
      <c r="H5" s="14">
        <v>45536</v>
      </c>
    </row>
    <row r="6" spans="1:8" x14ac:dyDescent="0.25">
      <c r="A6" t="s">
        <v>6</v>
      </c>
      <c r="B6" s="9">
        <f>+[2]Summary!$H$33</f>
        <v>2653.5626681097037</v>
      </c>
      <c r="C6" s="9">
        <f t="shared" si="0"/>
        <v>132.6781334054852</v>
      </c>
      <c r="D6" s="3">
        <f>+D5</f>
        <v>7.4999999999999997E-2</v>
      </c>
      <c r="E6" s="8">
        <f t="shared" ref="E6:E19" si="1">+B6*D6</f>
        <v>199.01720010822777</v>
      </c>
      <c r="F6" s="8">
        <f t="shared" ref="F6:F19" si="2">+B6+C6+E6</f>
        <v>2985.2580016234169</v>
      </c>
      <c r="H6" s="14">
        <v>45536</v>
      </c>
    </row>
    <row r="7" spans="1:8" x14ac:dyDescent="0.25">
      <c r="A7" t="s">
        <v>15</v>
      </c>
      <c r="B7" s="9">
        <f>+[3]Summary!$H$33</f>
        <v>45686.317072541307</v>
      </c>
      <c r="C7" s="9">
        <f t="shared" si="0"/>
        <v>2284.3158536270653</v>
      </c>
      <c r="D7" s="3">
        <f t="shared" ref="D7:D13" si="3">+D6</f>
        <v>7.4999999999999997E-2</v>
      </c>
      <c r="E7" s="8">
        <f t="shared" si="1"/>
        <v>3426.4737804405981</v>
      </c>
      <c r="F7" s="8">
        <f t="shared" si="2"/>
        <v>51397.106706608967</v>
      </c>
      <c r="H7" s="14">
        <v>45536</v>
      </c>
    </row>
    <row r="8" spans="1:8" x14ac:dyDescent="0.25">
      <c r="A8" t="s">
        <v>7</v>
      </c>
      <c r="B8" s="9">
        <f>+[4]Summary!$H$33</f>
        <v>82256.371887465139</v>
      </c>
      <c r="C8" s="9">
        <f t="shared" si="0"/>
        <v>4112.8185943732569</v>
      </c>
      <c r="D8" s="3">
        <f t="shared" si="3"/>
        <v>7.4999999999999997E-2</v>
      </c>
      <c r="E8" s="8">
        <f t="shared" si="1"/>
        <v>6169.2278915598854</v>
      </c>
      <c r="F8" s="8">
        <f t="shared" si="2"/>
        <v>92538.418373398279</v>
      </c>
      <c r="H8" s="14">
        <v>45536</v>
      </c>
    </row>
    <row r="9" spans="1:8" x14ac:dyDescent="0.25">
      <c r="A9" t="s">
        <v>8</v>
      </c>
      <c r="B9" s="9">
        <f>+[5]Summary!$H$33</f>
        <v>30748.26785373699</v>
      </c>
      <c r="C9" s="9">
        <f t="shared" si="0"/>
        <v>1537.4133926868496</v>
      </c>
      <c r="D9" s="3">
        <f t="shared" si="3"/>
        <v>7.4999999999999997E-2</v>
      </c>
      <c r="E9" s="8">
        <f t="shared" si="1"/>
        <v>2306.1200890302744</v>
      </c>
      <c r="F9" s="8">
        <f t="shared" si="2"/>
        <v>34591.801335454111</v>
      </c>
      <c r="H9" s="14">
        <v>45536</v>
      </c>
    </row>
    <row r="10" spans="1:8" x14ac:dyDescent="0.25">
      <c r="A10" t="s">
        <v>9</v>
      </c>
      <c r="B10" s="9">
        <f>+[6]Summary!$H$33</f>
        <v>42028.499060217509</v>
      </c>
      <c r="C10" s="9">
        <f t="shared" si="0"/>
        <v>2101.4249530108755</v>
      </c>
      <c r="D10" s="3">
        <f t="shared" si="3"/>
        <v>7.4999999999999997E-2</v>
      </c>
      <c r="E10" s="8">
        <f t="shared" si="1"/>
        <v>3152.1374295163132</v>
      </c>
      <c r="F10" s="8">
        <f t="shared" si="2"/>
        <v>47282.0614427447</v>
      </c>
      <c r="H10" s="14">
        <v>45536</v>
      </c>
    </row>
    <row r="11" spans="1:8" x14ac:dyDescent="0.25">
      <c r="A11" t="s">
        <v>10</v>
      </c>
      <c r="B11" s="9">
        <f>+[7]Summary!$H$33</f>
        <v>155625.86483650358</v>
      </c>
      <c r="C11" s="9">
        <f t="shared" si="0"/>
        <v>7781.2932418251794</v>
      </c>
      <c r="D11" s="3">
        <f t="shared" si="3"/>
        <v>7.4999999999999997E-2</v>
      </c>
      <c r="E11" s="8">
        <f t="shared" si="1"/>
        <v>11671.939862737769</v>
      </c>
      <c r="F11" s="8">
        <f t="shared" si="2"/>
        <v>175079.09794106655</v>
      </c>
      <c r="H11" s="14">
        <v>45536</v>
      </c>
    </row>
    <row r="12" spans="1:8" x14ac:dyDescent="0.25">
      <c r="A12" t="s">
        <v>11</v>
      </c>
      <c r="B12" s="9">
        <f>+[8]Summary!$H$33</f>
        <v>152530.06150600832</v>
      </c>
      <c r="C12" s="9">
        <f t="shared" si="0"/>
        <v>7626.5030753004166</v>
      </c>
      <c r="D12" s="3">
        <f t="shared" si="3"/>
        <v>7.4999999999999997E-2</v>
      </c>
      <c r="E12" s="17">
        <f t="shared" si="1"/>
        <v>11439.754612950625</v>
      </c>
      <c r="F12" s="17">
        <f t="shared" si="2"/>
        <v>171596.31919425938</v>
      </c>
      <c r="H12" s="14">
        <v>45536</v>
      </c>
    </row>
    <row r="13" spans="1:8" x14ac:dyDescent="0.25">
      <c r="A13" t="s">
        <v>12</v>
      </c>
      <c r="B13" s="9">
        <f>+[9]Summary!$H$33</f>
        <v>57983.398268364188</v>
      </c>
      <c r="C13" s="9">
        <f t="shared" si="0"/>
        <v>2899.1699134182095</v>
      </c>
      <c r="D13" s="3">
        <f t="shared" si="3"/>
        <v>7.4999999999999997E-2</v>
      </c>
      <c r="E13" s="8">
        <f t="shared" si="1"/>
        <v>4348.7548701273136</v>
      </c>
      <c r="F13" s="8">
        <f t="shared" si="2"/>
        <v>65231.323051909712</v>
      </c>
      <c r="H13" s="14">
        <v>45536</v>
      </c>
    </row>
    <row r="14" spans="1:8" x14ac:dyDescent="0.25">
      <c r="A14" t="s">
        <v>19</v>
      </c>
      <c r="B14" s="9">
        <f>+[10]Summary!$H$33</f>
        <v>86626.514683682632</v>
      </c>
      <c r="C14" s="9">
        <f t="shared" si="0"/>
        <v>4331.3257341841318</v>
      </c>
      <c r="D14" s="5">
        <v>0.05</v>
      </c>
      <c r="E14" s="8">
        <f t="shared" si="1"/>
        <v>4331.3257341841318</v>
      </c>
      <c r="F14" s="8">
        <f t="shared" si="2"/>
        <v>95289.166152050908</v>
      </c>
      <c r="H14" s="14">
        <v>45536</v>
      </c>
    </row>
    <row r="15" spans="1:8" x14ac:dyDescent="0.25">
      <c r="A15" t="s">
        <v>20</v>
      </c>
      <c r="B15" s="9">
        <f>+[11]Summary!$H$33</f>
        <v>8504.99</v>
      </c>
      <c r="C15" s="9">
        <f t="shared" si="0"/>
        <v>425.24950000000001</v>
      </c>
      <c r="D15" s="5">
        <v>0.05</v>
      </c>
      <c r="E15" s="8">
        <f t="shared" si="1"/>
        <v>425.24950000000001</v>
      </c>
      <c r="F15" s="8">
        <f t="shared" si="2"/>
        <v>9355.4889999999996</v>
      </c>
      <c r="H15" s="14">
        <v>45536</v>
      </c>
    </row>
    <row r="16" spans="1:8" x14ac:dyDescent="0.25">
      <c r="A16" t="s">
        <v>17</v>
      </c>
      <c r="B16" s="9">
        <f>+[12]Summary!$H$33</f>
        <v>12714.785569524904</v>
      </c>
      <c r="C16" s="9">
        <f t="shared" si="0"/>
        <v>635.7392784762452</v>
      </c>
      <c r="D16" s="3">
        <f>+D5</f>
        <v>7.4999999999999997E-2</v>
      </c>
      <c r="E16" s="8">
        <f t="shared" si="1"/>
        <v>953.60891771436775</v>
      </c>
      <c r="F16" s="8">
        <f t="shared" si="2"/>
        <v>14304.133765715516</v>
      </c>
      <c r="H16" s="14">
        <v>45536</v>
      </c>
    </row>
    <row r="17" spans="1:11" x14ac:dyDescent="0.25">
      <c r="A17" t="s">
        <v>18</v>
      </c>
      <c r="B17" s="9">
        <f>+[13]Summary!$H$33</f>
        <v>76110.17981358782</v>
      </c>
      <c r="C17" s="9">
        <f t="shared" si="0"/>
        <v>3805.508990679391</v>
      </c>
      <c r="D17" s="3">
        <f t="shared" ref="D17:D19" si="4">+D6</f>
        <v>7.4999999999999997E-2</v>
      </c>
      <c r="E17" s="8">
        <f t="shared" si="1"/>
        <v>5708.2634860190865</v>
      </c>
      <c r="F17" s="8">
        <f t="shared" si="2"/>
        <v>85623.952290286295</v>
      </c>
      <c r="H17" s="14">
        <v>45536</v>
      </c>
    </row>
    <row r="18" spans="1:11" x14ac:dyDescent="0.25">
      <c r="A18" t="s">
        <v>13</v>
      </c>
      <c r="B18" s="9">
        <f>+[14]Summary!$L$33</f>
        <v>70028.962559786072</v>
      </c>
      <c r="C18" s="9">
        <f t="shared" si="0"/>
        <v>3501.4481279893039</v>
      </c>
      <c r="D18" s="3">
        <f t="shared" si="4"/>
        <v>7.4999999999999997E-2</v>
      </c>
      <c r="E18" s="8">
        <f t="shared" si="1"/>
        <v>5252.1721919839556</v>
      </c>
      <c r="F18" s="8">
        <f t="shared" si="2"/>
        <v>78782.582879759342</v>
      </c>
      <c r="H18" s="14">
        <v>45536</v>
      </c>
    </row>
    <row r="19" spans="1:11" s="10" customFormat="1" x14ac:dyDescent="0.25">
      <c r="A19" s="10" t="s">
        <v>16</v>
      </c>
      <c r="B19" s="11">
        <f>+[15]Summary!$H$33</f>
        <v>818796.56279878505</v>
      </c>
      <c r="C19" s="11">
        <f t="shared" si="0"/>
        <v>40939.828139939258</v>
      </c>
      <c r="D19" s="12">
        <f t="shared" si="4"/>
        <v>7.4999999999999997E-2</v>
      </c>
      <c r="E19" s="13">
        <f t="shared" si="1"/>
        <v>61409.742209908873</v>
      </c>
      <c r="F19" s="13">
        <f t="shared" si="2"/>
        <v>921146.13314863318</v>
      </c>
      <c r="H19" s="16">
        <v>45505</v>
      </c>
    </row>
    <row r="20" spans="1:11" x14ac:dyDescent="0.25">
      <c r="B20" s="9"/>
      <c r="C20" s="9"/>
    </row>
    <row r="21" spans="1:11" x14ac:dyDescent="0.25">
      <c r="A21" s="6" t="s">
        <v>14</v>
      </c>
      <c r="B21" s="7">
        <f>+SUM(B5:B20)</f>
        <v>1650323.8711868739</v>
      </c>
      <c r="C21" s="7">
        <f>+SUM(C5:C20)</f>
        <v>82516.193559343723</v>
      </c>
      <c r="D21" s="6"/>
      <c r="E21" s="7">
        <f>+SUM(E5:E20)</f>
        <v>121396.00272192349</v>
      </c>
      <c r="F21" s="7">
        <f>+SUM(F5:F20)</f>
        <v>1854236.0674681414</v>
      </c>
    </row>
    <row r="22" spans="1:11" x14ac:dyDescent="0.25">
      <c r="C22" s="15">
        <v>0.05</v>
      </c>
    </row>
    <row r="24" spans="1:11" x14ac:dyDescent="0.25">
      <c r="A24" s="6" t="s">
        <v>24</v>
      </c>
    </row>
    <row r="25" spans="1:11" x14ac:dyDescent="0.25">
      <c r="A25" s="6" t="s">
        <v>25</v>
      </c>
      <c r="B25" s="6" t="s">
        <v>26</v>
      </c>
      <c r="C25" s="6" t="s">
        <v>27</v>
      </c>
      <c r="D25" s="6" t="s">
        <v>28</v>
      </c>
      <c r="E25" s="6" t="s">
        <v>29</v>
      </c>
      <c r="F25" s="6" t="s">
        <v>30</v>
      </c>
      <c r="G25" s="6" t="s">
        <v>31</v>
      </c>
      <c r="H25" s="6" t="s">
        <v>32</v>
      </c>
      <c r="I25" s="6" t="s">
        <v>33</v>
      </c>
      <c r="J25" s="18" t="s">
        <v>34</v>
      </c>
      <c r="K25" s="19" t="s">
        <v>35</v>
      </c>
    </row>
    <row r="26" spans="1:11" x14ac:dyDescent="0.25">
      <c r="A26" s="8">
        <f>+'[16]XCH Allocation'!C4*(1+$D$19)+'[16]XCH Allocation'!C4*$C$22</f>
        <v>-3.2791929984769945</v>
      </c>
      <c r="B26" s="8">
        <f>+'[16]XCH Allocation'!D4*(1+$D$19)+'[16]XCH Allocation'!D4*$C$22</f>
        <v>-3.0447016145920061</v>
      </c>
      <c r="C26" s="8">
        <f>+'[16]XCH Allocation'!E4*(1+$D$19)+'[16]XCH Allocation'!E4*$C$22</f>
        <v>3817.7555598052181</v>
      </c>
      <c r="D26" s="8">
        <f>+'[16]XCH Allocation'!F4*(1+$D$19)+'[16]XCH Allocation'!F4*$C$22</f>
        <v>307800.1798818938</v>
      </c>
      <c r="E26" s="8">
        <f>+'[16]XCH Allocation'!G4*(1+$D$19)+'[16]XCH Allocation'!G4*$C$22</f>
        <v>590472.75898124708</v>
      </c>
      <c r="F26" s="8">
        <f>+'[16]XCH Allocation'!H4*(1+$D$19)+'[16]XCH Allocation'!H4*$C$22</f>
        <v>48.707416283851934</v>
      </c>
      <c r="G26" s="8">
        <f>+'[16]XCH Allocation'!I4*(1+$D$19)+'[16]XCH Allocation'!I4*$C$22</f>
        <v>6727.6607857497129</v>
      </c>
      <c r="H26" s="8">
        <f>+'[16]XCH Allocation'!J4*(1+$D$19)+'[16]XCH Allocation'!J4*$C$22</f>
        <v>12255.921147344668</v>
      </c>
      <c r="I26" s="8">
        <f>+'[16]XCH Allocation'!K4*(1+$D$19)+'[16]XCH Allocation'!K4*$C$22</f>
        <v>0</v>
      </c>
      <c r="J26" s="8">
        <f>+'[16]XCH Allocation'!L4*(1+$D$19)+'[16]XCH Allocation'!L4*$C$22</f>
        <v>29.473270922094304</v>
      </c>
      <c r="K26" s="20">
        <f>+SUM(A26:J26)-F19</f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 Liability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2024-08-16T11:17:23Z</dcterms:created>
  <dcterms:modified xsi:type="dcterms:W3CDTF">2024-10-16T17:52:17Z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{49AD73FB-2191-42B3-A351-5598DE080B02}</vt:lpwstr>
  </property>
</Properties>
</file>