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SMoretti\OneDrive - ARM\Documents\GitHub\DMI_IBNP\Process Results\"/>
    </mc:Choice>
  </mc:AlternateContent>
  <xr:revisionPtr revIDLastSave="0" documentId="13_ncr:1_{6BE1794F-C06D-47A4-8269-66CEAF83628F}" xr6:coauthVersionLast="47" xr6:coauthVersionMax="47" xr10:uidLastSave="{00000000-0000-0000-0000-000000000000}"/>
  <bookViews>
    <workbookView xWindow="-108" yWindow="-108" windowWidth="23256" windowHeight="12576" xr2:uid="{9B94C235-4B85-4887-832D-FBC296CFB081}"/>
  </bookViews>
  <sheets>
    <sheet name="Summary" sheetId="1" r:id="rId1"/>
    <sheet name="XCH Allocation" sheetId="2"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1" l="1"/>
  <c r="G15" i="1" l="1"/>
  <c r="G14" i="1"/>
  <c r="G13" i="1"/>
  <c r="G12" i="1"/>
  <c r="G11" i="1"/>
  <c r="G10" i="1"/>
  <c r="G9" i="1"/>
  <c r="G8" i="1"/>
  <c r="G7" i="1"/>
  <c r="G6" i="1"/>
  <c r="G5" i="1"/>
  <c r="G4" i="1"/>
  <c r="G3" i="1"/>
  <c r="G2" i="1"/>
  <c r="B28" i="2" l="1"/>
  <c r="B27" i="2"/>
  <c r="B26" i="2"/>
  <c r="A28" i="2"/>
  <c r="A27" i="2"/>
  <c r="A26" i="2"/>
  <c r="A25" i="2"/>
  <c r="A24" i="2"/>
  <c r="A23" i="2"/>
  <c r="A22" i="2"/>
  <c r="A21" i="2"/>
  <c r="A20" i="2"/>
  <c r="A19" i="2"/>
  <c r="A18" i="2"/>
  <c r="A17" i="2"/>
  <c r="A16" i="2"/>
  <c r="A15" i="2"/>
  <c r="A14" i="2"/>
  <c r="A13" i="2"/>
  <c r="A12" i="2"/>
  <c r="A11" i="2"/>
  <c r="A10" i="2"/>
  <c r="A9" i="2"/>
  <c r="A8" i="2"/>
  <c r="A7" i="2"/>
  <c r="A6" i="2"/>
  <c r="A5" i="2"/>
  <c r="M26" i="2" l="1"/>
  <c r="L26" i="2"/>
  <c r="K26" i="2"/>
  <c r="J26" i="2"/>
  <c r="I26" i="2"/>
  <c r="H26" i="2"/>
  <c r="G26" i="2"/>
  <c r="F26" i="2"/>
  <c r="E26" i="2"/>
  <c r="D26" i="2"/>
  <c r="C26" i="2"/>
  <c r="N26" i="2" s="1"/>
  <c r="M27" i="2"/>
  <c r="L27" i="2"/>
  <c r="K27" i="2"/>
  <c r="J27" i="2"/>
  <c r="I27" i="2"/>
  <c r="H27" i="2"/>
  <c r="G27" i="2"/>
  <c r="F27" i="2"/>
  <c r="E27" i="2"/>
  <c r="D27" i="2"/>
  <c r="C27" i="2"/>
  <c r="N27" i="2" s="1"/>
  <c r="M28" i="2"/>
  <c r="L28" i="2"/>
  <c r="K28" i="2"/>
  <c r="J28" i="2"/>
  <c r="I28" i="2"/>
  <c r="H28" i="2"/>
  <c r="G28" i="2"/>
  <c r="F28" i="2"/>
  <c r="E28" i="2"/>
  <c r="D28" i="2"/>
  <c r="C28" i="2"/>
  <c r="N28" i="2" s="1"/>
  <c r="B6" i="2"/>
  <c r="B7" i="2"/>
  <c r="B8" i="2"/>
  <c r="B9" i="2"/>
  <c r="B10" i="2"/>
  <c r="B11" i="2"/>
  <c r="B12" i="2"/>
  <c r="B13" i="2"/>
  <c r="B14" i="2"/>
  <c r="B15" i="2"/>
  <c r="B16" i="2"/>
  <c r="B17" i="2"/>
  <c r="B18" i="2"/>
  <c r="B19" i="2"/>
  <c r="B20" i="2"/>
  <c r="B21" i="2"/>
  <c r="B22" i="2"/>
  <c r="B23" i="2"/>
  <c r="B24" i="2"/>
  <c r="B25" i="2"/>
  <c r="M25" i="2" l="1"/>
  <c r="L25" i="2"/>
  <c r="K25" i="2"/>
  <c r="J25" i="2"/>
  <c r="I25" i="2"/>
  <c r="H25" i="2"/>
  <c r="G25" i="2"/>
  <c r="F25" i="2"/>
  <c r="E25" i="2"/>
  <c r="D25" i="2"/>
  <c r="C25" i="2"/>
  <c r="N25" i="2" s="1"/>
  <c r="M24" i="2"/>
  <c r="L24" i="2"/>
  <c r="K24" i="2"/>
  <c r="J24" i="2"/>
  <c r="I24" i="2"/>
  <c r="H24" i="2"/>
  <c r="G24" i="2"/>
  <c r="F24" i="2"/>
  <c r="E24" i="2"/>
  <c r="D24" i="2"/>
  <c r="C24" i="2"/>
  <c r="N24" i="2" s="1"/>
  <c r="M23" i="2"/>
  <c r="L23" i="2"/>
  <c r="K23" i="2"/>
  <c r="J23" i="2"/>
  <c r="I23" i="2"/>
  <c r="H23" i="2"/>
  <c r="G23" i="2"/>
  <c r="F23" i="2"/>
  <c r="E23" i="2"/>
  <c r="D23" i="2"/>
  <c r="C23" i="2"/>
  <c r="N23" i="2" s="1"/>
  <c r="M22" i="2"/>
  <c r="L22" i="2"/>
  <c r="K22" i="2"/>
  <c r="J22" i="2"/>
  <c r="I22" i="2"/>
  <c r="H22" i="2"/>
  <c r="G22" i="2"/>
  <c r="F22" i="2"/>
  <c r="E22" i="2"/>
  <c r="D22" i="2"/>
  <c r="C22" i="2"/>
  <c r="N22" i="2" s="1"/>
  <c r="M21" i="2"/>
  <c r="L21" i="2"/>
  <c r="K21" i="2"/>
  <c r="J21" i="2"/>
  <c r="I21" i="2"/>
  <c r="H21" i="2"/>
  <c r="G21" i="2"/>
  <c r="F21" i="2"/>
  <c r="E21" i="2"/>
  <c r="D21" i="2"/>
  <c r="C21" i="2"/>
  <c r="N21" i="2" s="1"/>
  <c r="M20" i="2"/>
  <c r="L20" i="2"/>
  <c r="K20" i="2"/>
  <c r="J20" i="2"/>
  <c r="I20" i="2"/>
  <c r="H20" i="2"/>
  <c r="G20" i="2"/>
  <c r="F20" i="2"/>
  <c r="E20" i="2"/>
  <c r="D20" i="2"/>
  <c r="C20" i="2"/>
  <c r="N20" i="2" s="1"/>
  <c r="M19" i="2"/>
  <c r="L19" i="2"/>
  <c r="K19" i="2"/>
  <c r="J19" i="2"/>
  <c r="I19" i="2"/>
  <c r="H19" i="2"/>
  <c r="G19" i="2"/>
  <c r="F19" i="2"/>
  <c r="E19" i="2"/>
  <c r="D19" i="2"/>
  <c r="C19" i="2"/>
  <c r="N19" i="2" s="1"/>
  <c r="M18" i="2"/>
  <c r="L18" i="2"/>
  <c r="K18" i="2"/>
  <c r="J18" i="2"/>
  <c r="I18" i="2"/>
  <c r="H18" i="2"/>
  <c r="G18" i="2"/>
  <c r="F18" i="2"/>
  <c r="E18" i="2"/>
  <c r="D18" i="2"/>
  <c r="C18" i="2"/>
  <c r="N18" i="2" s="1"/>
  <c r="M17" i="2"/>
  <c r="L17" i="2"/>
  <c r="K17" i="2"/>
  <c r="J17" i="2"/>
  <c r="I17" i="2"/>
  <c r="H17" i="2"/>
  <c r="G17" i="2"/>
  <c r="F17" i="2"/>
  <c r="E17" i="2"/>
  <c r="D17" i="2"/>
  <c r="C17" i="2"/>
  <c r="N17" i="2" s="1"/>
  <c r="M16" i="2"/>
  <c r="L16" i="2"/>
  <c r="K16" i="2"/>
  <c r="J16" i="2"/>
  <c r="I16" i="2"/>
  <c r="H16" i="2"/>
  <c r="G16" i="2"/>
  <c r="F16" i="2"/>
  <c r="E16" i="2"/>
  <c r="D16" i="2"/>
  <c r="C16" i="2"/>
  <c r="N16" i="2" s="1"/>
  <c r="M15" i="2"/>
  <c r="L15" i="2"/>
  <c r="K15" i="2"/>
  <c r="J15" i="2"/>
  <c r="I15" i="2"/>
  <c r="H15" i="2"/>
  <c r="G15" i="2"/>
  <c r="F15" i="2"/>
  <c r="E15" i="2"/>
  <c r="D15" i="2"/>
  <c r="C15" i="2"/>
  <c r="N15" i="2" s="1"/>
  <c r="M14" i="2"/>
  <c r="L14" i="2"/>
  <c r="K14" i="2"/>
  <c r="J14" i="2"/>
  <c r="I14" i="2"/>
  <c r="H14" i="2"/>
  <c r="G14" i="2"/>
  <c r="F14" i="2"/>
  <c r="E14" i="2"/>
  <c r="D14" i="2"/>
  <c r="C14" i="2"/>
  <c r="N14" i="2" s="1"/>
  <c r="M13" i="2"/>
  <c r="L13" i="2"/>
  <c r="K13" i="2"/>
  <c r="J13" i="2"/>
  <c r="I13" i="2"/>
  <c r="H13" i="2"/>
  <c r="G13" i="2"/>
  <c r="F13" i="2"/>
  <c r="E13" i="2"/>
  <c r="D13" i="2"/>
  <c r="C13" i="2"/>
  <c r="N13" i="2" s="1"/>
  <c r="M12" i="2"/>
  <c r="L12" i="2"/>
  <c r="K12" i="2"/>
  <c r="J12" i="2"/>
  <c r="I12" i="2"/>
  <c r="H12" i="2"/>
  <c r="G12" i="2"/>
  <c r="F12" i="2"/>
  <c r="E12" i="2"/>
  <c r="D12" i="2"/>
  <c r="C12" i="2"/>
  <c r="N12" i="2" s="1"/>
  <c r="M11" i="2"/>
  <c r="L11" i="2"/>
  <c r="K11" i="2"/>
  <c r="J11" i="2"/>
  <c r="I11" i="2"/>
  <c r="H11" i="2"/>
  <c r="G11" i="2"/>
  <c r="F11" i="2"/>
  <c r="E11" i="2"/>
  <c r="D11" i="2"/>
  <c r="C11" i="2"/>
  <c r="N11" i="2" s="1"/>
  <c r="M10" i="2"/>
  <c r="L10" i="2"/>
  <c r="K10" i="2"/>
  <c r="J10" i="2"/>
  <c r="I10" i="2"/>
  <c r="H10" i="2"/>
  <c r="G10" i="2"/>
  <c r="F10" i="2"/>
  <c r="E10" i="2"/>
  <c r="D10" i="2"/>
  <c r="C10" i="2"/>
  <c r="N10" i="2" s="1"/>
  <c r="M9" i="2"/>
  <c r="L9" i="2"/>
  <c r="K9" i="2"/>
  <c r="J9" i="2"/>
  <c r="I9" i="2"/>
  <c r="H9" i="2"/>
  <c r="G9" i="2"/>
  <c r="F9" i="2"/>
  <c r="E9" i="2"/>
  <c r="D9" i="2"/>
  <c r="C9" i="2"/>
  <c r="N9" i="2" s="1"/>
  <c r="M8" i="2"/>
  <c r="L8" i="2"/>
  <c r="K8" i="2"/>
  <c r="J8" i="2"/>
  <c r="I8" i="2"/>
  <c r="H8" i="2"/>
  <c r="G8" i="2"/>
  <c r="F8" i="2"/>
  <c r="E8" i="2"/>
  <c r="D8" i="2"/>
  <c r="C8" i="2"/>
  <c r="N8" i="2" s="1"/>
  <c r="M7" i="2"/>
  <c r="L7" i="2"/>
  <c r="K7" i="2"/>
  <c r="J7" i="2"/>
  <c r="I7" i="2"/>
  <c r="H7" i="2"/>
  <c r="G7" i="2"/>
  <c r="F7" i="2"/>
  <c r="E7" i="2"/>
  <c r="D7" i="2"/>
  <c r="C7" i="2"/>
  <c r="N7" i="2" s="1"/>
  <c r="M6" i="2"/>
  <c r="L6" i="2"/>
  <c r="K6" i="2"/>
  <c r="J6" i="2"/>
  <c r="I6" i="2"/>
  <c r="H6" i="2"/>
  <c r="G6" i="2"/>
  <c r="F6" i="2"/>
  <c r="E6" i="2"/>
  <c r="D6" i="2"/>
  <c r="C6" i="2"/>
  <c r="B5" i="2"/>
  <c r="B4" i="2" s="1"/>
  <c r="H4" i="2" l="1"/>
  <c r="B11" i="1"/>
  <c r="J11" i="1"/>
  <c r="J14" i="1"/>
  <c r="B14" i="1" l="1"/>
  <c r="J12" i="1" l="1"/>
  <c r="J16" i="1" l="1"/>
  <c r="C16" i="1"/>
  <c r="J15" i="1"/>
  <c r="C15" i="1"/>
  <c r="C14" i="1"/>
  <c r="D14" i="1" s="1"/>
  <c r="E14" i="1" s="1"/>
  <c r="J13" i="1"/>
  <c r="C13" i="1"/>
  <c r="D11" i="1"/>
  <c r="E11" i="1" s="1"/>
  <c r="J10" i="1"/>
  <c r="C10" i="1"/>
  <c r="J9" i="1"/>
  <c r="C9" i="1"/>
  <c r="J8" i="1"/>
  <c r="C8" i="1"/>
  <c r="J7" i="1"/>
  <c r="C7" i="1"/>
  <c r="J6" i="1"/>
  <c r="C6" i="1"/>
  <c r="J5" i="1"/>
  <c r="C5" i="1"/>
  <c r="J4" i="1"/>
  <c r="C4" i="1"/>
  <c r="J3" i="1"/>
  <c r="C3" i="1"/>
  <c r="J2" i="1"/>
  <c r="C2" i="1"/>
  <c r="K14" i="1" l="1"/>
  <c r="L14" i="1" s="1"/>
  <c r="H14" i="1"/>
  <c r="I14" i="1" s="1"/>
  <c r="K11" i="1"/>
  <c r="L11" i="1" s="1"/>
  <c r="H11" i="1"/>
  <c r="I11" i="1" s="1"/>
  <c r="B15" i="1"/>
  <c r="J18" i="1"/>
  <c r="D15" i="1" l="1"/>
  <c r="E15" i="1" s="1"/>
  <c r="K15" i="1" l="1"/>
  <c r="L15" i="1" s="1"/>
  <c r="H15" i="1"/>
  <c r="I15" i="1" s="1"/>
  <c r="B7" i="1"/>
  <c r="B6" i="1"/>
  <c r="B2" i="1"/>
  <c r="B10" i="1" l="1"/>
  <c r="B13" i="1"/>
  <c r="B9" i="1"/>
  <c r="B8" i="1"/>
  <c r="B3" i="1"/>
  <c r="B16" i="1"/>
  <c r="D7" i="1"/>
  <c r="E7" i="1" s="1"/>
  <c r="D6" i="1"/>
  <c r="E6" i="1" s="1"/>
  <c r="D2" i="1"/>
  <c r="K7" i="1" l="1"/>
  <c r="L7" i="1" s="1"/>
  <c r="H7" i="1"/>
  <c r="I7" i="1" s="1"/>
  <c r="K6" i="1"/>
  <c r="L6" i="1" s="1"/>
  <c r="H6" i="1"/>
  <c r="I6" i="1" s="1"/>
  <c r="D16" i="1"/>
  <c r="E16" i="1" s="1"/>
  <c r="G16" i="1" s="1"/>
  <c r="G18" i="1" s="1"/>
  <c r="D3" i="1"/>
  <c r="E3" i="1" s="1"/>
  <c r="D5" i="1"/>
  <c r="E5" i="1" s="1"/>
  <c r="D8" i="1"/>
  <c r="E8" i="1" s="1"/>
  <c r="D9" i="1"/>
  <c r="E9" i="1" s="1"/>
  <c r="D13" i="1"/>
  <c r="E13" i="1" s="1"/>
  <c r="D10" i="1"/>
  <c r="E10" i="1" s="1"/>
  <c r="E2" i="1"/>
  <c r="H2" i="1" s="1"/>
  <c r="I2" i="1" s="1"/>
  <c r="K13" i="1" l="1"/>
  <c r="L13" i="1" s="1"/>
  <c r="H13" i="1"/>
  <c r="I13" i="1" s="1"/>
  <c r="K10" i="1"/>
  <c r="L10" i="1" s="1"/>
  <c r="H10" i="1"/>
  <c r="I10" i="1" s="1"/>
  <c r="K9" i="1"/>
  <c r="L9" i="1" s="1"/>
  <c r="H9" i="1"/>
  <c r="I9" i="1" s="1"/>
  <c r="K8" i="1"/>
  <c r="L8" i="1" s="1"/>
  <c r="H8" i="1"/>
  <c r="I8" i="1" s="1"/>
  <c r="K5" i="1"/>
  <c r="L5" i="1" s="1"/>
  <c r="H5" i="1"/>
  <c r="I5" i="1" s="1"/>
  <c r="K16" i="1"/>
  <c r="L16" i="1" s="1"/>
  <c r="H16" i="1"/>
  <c r="I16" i="1" s="1"/>
  <c r="K3" i="1"/>
  <c r="L3" i="1" s="1"/>
  <c r="H3" i="1"/>
  <c r="I3" i="1"/>
  <c r="K2" i="1"/>
  <c r="L2" i="1" l="1"/>
  <c r="B12" i="1" l="1"/>
  <c r="D12" i="1" l="1"/>
  <c r="E12" i="1"/>
  <c r="K12" i="1" l="1"/>
  <c r="H12" i="1"/>
  <c r="I12" i="1" l="1"/>
  <c r="L12" i="1"/>
  <c r="B4" i="1" l="1"/>
  <c r="D4" i="1" l="1"/>
  <c r="D18" i="1" s="1"/>
  <c r="E4" i="1"/>
  <c r="B18" i="1"/>
  <c r="K4" i="1" l="1"/>
  <c r="H4" i="1"/>
  <c r="E18" i="1"/>
  <c r="H18" i="1" l="1"/>
  <c r="I18" i="1" s="1"/>
  <c r="I4" i="1"/>
  <c r="K18" i="1"/>
  <c r="L18" i="1" s="1"/>
  <c r="L4" i="1"/>
  <c r="N6" i="2" l="1"/>
  <c r="M4" i="2" l="1"/>
  <c r="L4" i="2"/>
  <c r="K4" i="2"/>
  <c r="J4" i="2"/>
  <c r="I4" i="2"/>
  <c r="G4" i="2"/>
  <c r="F4" i="2"/>
  <c r="E4" i="2"/>
  <c r="D4" i="2"/>
  <c r="C4" i="2"/>
  <c r="N5" i="2"/>
  <c r="N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tc={4EA062A0-BE3E-4ACB-98F3-2F60190870C5}</author>
  </authors>
  <commentList>
    <comment ref="J11" authorId="0" shapeId="0" xr:uid="{4EA062A0-BE3E-4ACB-98F3-2F60190870C5}">
      <text>
        <t>[Threaded comment]
Your version of Excel allows you to read this threaded comment; however, any edits to it will get removed if the file is opened in a newer version of Excel. Learn more: https://go.microsoft.com/fwlink/?linkid=870924
Comment:
    Unified has not booked the 507k reserve for LL according to Kevin’s email</t>
      </text>
    </comment>
  </commentList>
</comments>
</file>

<file path=xl/sharedStrings.xml><?xml version="1.0" encoding="utf-8"?>
<sst xmlns="http://schemas.openxmlformats.org/spreadsheetml/2006/main" count="80" uniqueCount="54">
  <si>
    <t>Company_Code</t>
  </si>
  <si>
    <t>Claim Liability</t>
  </si>
  <si>
    <t>LAE Percentage</t>
  </si>
  <si>
    <t>LAE Liability</t>
  </si>
  <si>
    <t>Claim_Liability_Total</t>
  </si>
  <si>
    <t>ASL</t>
  </si>
  <si>
    <t>AMH</t>
  </si>
  <si>
    <t>GTL</t>
  </si>
  <si>
    <t>NFL</t>
  </si>
  <si>
    <t>NSL</t>
  </si>
  <si>
    <t>PEN</t>
  </si>
  <si>
    <t>PHS</t>
  </si>
  <si>
    <t>PRT</t>
  </si>
  <si>
    <t>USH</t>
  </si>
  <si>
    <t>Total</t>
  </si>
  <si>
    <t>GBR</t>
  </si>
  <si>
    <t>XCH</t>
  </si>
  <si>
    <t>SLI</t>
  </si>
  <si>
    <t>ULI</t>
  </si>
  <si>
    <t>PLICA-NonMS</t>
  </si>
  <si>
    <t>PLICA-MS</t>
  </si>
  <si>
    <t>Pattern Selection</t>
  </si>
  <si>
    <t>Difference</t>
  </si>
  <si>
    <t>Difference %</t>
  </si>
  <si>
    <t>Comment</t>
  </si>
  <si>
    <t>NA</t>
  </si>
  <si>
    <t>Threshold</t>
  </si>
  <si>
    <t>Prior From Unified Files</t>
  </si>
  <si>
    <t>Average Simple12 &amp; Simple6</t>
  </si>
  <si>
    <t>Average Simple3 &amp; Simple6</t>
  </si>
  <si>
    <t>Average Simple12</t>
  </si>
  <si>
    <t>Simple12MS and Avergae 3, 6 and 12 NMS</t>
  </si>
  <si>
    <t>Prior From ARM Scen 6</t>
  </si>
  <si>
    <t>Triangle is almost empty. We should select Volume All or 12 to ionclude some information in the triangle. Other option is use patterns from other block, since this is not technical the best option.</t>
  </si>
  <si>
    <t>Incurral</t>
  </si>
  <si>
    <t>Month</t>
  </si>
  <si>
    <t>Claim</t>
  </si>
  <si>
    <t>Liability</t>
  </si>
  <si>
    <t>TY 2020</t>
  </si>
  <si>
    <t>TY 2019</t>
  </si>
  <si>
    <t>TY 2021</t>
  </si>
  <si>
    <t>TY 2022</t>
  </si>
  <si>
    <t>TY 2023</t>
  </si>
  <si>
    <t>Pre-HCCUA 2019</t>
  </si>
  <si>
    <t>HCCUA 2022</t>
  </si>
  <si>
    <t>HCCUA 2023</t>
  </si>
  <si>
    <t>HCCUA 2020</t>
  </si>
  <si>
    <t>HCCUA 2021</t>
  </si>
  <si>
    <t>Check</t>
  </si>
  <si>
    <t>TOTAL</t>
  </si>
  <si>
    <t>TY 2024</t>
  </si>
  <si>
    <t>Changed to: Average Simple6 &amp; Simple12</t>
  </si>
  <si>
    <t>Higher IBNR due to very low payments during February 2024</t>
  </si>
  <si>
    <t>We continue using:  Volume All + Change in methodology for the last 3 months (form IELR to BF)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</si>
</sst>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409]mmm\-yy;@"/>
  </numFmts>
  <fonts count="7" x14ac:knownFonts="1">
    <font>
      <sz val="9"/>
      <color theme="1"/>
      <name val="Arial Narrow"/>
      <family val="2"/>
    </font>
    <font>
      <sz val="9"/>
      <color theme="1"/>
      <name val="Arial Narrow"/>
      <family val="2"/>
    </font>
    <font>
      <sz val="9"/>
      <color rgb="FFFF0000"/>
      <name val="Arial Narrow"/>
      <family val="2"/>
    </font>
    <font>
      <b/>
      <sz val="9"/>
      <color theme="1"/>
      <name val="Arial Narrow"/>
      <family val="2"/>
    </font>
    <font>
      <b/>
      <sz val="9"/>
      <color theme="0"/>
      <name val="Aptos Narrow"/>
      <family val="2"/>
    </font>
    <font>
      <sz val="9"/>
      <color theme="3"/>
      <name val="Arial Narrow"/>
      <family val="2"/>
    </font>
    <font>
      <sz val="9"/>
      <name val="Arial Narrow"/>
      <family val="2"/>
    </font>
  </fonts>
  <fills count="5">
    <fill>
      <patternFill patternType="none"/>
    </fill>
    <fill>
      <patternFill patternType="gray125"/>
    </fill>
    <fill>
      <patternFill patternType="solid">
        <fgColor rgb="FF002060"/>
        <bgColor indexed="64"/>
      </patternFill>
    </fill>
    <fill>
      <patternFill patternType="solid">
        <fgColor theme="0" tint="-0.14999847407452621"/>
        <bgColor indexed="64"/>
      </patternFill>
    </fill>
    <fill>
      <patternFill patternType="solid">
        <fgColor theme="4" tint="0.79998168889431442"/>
        <bgColor indexed="64"/>
      </patternFill>
    </fill>
  </fills>
  <borders count="9">
    <border>
      <left/>
      <right/>
      <top/>
      <bottom/>
      <diagonal/>
    </border>
    <border>
      <left/>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43">
    <xf numFmtId="0" fontId="0" fillId="0" borderId="0" xfId="0"/>
    <xf numFmtId="0" fontId="4" fillId="2" borderId="1" xfId="0" applyFont="1" applyFill="1" applyBorder="1" applyAlignment="1">
      <alignment horizontal="center"/>
    </xf>
    <xf numFmtId="0" fontId="4" fillId="2" borderId="0" xfId="0" applyFont="1" applyFill="1" applyAlignment="1">
      <alignment horizontal="center"/>
    </xf>
    <xf numFmtId="10" fontId="0" fillId="0" borderId="0" xfId="0" applyNumberFormat="1"/>
    <xf numFmtId="10" fontId="5" fillId="0" borderId="0" xfId="0" applyNumberFormat="1" applyFont="1"/>
    <xf numFmtId="0" fontId="3" fillId="0" borderId="0" xfId="0" applyFont="1"/>
    <xf numFmtId="164" fontId="3" fillId="0" borderId="0" xfId="0" applyNumberFormat="1" applyFont="1"/>
    <xf numFmtId="164" fontId="0" fillId="0" borderId="0" xfId="2" applyNumberFormat="1" applyFont="1"/>
    <xf numFmtId="164" fontId="0" fillId="0" borderId="0" xfId="0" applyNumberFormat="1"/>
    <xf numFmtId="9" fontId="0" fillId="0" borderId="0" xfId="1" applyFont="1"/>
    <xf numFmtId="9" fontId="0" fillId="0" borderId="0" xfId="1" applyFont="1" applyAlignment="1">
      <alignment wrapText="1"/>
    </xf>
    <xf numFmtId="0" fontId="0" fillId="0" borderId="0" xfId="0" applyAlignment="1">
      <alignment wrapText="1"/>
    </xf>
    <xf numFmtId="165" fontId="0" fillId="0" borderId="0" xfId="0" applyNumberFormat="1"/>
    <xf numFmtId="43" fontId="0" fillId="0" borderId="0" xfId="0" applyNumberFormat="1"/>
    <xf numFmtId="43" fontId="0" fillId="0" borderId="0" xfId="2" applyFont="1"/>
    <xf numFmtId="43" fontId="2" fillId="0" borderId="0" xfId="0" applyNumberFormat="1" applyFont="1"/>
    <xf numFmtId="0" fontId="3" fillId="0" borderId="0" xfId="0" applyFont="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 fillId="0" borderId="4" xfId="0" applyFont="1" applyBorder="1"/>
    <xf numFmtId="0" fontId="3" fillId="0" borderId="5" xfId="0" applyFont="1" applyBorder="1"/>
    <xf numFmtId="0" fontId="3" fillId="0" borderId="6" xfId="0" applyFont="1" applyBorder="1" applyAlignment="1">
      <alignment horizontal="center"/>
    </xf>
    <xf numFmtId="0" fontId="3" fillId="0" borderId="2" xfId="0" applyFont="1" applyBorder="1"/>
    <xf numFmtId="0" fontId="3" fillId="0" borderId="7" xfId="0" applyFont="1" applyBorder="1" applyAlignment="1">
      <alignment horizontal="center"/>
    </xf>
    <xf numFmtId="164" fontId="3" fillId="0" borderId="1" xfId="0" applyNumberFormat="1" applyFont="1" applyBorder="1" applyAlignment="1">
      <alignment horizontal="center"/>
    </xf>
    <xf numFmtId="164" fontId="3" fillId="0" borderId="8" xfId="0" applyNumberFormat="1" applyFont="1" applyBorder="1" applyAlignment="1">
      <alignment horizontal="center"/>
    </xf>
    <xf numFmtId="164" fontId="0" fillId="0" borderId="0" xfId="0" applyNumberFormat="1" applyAlignment="1">
      <alignment horizontal="center"/>
    </xf>
    <xf numFmtId="9" fontId="0" fillId="0" borderId="0" xfId="1" applyFont="1" applyFill="1" applyAlignment="1">
      <alignment wrapText="1"/>
    </xf>
    <xf numFmtId="9" fontId="6" fillId="0" borderId="0" xfId="1" applyFont="1" applyFill="1" applyAlignment="1">
      <alignment wrapText="1"/>
    </xf>
    <xf numFmtId="164" fontId="0" fillId="3" borderId="0" xfId="0" applyNumberFormat="1" applyFill="1"/>
    <xf numFmtId="9" fontId="0" fillId="3" borderId="0" xfId="1" applyFont="1" applyFill="1"/>
    <xf numFmtId="0" fontId="0" fillId="3" borderId="0" xfId="0" applyFill="1"/>
    <xf numFmtId="164" fontId="3" fillId="3" borderId="0" xfId="0" applyNumberFormat="1" applyFont="1" applyFill="1"/>
    <xf numFmtId="164" fontId="0" fillId="0" borderId="0" xfId="2" applyNumberFormat="1" applyFont="1" applyFill="1"/>
    <xf numFmtId="9" fontId="0" fillId="0" borderId="0" xfId="1" applyFont="1" applyFill="1"/>
    <xf numFmtId="0" fontId="0" fillId="4" borderId="0" xfId="0" applyFill="1"/>
    <xf numFmtId="164" fontId="0" fillId="4" borderId="0" xfId="0" applyNumberFormat="1" applyFill="1"/>
    <xf numFmtId="10" fontId="0" fillId="4" borderId="0" xfId="0" applyNumberFormat="1" applyFill="1"/>
    <xf numFmtId="164" fontId="0" fillId="4" borderId="0" xfId="2" applyNumberFormat="1" applyFont="1" applyFill="1"/>
    <xf numFmtId="9" fontId="0" fillId="4" borderId="0" xfId="1" applyFont="1" applyFill="1"/>
    <xf numFmtId="9" fontId="0" fillId="4" borderId="0" xfId="1" applyFont="1" applyFill="1" applyAlignment="1">
      <alignment wrapText="1"/>
    </xf>
    <xf numFmtId="0" fontId="6" fillId="0" borderId="0" xfId="0" applyFont="1" applyAlignment="1">
      <alignment vertical="center" wrapText="1"/>
    </xf>
    <xf numFmtId="0" fontId="0" fillId="0" borderId="0" xfId="0" applyFill="1"/>
  </cellXfs>
  <cellStyles count="3">
    <cellStyle name="Comma" xfId="2" builtinId="3"/>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26" Type="http://schemas.openxmlformats.org/officeDocument/2006/relationships/externalLink" Target="externalLinks/externalLink24.xml"/><Relationship Id="rId39" Type="http://schemas.openxmlformats.org/officeDocument/2006/relationships/calcChain" Target="calcChain.xml"/><Relationship Id="rId21" Type="http://schemas.openxmlformats.org/officeDocument/2006/relationships/externalLink" Target="externalLinks/externalLink19.xml"/><Relationship Id="rId34" Type="http://schemas.openxmlformats.org/officeDocument/2006/relationships/externalLink" Target="externalLinks/externalLink32.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5" Type="http://schemas.openxmlformats.org/officeDocument/2006/relationships/externalLink" Target="externalLinks/externalLink23.xml"/><Relationship Id="rId33" Type="http://schemas.openxmlformats.org/officeDocument/2006/relationships/externalLink" Target="externalLinks/externalLink31.xml"/><Relationship Id="rId38"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externalLink" Target="externalLinks/externalLink18.xml"/><Relationship Id="rId29" Type="http://schemas.openxmlformats.org/officeDocument/2006/relationships/externalLink" Target="externalLinks/externalLink27.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24" Type="http://schemas.openxmlformats.org/officeDocument/2006/relationships/externalLink" Target="externalLinks/externalLink22.xml"/><Relationship Id="rId32" Type="http://schemas.openxmlformats.org/officeDocument/2006/relationships/externalLink" Target="externalLinks/externalLink30.xml"/><Relationship Id="rId37" Type="http://schemas.openxmlformats.org/officeDocument/2006/relationships/sharedStrings" Target="sharedStrings.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23" Type="http://schemas.openxmlformats.org/officeDocument/2006/relationships/externalLink" Target="externalLinks/externalLink21.xml"/><Relationship Id="rId28" Type="http://schemas.openxmlformats.org/officeDocument/2006/relationships/externalLink" Target="externalLinks/externalLink26.xml"/><Relationship Id="rId36" Type="http://schemas.openxmlformats.org/officeDocument/2006/relationships/styles" Target="styles.xml"/><Relationship Id="rId10" Type="http://schemas.openxmlformats.org/officeDocument/2006/relationships/externalLink" Target="externalLinks/externalLink8.xml"/><Relationship Id="rId19" Type="http://schemas.openxmlformats.org/officeDocument/2006/relationships/externalLink" Target="externalLinks/externalLink17.xml"/><Relationship Id="rId31" Type="http://schemas.openxmlformats.org/officeDocument/2006/relationships/externalLink" Target="externalLinks/externalLink29.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 Id="rId22" Type="http://schemas.openxmlformats.org/officeDocument/2006/relationships/externalLink" Target="externalLinks/externalLink20.xml"/><Relationship Id="rId27" Type="http://schemas.openxmlformats.org/officeDocument/2006/relationships/externalLink" Target="externalLinks/externalLink25.xml"/><Relationship Id="rId30" Type="http://schemas.openxmlformats.org/officeDocument/2006/relationships/externalLink" Target="externalLinks/externalLink28.xml"/><Relationship Id="rId35" Type="http://schemas.openxmlformats.org/officeDocument/2006/relationships/theme" Target="theme/theme1.xml"/><Relationship Id="rId8" Type="http://schemas.openxmlformats.org/officeDocument/2006/relationships/externalLink" Target="externalLinks/externalLink6.xml"/><Relationship Id="rId3"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Moretti\OneDrive%20-%20ARM\Documents\GitHub\DMI_IBNP\Process%20Results\Unified_IBNP_ASL.xlsx" TargetMode="External"/><Relationship Id="rId1" Type="http://schemas.openxmlformats.org/officeDocument/2006/relationships/externalLinkPath" Target="Unified_IBNP_ASL.xlsx" TargetMode="External"/></Relationships>
</file>

<file path=xl/externalLinks/_rels/externalLink10.xml.rels><?xml version="1.0" encoding="UTF-8" standalone="yes"?>
<Relationships xmlns="http://schemas.openxmlformats.org/package/2006/relationships"><Relationship Id="rId2" Type="http://schemas.openxmlformats.org/officeDocument/2006/relationships/externalLinkPath" Target="file:///C:\Users\SMoretti\OneDrive%20-%20ARM\Documents\GitHub\DMI_IBNP\Process%20Results\Unified_IBNP_NSL.xlsx" TargetMode="External"/><Relationship Id="rId1" Type="http://schemas.openxmlformats.org/officeDocument/2006/relationships/externalLinkPath" Target="Unified_IBNP_NSL.xlsx" TargetMode="External"/></Relationships>
</file>

<file path=xl/externalLinks/_rels/externalLink11.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NSL\NSL%20Claim%20Liability%20033124.xlsx" TargetMode="External"/><Relationship Id="rId1" Type="http://schemas.openxmlformats.org/officeDocument/2006/relationships/externalLinkPath" Target="file:///\\RDS02\Unified$\04_Inforce_Management\01_Products_Specs\Health_Block_Information\20240613_ShareFile_WriteUps\NSL\NSL%20Claim%20Liability%20033124.xlsx" TargetMode="External"/></Relationships>
</file>

<file path=xl/externalLinks/_rels/externalLink12.xml.rels><?xml version="1.0" encoding="UTF-8" standalone="yes"?>
<Relationships xmlns="http://schemas.openxmlformats.org/package/2006/relationships"><Relationship Id="rId2" Type="http://schemas.openxmlformats.org/officeDocument/2006/relationships/externalLinkPath" Target="file:///C:\Users\SMoretti\OneDrive%20-%20ARM\Documents\GitHub\DMI_IBNP\Process%20Results\Unified_IBNP_PEN.xlsx" TargetMode="External"/><Relationship Id="rId1" Type="http://schemas.openxmlformats.org/officeDocument/2006/relationships/externalLinkPath" Target="Unified_IBNP_PEN.xlsx" TargetMode="External"/></Relationships>
</file>

<file path=xl/externalLinks/_rels/externalLink13.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PEN\PEN%20Claim%20Liability%2003-24.xlsx" TargetMode="External"/><Relationship Id="rId1" Type="http://schemas.openxmlformats.org/officeDocument/2006/relationships/externalLinkPath" Target="file:///\\RDS02\Unified$\04_Inforce_Management\01_Products_Specs\Health_Block_Information\20240613_ShareFile_WriteUps\PEN\PEN%20Claim%20Liability%2003-24.xlsx" TargetMode="External"/></Relationships>
</file>

<file path=xl/externalLinks/_rels/externalLink14.xml.rels><?xml version="1.0" encoding="UTF-8" standalone="yes"?>
<Relationships xmlns="http://schemas.openxmlformats.org/package/2006/relationships"><Relationship Id="rId2" Type="http://schemas.openxmlformats.org/officeDocument/2006/relationships/externalLinkPath" Target="file:///C:\Users\SMoretti\OneDrive%20-%20ARM\Documents\GitHub\DMI_IBNP\Process%20Results\Unified_IBNP_PHS.xlsx" TargetMode="External"/><Relationship Id="rId1" Type="http://schemas.openxmlformats.org/officeDocument/2006/relationships/externalLinkPath" Target="Unified_IBNP_PHS.xlsx" TargetMode="External"/></Relationships>
</file>

<file path=xl/externalLinks/_rels/externalLink15.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PHS\PHS%20Claim%20Liability%2003-24.xlsx" TargetMode="External"/><Relationship Id="rId1" Type="http://schemas.openxmlformats.org/officeDocument/2006/relationships/externalLinkPath" Target="file:///\\RDS02\Unified$\04_Inforce_Management\01_Products_Specs\Health_Block_Information\20240613_ShareFile_WriteUps\PHS\PHS%20Claim%20Liability%2003-24.xlsx" TargetMode="External"/></Relationships>
</file>

<file path=xl/externalLinks/_rels/externalLink16.xml.rels><?xml version="1.0" encoding="UTF-8" standalone="yes"?>
<Relationships xmlns="http://schemas.openxmlformats.org/package/2006/relationships"><Relationship Id="rId2" Type="http://schemas.openxmlformats.org/officeDocument/2006/relationships/externalLinkPath" Target="file:///C:\Users\SMoretti\OneDrive%20-%20ARM\Documents\GitHub\DMI_IBNP\Process%20Results\Unified_IBNP_PRT.xlsx" TargetMode="External"/><Relationship Id="rId1" Type="http://schemas.openxmlformats.org/officeDocument/2006/relationships/externalLinkPath" Target="Unified_IBNP_PRT.xlsx" TargetMode="External"/></Relationships>
</file>

<file path=xl/externalLinks/_rels/externalLink17.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PRT\PRT%20Claim%20Liability%203-24.xlsx" TargetMode="External"/><Relationship Id="rId1" Type="http://schemas.openxmlformats.org/officeDocument/2006/relationships/externalLinkPath" Target="file:///\\RDS02\Unified$\04_Inforce_Management\01_Products_Specs\Health_Block_Information\20240613_ShareFile_WriteUps\PRT\PRT%20Claim%20Liability%203-24.xlsx" TargetMode="External"/></Relationships>
</file>

<file path=xl/externalLinks/_rels/externalLink18.xml.rels><?xml version="1.0" encoding="UTF-8" standalone="yes"?>
<Relationships xmlns="http://schemas.openxmlformats.org/package/2006/relationships"><Relationship Id="rId2" Type="http://schemas.openxmlformats.org/officeDocument/2006/relationships/externalLinkPath" Target="file:///C:\Users\SMoretti\OneDrive%20-%20ARM\Documents\GitHub\DMI_IBNP\Process%20Results\Unified_IBNP_NMS_PLICA.xlsx" TargetMode="External"/><Relationship Id="rId1" Type="http://schemas.openxmlformats.org/officeDocument/2006/relationships/externalLinkPath" Target="Unified_IBNP_NMS_PLICA.xlsx" TargetMode="External"/></Relationships>
</file>

<file path=xl/externalLinks/_rels/externalLink19.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Puritan%20Life%20Insurance%20Company%20of%20America\03%202024\IBNR_Output_NonMS_0324.xlsx" TargetMode="External"/><Relationship Id="rId1" Type="http://schemas.openxmlformats.org/officeDocument/2006/relationships/externalLinkPath" Target="file:///\\RDS02\Unified$\04_Inforce_Management\01_Products_Specs\Health_Block_Information\20240613_ShareFile_WriteUps\Puritan%20Life%20Insurance%20Company%20of%20America\03%202024\IBNR_Output_NonMS_0324.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American%20Standard%20Life\ASL%20Claim%20Liability%2003-24.xlsx" TargetMode="External"/><Relationship Id="rId1" Type="http://schemas.openxmlformats.org/officeDocument/2006/relationships/externalLinkPath" Target="file:///\\RDS02\Unified$\04_Inforce_Management\01_Products_Specs\Health_Block_Information\20240613_ShareFile_WriteUps\American%20Standard%20Life\ASL%20Claim%20Liability%2003-24.xlsx" TargetMode="External"/></Relationships>
</file>

<file path=xl/externalLinks/_rels/externalLink20.xml.rels><?xml version="1.0" encoding="UTF-8" standalone="yes"?>
<Relationships xmlns="http://schemas.openxmlformats.org/package/2006/relationships"><Relationship Id="rId2" Type="http://schemas.openxmlformats.org/officeDocument/2006/relationships/externalLinkPath" Target="file:///C:\Users\SMoretti\OneDrive%20-%20ARM\Documents\GitHub\DMI_IBNP\Process%20Results\Unified_IBNP_MS_PLICA.xlsx" TargetMode="External"/><Relationship Id="rId1" Type="http://schemas.openxmlformats.org/officeDocument/2006/relationships/externalLinkPath" Target="Unified_IBNP_MS_PLICA.xlsx" TargetMode="External"/></Relationships>
</file>

<file path=xl/externalLinks/_rels/externalLink21.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Puritan%20Life%20Insurance%20Company%20of%20America\03%202024\IBNR_Output_MS_0324.xlsx" TargetMode="External"/><Relationship Id="rId1" Type="http://schemas.openxmlformats.org/officeDocument/2006/relationships/externalLinkPath" Target="file:///\\RDS02\Unified$\04_Inforce_Management\01_Products_Specs\Health_Block_Information\20240613_ShareFile_WriteUps\Puritan%20Life%20Insurance%20Company%20of%20America\03%202024\IBNR_Output_MS_0324.xlsx" TargetMode="External"/></Relationships>
</file>

<file path=xl/externalLinks/_rels/externalLink22.xml.rels><?xml version="1.0" encoding="UTF-8" standalone="yes"?>
<Relationships xmlns="http://schemas.openxmlformats.org/package/2006/relationships"><Relationship Id="rId2" Type="http://schemas.openxmlformats.org/officeDocument/2006/relationships/externalLinkPath" Target="file:///C:\Users\SMoretti\OneDrive%20-%20ARM\Documents\GitHub\DMI_IBNP\Process%20Results\Unified_IBNP_SLI.xlsx" TargetMode="External"/><Relationship Id="rId1" Type="http://schemas.openxmlformats.org/officeDocument/2006/relationships/externalLinkPath" Target="Unified_IBNP_SLI.xlsx" TargetMode="External"/></Relationships>
</file>

<file path=xl/externalLinks/_rels/externalLink23.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SLICA\SLI%20Claim%20Liability%2003-24.xlsx" TargetMode="External"/><Relationship Id="rId1" Type="http://schemas.openxmlformats.org/officeDocument/2006/relationships/externalLinkPath" Target="file:///\\RDS02\Unified$\04_Inforce_Management\01_Products_Specs\Health_Block_Information\20240613_ShareFile_WriteUps\SLICA\SLI%20Claim%20Liability%2003-24.xlsx" TargetMode="External"/></Relationships>
</file>

<file path=xl/externalLinks/_rels/externalLink24.xml.rels><?xml version="1.0" encoding="UTF-8" standalone="yes"?>
<Relationships xmlns="http://schemas.openxmlformats.org/package/2006/relationships"><Relationship Id="rId2" Type="http://schemas.openxmlformats.org/officeDocument/2006/relationships/externalLinkPath" Target="file:///C:\Users\SMoretti\OneDrive%20-%20ARM\Documents\GitHub\DMI_IBNP\Process%20Results\Unified_IBNP_ULI.xlsx" TargetMode="External"/><Relationship Id="rId1" Type="http://schemas.openxmlformats.org/officeDocument/2006/relationships/externalLinkPath" Target="Unified_IBNP_ULI.xlsx" TargetMode="External"/></Relationships>
</file>

<file path=xl/externalLinks/_rels/externalLink25.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ULI%20Med%20Supp\NB%20MS%20Claim%20Liability%20033124.xlsx" TargetMode="External"/><Relationship Id="rId1" Type="http://schemas.openxmlformats.org/officeDocument/2006/relationships/externalLinkPath" Target="file:///\\RDS02\Unified$\04_Inforce_Management\01_Products_Specs\Health_Block_Information\20240613_ShareFile_WriteUps\ULI%20Med%20Supp\NB%20MS%20Claim%20Liability%20033124.xlsx" TargetMode="External"/></Relationships>
</file>

<file path=xl/externalLinks/_rels/externalLink26.xml.rels><?xml version="1.0" encoding="UTF-8" standalone="yes"?>
<Relationships xmlns="http://schemas.openxmlformats.org/package/2006/relationships"><Relationship Id="rId2" Type="http://schemas.openxmlformats.org/officeDocument/2006/relationships/externalLinkPath" Target="file:///C:\Users\SMoretti\OneDrive%20-%20ARM\Documents\GitHub\DMI_IBNP\Process%20Results\Unified_IBNP_Split_USH.xlsx" TargetMode="External"/><Relationship Id="rId1" Type="http://schemas.openxmlformats.org/officeDocument/2006/relationships/externalLinkPath" Target="Unified_IBNP_Split_USH.xlsx" TargetMode="External"/></Relationships>
</file>

<file path=xl/externalLinks/_rels/externalLink27.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USH\USH%20Claim%20Liability%2003-24%20-%20Split%20MS.xlsx" TargetMode="External"/><Relationship Id="rId1" Type="http://schemas.openxmlformats.org/officeDocument/2006/relationships/externalLinkPath" Target="file:///\\RDS02\Unified$\04_Inforce_Management\01_Products_Specs\Health_Block_Information\20240613_ShareFile_WriteUps\USH\USH%20Claim%20Liability%2003-24%20-%20Split%20MS.xlsx" TargetMode="External"/></Relationships>
</file>

<file path=xl/externalLinks/_rels/externalLink28.xml.rels><?xml version="1.0" encoding="UTF-8" standalone="yes"?>
<Relationships xmlns="http://schemas.openxmlformats.org/package/2006/relationships"><Relationship Id="rId2" Type="http://schemas.openxmlformats.org/officeDocument/2006/relationships/externalLinkPath" Target="file:///C:\Users\SMoretti\OneDrive%20-%20ARM\Documents\GitHub\DMI_IBNP\Process%20Results\Unified_IBNP_XCH.xlsx" TargetMode="External"/><Relationship Id="rId1" Type="http://schemas.openxmlformats.org/officeDocument/2006/relationships/externalLinkPath" Target="Unified_IBNP_XCH.xlsx" TargetMode="External"/></Relationships>
</file>

<file path=xl/externalLinks/_rels/externalLink29.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Xchange%20Benefits\XChange%20Claim%20Liability%20033124.xlsx" TargetMode="External"/><Relationship Id="rId1" Type="http://schemas.openxmlformats.org/officeDocument/2006/relationships/externalLinkPath" Target="file:///\\RDS02\Unified$\04_Inforce_Management\01_Products_Specs\Health_Block_Information\20240613_ShareFile_WriteUps\Xchange%20Benefits\XChange%20Claim%20Liability%20033124.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SMoretti\OneDrive%20-%20ARM\Documents\GitHub\DMI_IBNP\Process%20Results\Unified_IBNP_AMH.xlsx" TargetMode="External"/><Relationship Id="rId1" Type="http://schemas.openxmlformats.org/officeDocument/2006/relationships/externalLinkPath" Target="Unified_IBNP_AMH.xlsx" TargetMode="External"/></Relationships>
</file>

<file path=xl/externalLinks/_rels/externalLink30.xml.rels><?xml version="1.0" encoding="UTF-8" standalone="yes"?>
<Relationships xmlns="http://schemas.openxmlformats.org/package/2006/relationships"><Relationship Id="rId2" Type="http://schemas.openxmlformats.org/officeDocument/2006/relationships/externalLinkPath" Target="file:///C:\Users\SMoretti\OneDrive%20-%20ARM\Documents\GitHub\DMI_IBNP\Process%20Results\Allocation_XCH.xlsx" TargetMode="External"/><Relationship Id="rId1" Type="http://schemas.openxmlformats.org/officeDocument/2006/relationships/externalLinkPath" Target="Allocation_XCH.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RDS02\Unified$\01_Financial_Reporting\03_Stat\99_ARM_IBNP_Process\2025.02\Unified_Claims_Liability_Summary_0.xlsx" TargetMode="External"/></Relationships>
</file>

<file path=xl/externalLinks/_rels/externalLink32.xml.rels><?xml version="1.0" encoding="UTF-8" standalone="yes"?>
<Relationships xmlns="http://schemas.openxmlformats.org/package/2006/relationships"><Relationship Id="rId2" Type="http://schemas.openxmlformats.org/officeDocument/2006/relationships/externalLinkPath" Target="file:///C:\Users\SMoretti\OneDrive%20-%20ARM\Documents\GitHub\DMI_IBNP\Process%20Results\Unified_IBNP_GTL.xlsx" TargetMode="External"/><Relationship Id="rId1" Type="http://schemas.openxmlformats.org/officeDocument/2006/relationships/externalLinkPath" Target="Unified_IBNP_GTL.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Associated%20Mutual%20Hospital\AMH%20Claim%20Liability%2003-24.xlsx" TargetMode="External"/><Relationship Id="rId1" Type="http://schemas.openxmlformats.org/officeDocument/2006/relationships/externalLinkPath" Target="file:///\\RDS02\Unified$\04_Inforce_Management\01_Products_Specs\Health_Block_Information\20240613_ShareFile_WriteUps\Associated%20Mutual%20Hospital\AMH%20Claim%20Liability%2003-24.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C:\Users\SMoretti\OneDrive%20-%20ARM\Documents\GitHub\DMI_IBNP\Process%20Results\Unified_IBNP_GBR.xlsx" TargetMode="External"/><Relationship Id="rId1" Type="http://schemas.openxmlformats.org/officeDocument/2006/relationships/externalLinkPath" Target="Unified_IBNP_GBR.xlsx" TargetMode="External"/></Relationships>
</file>

<file path=xl/externalLinks/_rels/externalLink6.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Gerber%20Life\Gerber%20Claim%20Liability%20033124.xlsx" TargetMode="External"/><Relationship Id="rId1" Type="http://schemas.openxmlformats.org/officeDocument/2006/relationships/externalLinkPath" Target="file:///\\RDS02\Unified$\04_Inforce_Management\01_Products_Specs\Health_Block_Information\20240613_ShareFile_WriteUps\Gerber%20Life\Gerber%20Claim%20Liability%20033124.xlsx" TargetMode="External"/></Relationships>
</file>

<file path=xl/externalLinks/_rels/externalLink7.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GTL\GTL%20Claim%20Liability%203-24.xlsx" TargetMode="External"/><Relationship Id="rId1" Type="http://schemas.openxmlformats.org/officeDocument/2006/relationships/externalLinkPath" Target="file:///\\RDS02\Unified$\04_Inforce_Management\01_Products_Specs\Health_Block_Information\20240613_ShareFile_WriteUps\GTL\GTL%20Claim%20Liability%203-24.xlsx" TargetMode="External"/></Relationships>
</file>

<file path=xl/externalLinks/_rels/externalLink8.xml.rels><?xml version="1.0" encoding="UTF-8" standalone="yes"?>
<Relationships xmlns="http://schemas.openxmlformats.org/package/2006/relationships"><Relationship Id="rId2" Type="http://schemas.openxmlformats.org/officeDocument/2006/relationships/externalLinkPath" Target="file:///C:\Users\SMoretti\OneDrive%20-%20ARM\Documents\GitHub\DMI_IBNP\Process%20Results\Unified_IBNP_NFL.xlsx" TargetMode="External"/><Relationship Id="rId1" Type="http://schemas.openxmlformats.org/officeDocument/2006/relationships/externalLinkPath" Target="Unified_IBNP_NFL.xlsx" TargetMode="External"/></Relationships>
</file>

<file path=xl/externalLinks/_rels/externalLink9.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NFL\NFL%20Claim%20Liability%2003-24.xlsx" TargetMode="External"/><Relationship Id="rId1" Type="http://schemas.openxmlformats.org/officeDocument/2006/relationships/externalLinkPath" Target="file:///\\RDS02\Unified$\04_Inforce_Management\01_Products_Specs\Health_Block_Information\20240613_ShareFile_WriteUps\NFL\NFL%20Claim%20Liability%2003-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refreshError="1"/>
      <sheetData sheetId="1" refreshError="1"/>
      <sheetData sheetId="2">
        <row r="33">
          <cell r="H33">
            <v>7589.6872303844793</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81383.240764616756</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LAN CODE TABLE"/>
      <sheetName val="Split_By_LOB"/>
      <sheetName val="EOB Information"/>
      <sheetName val="Claim Triangle"/>
      <sheetName val="Sch H"/>
      <sheetName val="PL"/>
      <sheetName val="Premium"/>
      <sheetName val="Summary"/>
      <sheetName val="Assume split"/>
      <sheetName val="Completion Factors"/>
    </sheetNames>
    <sheetDataSet>
      <sheetData sheetId="0"/>
      <sheetData sheetId="1"/>
      <sheetData sheetId="2"/>
      <sheetData sheetId="3"/>
      <sheetData sheetId="4"/>
      <sheetData sheetId="5"/>
      <sheetData sheetId="6"/>
      <sheetData sheetId="7">
        <row r="35">
          <cell r="H35">
            <v>7.4999999999999997E-2</v>
          </cell>
        </row>
        <row r="36">
          <cell r="H36">
            <v>43941.36</v>
          </cell>
        </row>
      </sheetData>
      <sheetData sheetId="8"/>
      <sheetData sheetId="9"/>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refreshError="1"/>
      <sheetData sheetId="1" refreshError="1"/>
      <sheetData sheetId="2">
        <row r="33">
          <cell r="H33">
            <v>89705.2752911633</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y_LOB"/>
      <sheetName val="EOB Information"/>
      <sheetName val="PT"/>
      <sheetName val="Sch H"/>
      <sheetName val="Completion Factors"/>
      <sheetName val="Summary"/>
      <sheetName val="Premium"/>
      <sheetName val="PL"/>
    </sheetNames>
    <sheetDataSet>
      <sheetData sheetId="0"/>
      <sheetData sheetId="1"/>
      <sheetData sheetId="2"/>
      <sheetData sheetId="3"/>
      <sheetData sheetId="4"/>
      <sheetData sheetId="5">
        <row r="35">
          <cell r="H35">
            <v>7.4999999999999997E-2</v>
          </cell>
        </row>
        <row r="36">
          <cell r="H36">
            <v>158653.1571364796</v>
          </cell>
        </row>
      </sheetData>
      <sheetData sheetId="6"/>
      <sheetData sheetId="7"/>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145884.54451573832</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OB"/>
      <sheetName val="Claim Triangle"/>
      <sheetName val="Completion Factors"/>
      <sheetName val="Summary"/>
      <sheetName val="Premium"/>
    </sheetNames>
    <sheetDataSet>
      <sheetData sheetId="0"/>
      <sheetData sheetId="1"/>
      <sheetData sheetId="2"/>
      <sheetData sheetId="3">
        <row r="35">
          <cell r="H35">
            <v>7.4999999999999997E-2</v>
          </cell>
        </row>
        <row r="36">
          <cell r="H36">
            <v>167515.8389747378</v>
          </cell>
        </row>
      </sheetData>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207799.46957937517</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ocument"/>
      <sheetName val="Completion Factors"/>
      <sheetName val="CL_By_LOB"/>
      <sheetName val="Claim Data"/>
      <sheetName val="PlanCodeTable"/>
      <sheetName val="PT"/>
      <sheetName val="Summary"/>
      <sheetName val="Premium"/>
      <sheetName val="PL"/>
    </sheetNames>
    <sheetDataSet>
      <sheetData sheetId="0"/>
      <sheetData sheetId="1"/>
      <sheetData sheetId="2"/>
      <sheetData sheetId="3"/>
      <sheetData sheetId="4"/>
      <sheetData sheetId="5"/>
      <sheetData sheetId="6">
        <row r="35">
          <cell r="H35">
            <v>7.4999999999999997E-2</v>
          </cell>
        </row>
        <row r="36">
          <cell r="H36">
            <v>61403.00276625227</v>
          </cell>
        </row>
      </sheetData>
      <sheetData sheetId="7"/>
      <sheetData sheetId="8"/>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187038.69376700776</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mmary"/>
      <sheetName val="Sheet2"/>
      <sheetName val="Sheet3"/>
    </sheetNames>
    <sheetDataSet>
      <sheetData sheetId="0">
        <row r="35">
          <cell r="E35">
            <v>507000</v>
          </cell>
        </row>
        <row r="36">
          <cell r="E36">
            <v>628236.15</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L_by_LOB"/>
      <sheetName val="EOB Information"/>
      <sheetName val="PT"/>
      <sheetName val="Sch H"/>
      <sheetName val="Completion Factors"/>
      <sheetName val="Summary"/>
      <sheetName val="Premium"/>
      <sheetName val="PL"/>
      <sheetName val="PLAN CODE TABLE"/>
    </sheetNames>
    <sheetDataSet>
      <sheetData sheetId="0"/>
      <sheetData sheetId="1"/>
      <sheetData sheetId="2"/>
      <sheetData sheetId="3"/>
      <sheetData sheetId="4"/>
      <sheetData sheetId="5">
        <row r="35">
          <cell r="H35">
            <v>7.4999999999999997E-2</v>
          </cell>
        </row>
        <row r="36">
          <cell r="H36">
            <v>10194.181693825194</v>
          </cell>
        </row>
      </sheetData>
      <sheetData sheetId="6"/>
      <sheetData sheetId="7"/>
      <sheetData sheetId="8"/>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9839.5754661314277</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mmary"/>
    </sheetNames>
    <sheetDataSet>
      <sheetData sheetId="0">
        <row r="36">
          <cell r="E36">
            <v>21308.7</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refreshError="1"/>
      <sheetData sheetId="1" refreshError="1"/>
      <sheetData sheetId="2">
        <row r="33">
          <cell r="H33">
            <v>16490.155975586436</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CL_By_LOB"/>
      <sheetName val="EOB Information"/>
      <sheetName val="PT"/>
      <sheetName val="Sch H"/>
      <sheetName val="Summary"/>
      <sheetName val="Premium"/>
      <sheetName val="PL"/>
      <sheetName val="Plan Code Table"/>
    </sheetNames>
    <sheetDataSet>
      <sheetData sheetId="0"/>
      <sheetData sheetId="1"/>
      <sheetData sheetId="2"/>
      <sheetData sheetId="3"/>
      <sheetData sheetId="4"/>
      <sheetData sheetId="5">
        <row r="35">
          <cell r="H35">
            <v>7.4999999999999997E-2</v>
          </cell>
        </row>
        <row r="36">
          <cell r="H36">
            <v>22925.112714356808</v>
          </cell>
        </row>
      </sheetData>
      <sheetData sheetId="6"/>
      <sheetData sheetId="7"/>
      <sheetData sheetId="8"/>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146445.11866087597</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laims"/>
      <sheetName val="Summary"/>
      <sheetName val="Completion Factors"/>
      <sheetName val="Premium"/>
    </sheetNames>
    <sheetDataSet>
      <sheetData sheetId="0"/>
      <sheetData sheetId="1">
        <row r="35">
          <cell r="H35">
            <v>7.4999999999999997E-2</v>
          </cell>
        </row>
        <row r="36">
          <cell r="H36">
            <v>60621.568508703676</v>
          </cell>
        </row>
      </sheetData>
      <sheetData sheetId="2"/>
      <sheetData sheetId="3"/>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refreshError="1"/>
      <sheetData sheetId="1" refreshError="1"/>
      <sheetData sheetId="2">
        <row r="33">
          <cell r="L33">
            <v>58508.546432316405</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ch H"/>
      <sheetName val="CL_By_LOB"/>
      <sheetName val="EOB Information"/>
      <sheetName val="PT"/>
      <sheetName val="Completion Factors"/>
      <sheetName val="Summary"/>
      <sheetName val="Premium"/>
      <sheetName val="PL"/>
      <sheetName val="Plan Code Table"/>
      <sheetName val="For Data for State Pages - IBNR"/>
    </sheetNames>
    <sheetDataSet>
      <sheetData sheetId="0"/>
      <sheetData sheetId="1"/>
      <sheetData sheetId="2"/>
      <sheetData sheetId="3"/>
      <sheetData sheetId="4"/>
      <sheetData sheetId="5">
        <row r="35">
          <cell r="L35">
            <v>7.4999999999999997E-2</v>
          </cell>
        </row>
        <row r="36">
          <cell r="L36">
            <v>70721.566596096614</v>
          </cell>
        </row>
      </sheetData>
      <sheetData sheetId="6"/>
      <sheetData sheetId="7"/>
      <sheetData sheetId="8"/>
      <sheetData sheetId="9"/>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refreshError="1"/>
      <sheetData sheetId="1" refreshError="1"/>
      <sheetData sheetId="2">
        <row r="8">
          <cell r="A8">
            <v>44958</v>
          </cell>
          <cell r="H8">
            <v>0</v>
          </cell>
        </row>
        <row r="9">
          <cell r="A9">
            <v>44986</v>
          </cell>
          <cell r="H9">
            <v>0</v>
          </cell>
        </row>
        <row r="10">
          <cell r="A10">
            <v>45017</v>
          </cell>
          <cell r="H10">
            <v>142.99749833662645</v>
          </cell>
        </row>
        <row r="11">
          <cell r="A11">
            <v>45047</v>
          </cell>
          <cell r="H11">
            <v>265.4102004278393</v>
          </cell>
        </row>
        <row r="12">
          <cell r="A12">
            <v>45078</v>
          </cell>
          <cell r="H12">
            <v>264.12500187969999</v>
          </cell>
        </row>
        <row r="13">
          <cell r="A13">
            <v>45108</v>
          </cell>
          <cell r="H13">
            <v>253.97727665980347</v>
          </cell>
        </row>
        <row r="14">
          <cell r="A14">
            <v>45139</v>
          </cell>
          <cell r="H14">
            <v>424.35310544184176</v>
          </cell>
        </row>
        <row r="15">
          <cell r="A15">
            <v>45170</v>
          </cell>
          <cell r="H15">
            <v>528.19660235874471</v>
          </cell>
        </row>
        <row r="16">
          <cell r="A16">
            <v>45200</v>
          </cell>
          <cell r="H16">
            <v>535.03656607697485</v>
          </cell>
        </row>
        <row r="17">
          <cell r="A17">
            <v>45231</v>
          </cell>
          <cell r="H17">
            <v>860.31909037637524</v>
          </cell>
        </row>
        <row r="18">
          <cell r="A18">
            <v>45261</v>
          </cell>
          <cell r="H18">
            <v>2746.4374465630681</v>
          </cell>
        </row>
        <row r="19">
          <cell r="A19">
            <v>45292</v>
          </cell>
          <cell r="H19">
            <v>4220.6105746518006</v>
          </cell>
        </row>
        <row r="20">
          <cell r="A20">
            <v>45323</v>
          </cell>
          <cell r="H20">
            <v>5181.4008172206813</v>
          </cell>
        </row>
        <row r="21">
          <cell r="A21">
            <v>45352</v>
          </cell>
          <cell r="H21">
            <v>7722.3261500418885</v>
          </cell>
        </row>
        <row r="22">
          <cell r="A22">
            <v>45383</v>
          </cell>
          <cell r="H22">
            <v>10204.686625952774</v>
          </cell>
        </row>
        <row r="23">
          <cell r="A23">
            <v>45413</v>
          </cell>
          <cell r="H23">
            <v>18220.492667901795</v>
          </cell>
        </row>
        <row r="24">
          <cell r="A24">
            <v>45444</v>
          </cell>
          <cell r="H24">
            <v>17189.429963594011</v>
          </cell>
        </row>
        <row r="25">
          <cell r="A25">
            <v>45474</v>
          </cell>
          <cell r="H25">
            <v>17168.083558195271</v>
          </cell>
        </row>
        <row r="26">
          <cell r="A26">
            <v>45505</v>
          </cell>
          <cell r="H26">
            <v>23560.80863307562</v>
          </cell>
        </row>
        <row r="27">
          <cell r="A27">
            <v>45536</v>
          </cell>
          <cell r="H27">
            <v>26971.151899988035</v>
          </cell>
        </row>
        <row r="28">
          <cell r="A28">
            <v>45566</v>
          </cell>
          <cell r="H28">
            <v>41695.834895794585</v>
          </cell>
        </row>
        <row r="29">
          <cell r="A29">
            <v>45597</v>
          </cell>
          <cell r="H29">
            <v>84202.9</v>
          </cell>
        </row>
        <row r="30">
          <cell r="A30">
            <v>45627</v>
          </cell>
          <cell r="H30">
            <v>92936.85</v>
          </cell>
        </row>
        <row r="31">
          <cell r="A31">
            <v>45658</v>
          </cell>
          <cell r="H31">
            <v>98347</v>
          </cell>
        </row>
        <row r="33">
          <cell r="H33">
            <v>453642.42857453739</v>
          </cell>
        </row>
      </sheetData>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remium"/>
      <sheetName val="Summary"/>
    </sheetNames>
    <sheetDataSet>
      <sheetData sheetId="0"/>
      <sheetData sheetId="1"/>
      <sheetData sheetId="2">
        <row r="35">
          <cell r="H35">
            <v>7.4999999999999997E-2</v>
          </cell>
        </row>
        <row r="36">
          <cell r="H36">
            <v>777303.67606529</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-1392.7969667189204</v>
          </cell>
        </row>
      </sheetData>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llocation"/>
    </sheetNames>
    <sheetDataSet>
      <sheetData sheetId="0">
        <row r="5">
          <cell r="U5">
            <v>0</v>
          </cell>
          <cell r="V5">
            <v>0</v>
          </cell>
          <cell r="W5">
            <v>0.22745893325698865</v>
          </cell>
          <cell r="AB5">
            <v>0</v>
          </cell>
          <cell r="AC5">
            <v>5.8928035177394996E-5</v>
          </cell>
          <cell r="AD5">
            <v>2.8584651901395895E-2</v>
          </cell>
          <cell r="AE5">
            <v>0</v>
          </cell>
          <cell r="AF5">
            <v>0</v>
          </cell>
          <cell r="AG5">
            <v>0</v>
          </cell>
          <cell r="AH5">
            <v>0.74389748680643808</v>
          </cell>
          <cell r="AI5">
            <v>0</v>
          </cell>
        </row>
        <row r="6">
          <cell r="U6">
            <v>-3.0275486991909947E-5</v>
          </cell>
          <cell r="V6">
            <v>0</v>
          </cell>
          <cell r="W6">
            <v>0.1828545429976742</v>
          </cell>
          <cell r="AB6">
            <v>0</v>
          </cell>
          <cell r="AC6">
            <v>6.0964505056143169E-5</v>
          </cell>
          <cell r="AD6">
            <v>2.9480831147089794E-2</v>
          </cell>
          <cell r="AE6">
            <v>0</v>
          </cell>
          <cell r="AF6">
            <v>0</v>
          </cell>
          <cell r="AG6">
            <v>0</v>
          </cell>
          <cell r="AH6">
            <v>0.78763393683717176</v>
          </cell>
          <cell r="AI6">
            <v>0</v>
          </cell>
        </row>
        <row r="7">
          <cell r="U7">
            <v>0</v>
          </cell>
          <cell r="V7">
            <v>0</v>
          </cell>
          <cell r="W7">
            <v>0.13674019507634128</v>
          </cell>
          <cell r="AB7">
            <v>0</v>
          </cell>
          <cell r="AC7">
            <v>6.0146859681062323E-5</v>
          </cell>
          <cell r="AD7">
            <v>3.0601033148382344E-2</v>
          </cell>
          <cell r="AE7">
            <v>0</v>
          </cell>
          <cell r="AF7">
            <v>0</v>
          </cell>
          <cell r="AG7">
            <v>0</v>
          </cell>
          <cell r="AH7">
            <v>0.83259862491559533</v>
          </cell>
          <cell r="AI7">
            <v>0</v>
          </cell>
        </row>
        <row r="8">
          <cell r="U8">
            <v>-4.6666518731700187E-4</v>
          </cell>
          <cell r="V8">
            <v>-3.8888765609750161E-4</v>
          </cell>
          <cell r="W8">
            <v>0.10375008402047314</v>
          </cell>
          <cell r="AB8">
            <v>0</v>
          </cell>
          <cell r="AC8">
            <v>6.0873180402649462E-5</v>
          </cell>
          <cell r="AD8">
            <v>2.9833606001700694E-2</v>
          </cell>
          <cell r="AE8">
            <v>0</v>
          </cell>
          <cell r="AF8">
            <v>0</v>
          </cell>
          <cell r="AG8">
            <v>0</v>
          </cell>
          <cell r="AH8">
            <v>0.86721098964083798</v>
          </cell>
          <cell r="AI8">
            <v>0</v>
          </cell>
        </row>
        <row r="9">
          <cell r="U9">
            <v>0</v>
          </cell>
          <cell r="V9">
            <v>0</v>
          </cell>
          <cell r="W9">
            <v>6.8743792688376493E-2</v>
          </cell>
          <cell r="AB9">
            <v>0</v>
          </cell>
          <cell r="AC9">
            <v>0</v>
          </cell>
          <cell r="AD9">
            <v>2.7157424920982495E-2</v>
          </cell>
          <cell r="AE9">
            <v>0</v>
          </cell>
          <cell r="AF9">
            <v>0</v>
          </cell>
          <cell r="AG9">
            <v>0</v>
          </cell>
          <cell r="AH9">
            <v>0.90409878239064101</v>
          </cell>
          <cell r="AI9">
            <v>0</v>
          </cell>
        </row>
        <row r="10">
          <cell r="U10">
            <v>0</v>
          </cell>
          <cell r="V10">
            <v>0</v>
          </cell>
          <cell r="W10">
            <v>3.3731933711271818E-2</v>
          </cell>
          <cell r="AB10">
            <v>0</v>
          </cell>
          <cell r="AC10">
            <v>6.1471064121409959E-5</v>
          </cell>
          <cell r="AD10">
            <v>2.3109960888650711E-2</v>
          </cell>
          <cell r="AE10">
            <v>0</v>
          </cell>
          <cell r="AF10">
            <v>0</v>
          </cell>
          <cell r="AG10">
            <v>0</v>
          </cell>
          <cell r="AH10">
            <v>0.94295986911539076</v>
          </cell>
          <cell r="AI10">
            <v>1.3676522056529114E-4</v>
          </cell>
        </row>
        <row r="11">
          <cell r="U11">
            <v>0</v>
          </cell>
          <cell r="V11">
            <v>0</v>
          </cell>
          <cell r="W11">
            <v>-1.3609529531209555E-3</v>
          </cell>
          <cell r="AB11">
            <v>0</v>
          </cell>
          <cell r="AC11">
            <v>6.2229537646112665E-5</v>
          </cell>
          <cell r="AD11">
            <v>1.9529018429213358E-2</v>
          </cell>
          <cell r="AE11">
            <v>0</v>
          </cell>
          <cell r="AF11">
            <v>0</v>
          </cell>
          <cell r="AG11">
            <v>0</v>
          </cell>
          <cell r="AH11">
            <v>0.96253925569226007</v>
          </cell>
          <cell r="AI11">
            <v>1.923044929400131E-2</v>
          </cell>
        </row>
        <row r="12">
          <cell r="U12">
            <v>0</v>
          </cell>
          <cell r="V12">
            <v>0</v>
          </cell>
          <cell r="W12">
            <v>-7.7550351772633129E-4</v>
          </cell>
          <cell r="AB12">
            <v>0</v>
          </cell>
          <cell r="AC12">
            <v>5.9668268444387181E-5</v>
          </cell>
          <cell r="AD12">
            <v>1.5898509310323182E-2</v>
          </cell>
          <cell r="AE12">
            <v>0</v>
          </cell>
          <cell r="AF12">
            <v>0</v>
          </cell>
          <cell r="AG12">
            <v>0</v>
          </cell>
          <cell r="AH12">
            <v>0.79472848664147222</v>
          </cell>
          <cell r="AI12">
            <v>0.19008883929748643</v>
          </cell>
        </row>
        <row r="13">
          <cell r="U13">
            <v>0</v>
          </cell>
          <cell r="V13">
            <v>0</v>
          </cell>
          <cell r="W13">
            <v>-7.1608985331571309E-5</v>
          </cell>
          <cell r="AB13">
            <v>0</v>
          </cell>
          <cell r="AC13">
            <v>5.6045320726849162E-5</v>
          </cell>
          <cell r="AD13">
            <v>1.2285572412995891E-2</v>
          </cell>
          <cell r="AE13">
            <v>0</v>
          </cell>
          <cell r="AF13">
            <v>0</v>
          </cell>
          <cell r="AG13">
            <v>0</v>
          </cell>
          <cell r="AH13">
            <v>0.6185510654658245</v>
          </cell>
          <cell r="AI13">
            <v>0.36917892578578421</v>
          </cell>
        </row>
        <row r="14">
          <cell r="U14">
            <v>0</v>
          </cell>
          <cell r="V14">
            <v>0</v>
          </cell>
          <cell r="W14">
            <v>-1.6957195401925884E-4</v>
          </cell>
          <cell r="AB14">
            <v>0</v>
          </cell>
          <cell r="AC14">
            <v>5.4317063227791297E-5</v>
          </cell>
          <cell r="AD14">
            <v>1.0159200350282244E-2</v>
          </cell>
          <cell r="AE14">
            <v>0</v>
          </cell>
          <cell r="AF14">
            <v>0</v>
          </cell>
          <cell r="AG14">
            <v>0</v>
          </cell>
          <cell r="AH14">
            <v>0.47108369436447789</v>
          </cell>
          <cell r="AI14">
            <v>0.51887236017603144</v>
          </cell>
        </row>
        <row r="15">
          <cell r="U15">
            <v>0</v>
          </cell>
          <cell r="V15">
            <v>0</v>
          </cell>
          <cell r="W15">
            <v>0</v>
          </cell>
          <cell r="AB15">
            <v>0</v>
          </cell>
          <cell r="AC15">
            <v>5.1879187314968443E-5</v>
          </cell>
          <cell r="AD15">
            <v>7.8257384577390138E-3</v>
          </cell>
          <cell r="AE15">
            <v>0</v>
          </cell>
          <cell r="AF15">
            <v>0</v>
          </cell>
          <cell r="AG15">
            <v>0</v>
          </cell>
          <cell r="AH15">
            <v>0.31427239728298756</v>
          </cell>
          <cell r="AI15">
            <v>0.67784998507195837</v>
          </cell>
        </row>
        <row r="16">
          <cell r="U16">
            <v>0</v>
          </cell>
          <cell r="V16">
            <v>0</v>
          </cell>
          <cell r="W16">
            <v>-4.3847889195047763E-4</v>
          </cell>
          <cell r="AB16">
            <v>0</v>
          </cell>
          <cell r="AC16">
            <v>5.406528308341123E-5</v>
          </cell>
          <cell r="AD16">
            <v>5.590939599079997E-3</v>
          </cell>
          <cell r="AE16">
            <v>0</v>
          </cell>
          <cell r="AF16">
            <v>0</v>
          </cell>
          <cell r="AG16">
            <v>0</v>
          </cell>
          <cell r="AH16">
            <v>0.24671313353744417</v>
          </cell>
          <cell r="AI16">
            <v>0.74808034047234295</v>
          </cell>
        </row>
        <row r="17">
          <cell r="U17">
            <v>0</v>
          </cell>
          <cell r="V17">
            <v>0</v>
          </cell>
          <cell r="W17">
            <v>0</v>
          </cell>
          <cell r="AB17">
            <v>0</v>
          </cell>
          <cell r="AC17">
            <v>5.2748455149190415E-5</v>
          </cell>
          <cell r="AD17">
            <v>3.2009804215382726E-3</v>
          </cell>
          <cell r="AE17">
            <v>0</v>
          </cell>
          <cell r="AF17">
            <v>0</v>
          </cell>
          <cell r="AG17">
            <v>0</v>
          </cell>
          <cell r="AH17">
            <v>0.1966215428093403</v>
          </cell>
          <cell r="AI17">
            <v>0.8001247283139723</v>
          </cell>
        </row>
        <row r="18">
          <cell r="U18">
            <v>0</v>
          </cell>
          <cell r="V18">
            <v>0</v>
          </cell>
          <cell r="W18">
            <v>-9.3331188286351156E-5</v>
          </cell>
          <cell r="AB18">
            <v>0</v>
          </cell>
          <cell r="AC18">
            <v>5.410584258974003E-5</v>
          </cell>
          <cell r="AD18">
            <v>1.574352456357426E-3</v>
          </cell>
          <cell r="AE18">
            <v>0</v>
          </cell>
          <cell r="AF18">
            <v>0</v>
          </cell>
          <cell r="AG18">
            <v>0</v>
          </cell>
          <cell r="AH18">
            <v>0.14878105893108692</v>
          </cell>
          <cell r="AI18">
            <v>0.84968381395825232</v>
          </cell>
        </row>
        <row r="19">
          <cell r="U19">
            <v>0</v>
          </cell>
          <cell r="V19">
            <v>0</v>
          </cell>
          <cell r="W19">
            <v>0</v>
          </cell>
          <cell r="AB19">
            <v>0</v>
          </cell>
          <cell r="AC19">
            <v>6.1423317113352258E-5</v>
          </cell>
          <cell r="AD19">
            <v>4.2437009965344221E-4</v>
          </cell>
          <cell r="AE19">
            <v>0</v>
          </cell>
          <cell r="AF19">
            <v>0</v>
          </cell>
          <cell r="AG19">
            <v>0</v>
          </cell>
          <cell r="AH19">
            <v>0.12609982394776884</v>
          </cell>
          <cell r="AI19">
            <v>0.87341438263546434</v>
          </cell>
        </row>
        <row r="20">
          <cell r="U20">
            <v>0</v>
          </cell>
          <cell r="V20">
            <v>0</v>
          </cell>
          <cell r="W20">
            <v>0</v>
          </cell>
          <cell r="AB20">
            <v>0</v>
          </cell>
          <cell r="AC20">
            <v>6.6843867997460431E-5</v>
          </cell>
          <cell r="AD20">
            <v>0</v>
          </cell>
          <cell r="AE20">
            <v>0</v>
          </cell>
          <cell r="AF20">
            <v>0</v>
          </cell>
          <cell r="AG20">
            <v>0</v>
          </cell>
          <cell r="AH20">
            <v>0.10274334076655466</v>
          </cell>
          <cell r="AI20">
            <v>0.89718981536544784</v>
          </cell>
        </row>
        <row r="21">
          <cell r="U21">
            <v>0</v>
          </cell>
          <cell r="V21">
            <v>0</v>
          </cell>
          <cell r="W21">
            <v>0</v>
          </cell>
          <cell r="AB21">
            <v>0</v>
          </cell>
          <cell r="AC21">
            <v>7.3160893563363531E-5</v>
          </cell>
          <cell r="AD21">
            <v>0</v>
          </cell>
          <cell r="AE21">
            <v>0</v>
          </cell>
          <cell r="AF21">
            <v>0</v>
          </cell>
          <cell r="AG21">
            <v>0</v>
          </cell>
          <cell r="AH21">
            <v>7.1468824206331161E-2</v>
          </cell>
          <cell r="AI21">
            <v>0.92845801490010549</v>
          </cell>
        </row>
        <row r="22">
          <cell r="U22">
            <v>0</v>
          </cell>
          <cell r="V22">
            <v>0</v>
          </cell>
          <cell r="W22">
            <v>0</v>
          </cell>
          <cell r="AB22">
            <v>0</v>
          </cell>
          <cell r="AC22">
            <v>8.0234016155321185E-5</v>
          </cell>
          <cell r="AD22">
            <v>0</v>
          </cell>
          <cell r="AE22">
            <v>0</v>
          </cell>
          <cell r="AF22">
            <v>0</v>
          </cell>
          <cell r="AG22">
            <v>0</v>
          </cell>
          <cell r="AH22">
            <v>3.5718040020694279E-2</v>
          </cell>
          <cell r="AI22">
            <v>0.96420172596315046</v>
          </cell>
        </row>
        <row r="23">
          <cell r="U23">
            <v>0</v>
          </cell>
          <cell r="V23">
            <v>0</v>
          </cell>
          <cell r="W23">
            <v>0</v>
          </cell>
          <cell r="AB23">
            <v>5.4619733207480143E-3</v>
          </cell>
          <cell r="AC23">
            <v>8.8663664349146118E-5</v>
          </cell>
          <cell r="AD23">
            <v>0</v>
          </cell>
          <cell r="AE23">
            <v>0</v>
          </cell>
          <cell r="AF23">
            <v>0</v>
          </cell>
          <cell r="AG23">
            <v>0</v>
          </cell>
          <cell r="AH23">
            <v>-8.6460285722257777E-4</v>
          </cell>
          <cell r="AI23">
            <v>0.99531396587212539</v>
          </cell>
        </row>
        <row r="24">
          <cell r="U24">
            <v>0</v>
          </cell>
          <cell r="V24">
            <v>0</v>
          </cell>
          <cell r="W24">
            <v>0</v>
          </cell>
          <cell r="AB24">
            <v>6.8708907182364609E-2</v>
          </cell>
          <cell r="AC24">
            <v>9.6129038721270779E-5</v>
          </cell>
          <cell r="AD24">
            <v>0</v>
          </cell>
          <cell r="AE24">
            <v>0</v>
          </cell>
          <cell r="AF24">
            <v>0</v>
          </cell>
          <cell r="AG24">
            <v>0</v>
          </cell>
          <cell r="AH24">
            <v>-1.661362708259907E-4</v>
          </cell>
          <cell r="AI24">
            <v>0.93136110004974015</v>
          </cell>
        </row>
        <row r="25">
          <cell r="U25">
            <v>0</v>
          </cell>
          <cell r="V25">
            <v>0</v>
          </cell>
          <cell r="W25">
            <v>0</v>
          </cell>
          <cell r="AB25">
            <v>0.16769798082274415</v>
          </cell>
          <cell r="AC25">
            <v>1.0603754919303136E-4</v>
          </cell>
          <cell r="AD25">
            <v>0</v>
          </cell>
          <cell r="AE25">
            <v>0</v>
          </cell>
          <cell r="AF25">
            <v>0</v>
          </cell>
          <cell r="AG25">
            <v>0</v>
          </cell>
          <cell r="AH25">
            <v>-6.3190968678404223E-4</v>
          </cell>
          <cell r="AI25">
            <v>0.8328278913148468</v>
          </cell>
        </row>
        <row r="26">
          <cell r="U26">
            <v>0</v>
          </cell>
          <cell r="V26">
            <v>0</v>
          </cell>
          <cell r="W26">
            <v>0</v>
          </cell>
          <cell r="AB26">
            <v>0.3382459735055553</v>
          </cell>
          <cell r="AC26">
            <v>1.1616977205699821E-4</v>
          </cell>
          <cell r="AD26">
            <v>0</v>
          </cell>
          <cell r="AE26">
            <v>0</v>
          </cell>
          <cell r="AF26">
            <v>0</v>
          </cell>
          <cell r="AG26">
            <v>0</v>
          </cell>
          <cell r="AH26">
            <v>0</v>
          </cell>
          <cell r="AI26">
            <v>0.66163785672238762</v>
          </cell>
        </row>
        <row r="27">
          <cell r="U27">
            <v>0</v>
          </cell>
          <cell r="V27">
            <v>0</v>
          </cell>
          <cell r="W27">
            <v>0</v>
          </cell>
          <cell r="AB27">
            <v>0.51371390561926755</v>
          </cell>
          <cell r="AC27">
            <v>1.3678970120040062E-4</v>
          </cell>
          <cell r="AD27">
            <v>0</v>
          </cell>
          <cell r="AE27">
            <v>0</v>
          </cell>
          <cell r="AF27">
            <v>0</v>
          </cell>
          <cell r="AG27">
            <v>0</v>
          </cell>
          <cell r="AH27">
            <v>-1.3826866076528061E-3</v>
          </cell>
          <cell r="AI27">
            <v>0.48753199128718488</v>
          </cell>
        </row>
      </sheetData>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XCH Allocation"/>
    </sheetNames>
    <sheetDataSet>
      <sheetData sheetId="0">
        <row r="2">
          <cell r="E2">
            <v>7117.6330394411361</v>
          </cell>
        </row>
        <row r="3">
          <cell r="E3">
            <v>1843.1665668159917</v>
          </cell>
        </row>
        <row r="4">
          <cell r="E4">
            <v>37005.742248401417</v>
          </cell>
        </row>
        <row r="5">
          <cell r="E5">
            <v>256223.69190782972</v>
          </cell>
        </row>
        <row r="6">
          <cell r="E6">
            <v>48895.435624112928</v>
          </cell>
        </row>
        <row r="7">
          <cell r="E7">
            <v>57912.422217862644</v>
          </cell>
        </row>
        <row r="8">
          <cell r="E8">
            <v>98305.057717256481</v>
          </cell>
        </row>
        <row r="9">
          <cell r="E9">
            <v>156825.88535441869</v>
          </cell>
        </row>
        <row r="10">
          <cell r="E10">
            <v>74851.731036335186</v>
          </cell>
        </row>
        <row r="11">
          <cell r="E11">
            <v>196390.62845535815</v>
          </cell>
        </row>
        <row r="12">
          <cell r="E12">
            <v>10331.554239437999</v>
          </cell>
        </row>
        <row r="13">
          <cell r="E13">
            <v>14536.15</v>
          </cell>
        </row>
        <row r="14">
          <cell r="E14">
            <v>157428.50256044167</v>
          </cell>
        </row>
        <row r="15">
          <cell r="E15">
            <v>63784.034163365599</v>
          </cell>
        </row>
      </sheetData>
      <sheetData sheetId="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 val="Summary - vol all BF"/>
    </sheetNames>
    <sheetDataSet>
      <sheetData sheetId="0"/>
      <sheetData sheetId="1"/>
      <sheetData sheetId="2"/>
      <sheetData sheetId="3">
        <row r="33">
          <cell r="H33">
            <v>209832.59577038267</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y_LOB"/>
      <sheetName val="EOB Information"/>
      <sheetName val="Claim Triangle"/>
      <sheetName val="Completion Factors"/>
      <sheetName val="Premium"/>
      <sheetName val="PL"/>
      <sheetName val="Summary"/>
      <sheetName val="Assume split"/>
      <sheetName val="PLAN LOOKUP"/>
    </sheetNames>
    <sheetDataSet>
      <sheetData sheetId="0"/>
      <sheetData sheetId="1"/>
      <sheetData sheetId="2"/>
      <sheetData sheetId="3"/>
      <sheetData sheetId="4"/>
      <sheetData sheetId="5"/>
      <sheetData sheetId="6">
        <row r="35">
          <cell r="H35">
            <v>7.4999999999999997E-2</v>
          </cell>
        </row>
        <row r="36">
          <cell r="H36">
            <v>2852.8990141421973</v>
          </cell>
        </row>
      </sheetData>
      <sheetData sheetId="7"/>
      <sheetData sheetId="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41689.849823683413</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CL_Split_By_LOB"/>
      <sheetName val="EOB Information"/>
      <sheetName val="PT"/>
      <sheetName val="Summary"/>
      <sheetName val="Completion Factors"/>
      <sheetName val="Premium"/>
      <sheetName val="PL"/>
    </sheetNames>
    <sheetDataSet>
      <sheetData sheetId="0"/>
      <sheetData sheetId="1"/>
      <sheetData sheetId="2"/>
      <sheetData sheetId="3"/>
      <sheetData sheetId="4">
        <row r="35">
          <cell r="H35">
            <v>7.4999999999999997E-2</v>
          </cell>
        </row>
        <row r="36">
          <cell r="H36">
            <v>46527.596958871203</v>
          </cell>
        </row>
      </sheetData>
      <sheetData sheetId="5"/>
      <sheetData sheetId="6"/>
      <sheetData sheetId="7"/>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ocument"/>
      <sheetName val="CL_By_LOB"/>
      <sheetName val="EOB"/>
      <sheetName val="Plan_Code_Table"/>
      <sheetName val="Claim Triangle"/>
      <sheetName val="Completion Factors"/>
      <sheetName val="Premium"/>
      <sheetName val="Summary"/>
      <sheetName val="Split"/>
      <sheetName val="PL"/>
    </sheetNames>
    <sheetDataSet>
      <sheetData sheetId="0"/>
      <sheetData sheetId="1"/>
      <sheetData sheetId="2"/>
      <sheetData sheetId="3"/>
      <sheetData sheetId="4"/>
      <sheetData sheetId="5"/>
      <sheetData sheetId="6"/>
      <sheetData sheetId="7">
        <row r="35">
          <cell r="H35">
            <v>7.4999999999999997E-2</v>
          </cell>
        </row>
        <row r="36">
          <cell r="H36">
            <v>88593.393911147272</v>
          </cell>
        </row>
      </sheetData>
      <sheetData sheetId="8"/>
      <sheetData sheetId="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12812.058642120783</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ocument"/>
      <sheetName val="Completion Factors"/>
      <sheetName val="EOB Information"/>
      <sheetName val="PT"/>
      <sheetName val="Sch H"/>
      <sheetName val="Summary"/>
      <sheetName val="Premium"/>
      <sheetName val="PL"/>
      <sheetName val="Plan Code Table"/>
    </sheetNames>
    <sheetDataSet>
      <sheetData sheetId="0"/>
      <sheetData sheetId="1"/>
      <sheetData sheetId="2"/>
      <sheetData sheetId="3"/>
      <sheetData sheetId="4"/>
      <sheetData sheetId="5">
        <row r="35">
          <cell r="H35">
            <v>7.4999999999999997E-2</v>
          </cell>
        </row>
        <row r="36">
          <cell r="H36">
            <v>32709.246771985087</v>
          </cell>
        </row>
      </sheetData>
      <sheetData sheetId="6"/>
      <sheetData sheetId="7"/>
      <sheetData sheetId="8"/>
    </sheetDataSet>
  </externalBook>
</externalLink>
</file>

<file path=xl/persons/person.xml><?xml version="1.0" encoding="utf-8"?>
<personList xmlns="http://schemas.microsoft.com/office/spreadsheetml/2018/threadedcomments" xmlns:x="http://schemas.openxmlformats.org/spreadsheetml/2006/main">
  <person displayName="Julia Oranias" id="{FC6D6499-D49C-4EF0-B72D-3446266526EE}" userId="S::joranias@actrisk.com::f83fb233-9eca-431f-9d3a-a35e583d3cea" providerId="AD"/>
</personList>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J11" dT="2024-10-08T17:48:23.40" personId="{FC6D6499-D49C-4EF0-B72D-3446266526EE}" id="{4EA062A0-BE3E-4ACB-98F3-2F60190870C5}">
    <text>Unified has not booked the 507k reserve for LL according to Kevin’s email</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38D66-6A3A-466E-8973-92ABD33CCFF7}">
  <dimension ref="A1:P18"/>
  <sheetViews>
    <sheetView tabSelected="1" zoomScaleNormal="100" workbookViewId="0">
      <selection activeCell="M6" sqref="M6"/>
    </sheetView>
  </sheetViews>
  <sheetFormatPr defaultRowHeight="13.2" x14ac:dyDescent="0.3"/>
  <cols>
    <col min="1" max="1" width="15.85546875" bestFit="1" customWidth="1"/>
    <col min="2" max="2" width="14.85546875" bestFit="1" customWidth="1"/>
    <col min="3" max="3" width="15.42578125" bestFit="1" customWidth="1"/>
    <col min="4" max="4" width="12.42578125" bestFit="1" customWidth="1"/>
    <col min="5" max="5" width="21" bestFit="1" customWidth="1"/>
    <col min="7" max="7" width="23.140625" bestFit="1" customWidth="1"/>
    <col min="8" max="9" width="18.140625" customWidth="1"/>
    <col min="10" max="10" width="23.140625" hidden="1" customWidth="1"/>
    <col min="11" max="12" width="18.140625" hidden="1" customWidth="1"/>
    <col min="13" max="13" width="70.5703125" customWidth="1"/>
    <col min="14" max="14" width="3.85546875" customWidth="1"/>
    <col min="15" max="15" width="40.140625" bestFit="1" customWidth="1"/>
    <col min="16" max="16" width="13.5703125" bestFit="1" customWidth="1"/>
  </cols>
  <sheetData>
    <row r="1" spans="1:16" x14ac:dyDescent="0.3">
      <c r="A1" s="1" t="s">
        <v>0</v>
      </c>
      <c r="B1" s="1" t="s">
        <v>1</v>
      </c>
      <c r="C1" s="1" t="s">
        <v>2</v>
      </c>
      <c r="D1" s="1" t="s">
        <v>3</v>
      </c>
      <c r="E1" s="1" t="s">
        <v>4</v>
      </c>
      <c r="G1" s="2" t="s">
        <v>32</v>
      </c>
      <c r="H1" s="2" t="s">
        <v>22</v>
      </c>
      <c r="I1" s="2" t="s">
        <v>23</v>
      </c>
      <c r="J1" s="2" t="s">
        <v>27</v>
      </c>
      <c r="K1" s="2" t="s">
        <v>22</v>
      </c>
      <c r="L1" s="2" t="s">
        <v>23</v>
      </c>
      <c r="M1" s="2" t="s">
        <v>24</v>
      </c>
      <c r="O1" s="2" t="s">
        <v>21</v>
      </c>
      <c r="P1" s="2" t="s">
        <v>26</v>
      </c>
    </row>
    <row r="2" spans="1:16" x14ac:dyDescent="0.3">
      <c r="A2" t="s">
        <v>5</v>
      </c>
      <c r="B2" s="8">
        <f>+[1]Summary!$H$33</f>
        <v>7589.6872303844793</v>
      </c>
      <c r="C2" s="4">
        <f>+[2]Summary!$H$35</f>
        <v>7.4999999999999997E-2</v>
      </c>
      <c r="D2" s="7">
        <f>+B2*C2</f>
        <v>569.22654227883595</v>
      </c>
      <c r="E2" s="7">
        <f>+B2+D2</f>
        <v>8158.9137726633153</v>
      </c>
      <c r="G2" s="8">
        <f>[31]Summary!E2</f>
        <v>7117.6330394411361</v>
      </c>
      <c r="H2" s="8">
        <f>+E2-G2</f>
        <v>1041.2807332221792</v>
      </c>
      <c r="I2" s="9">
        <f>+H2/G2</f>
        <v>0.14629592835878186</v>
      </c>
      <c r="J2" s="29">
        <f>+[2]Summary!$H$36</f>
        <v>10194.181693825194</v>
      </c>
      <c r="K2" s="29">
        <f>+E2-J2</f>
        <v>-2035.2679211618788</v>
      </c>
      <c r="L2" s="30">
        <f>+K2/J2</f>
        <v>-0.19964995546377975</v>
      </c>
      <c r="M2" s="10"/>
      <c r="O2" t="s">
        <v>28</v>
      </c>
      <c r="P2" s="8" t="s">
        <v>25</v>
      </c>
    </row>
    <row r="3" spans="1:16" x14ac:dyDescent="0.3">
      <c r="A3" t="s">
        <v>6</v>
      </c>
      <c r="B3" s="8">
        <f>+[3]Summary!$H$33</f>
        <v>-1392.7969667189204</v>
      </c>
      <c r="C3" s="3">
        <f>+[4]Summary!$H$35</f>
        <v>7.4999999999999997E-2</v>
      </c>
      <c r="D3" s="7">
        <f t="shared" ref="D3:D16" si="0">+B3*C3</f>
        <v>-104.45977250391903</v>
      </c>
      <c r="E3" s="7">
        <f t="shared" ref="E3:E16" si="1">+B3+D3</f>
        <v>-1497.2567392228395</v>
      </c>
      <c r="G3" s="8">
        <f>[31]Summary!E3</f>
        <v>1843.1665668159917</v>
      </c>
      <c r="H3" s="8">
        <f t="shared" ref="H3:H16" si="2">+E3-G3</f>
        <v>-3340.4233060388315</v>
      </c>
      <c r="I3" s="9">
        <f t="shared" ref="I3:I16" si="3">+H3/G3</f>
        <v>-1.8123285036627483</v>
      </c>
      <c r="J3" s="29">
        <f>+[4]Summary!$H$36</f>
        <v>2852.8990141421973</v>
      </c>
      <c r="K3" s="29">
        <f t="shared" ref="K3:K16" si="4">+E3-J3</f>
        <v>-4350.1557533650366</v>
      </c>
      <c r="L3" s="30">
        <f t="shared" ref="L3:L16" si="5">+K3/J3</f>
        <v>-1.5248193966210299</v>
      </c>
      <c r="M3" s="10"/>
      <c r="O3" t="s">
        <v>29</v>
      </c>
      <c r="P3" s="8" t="s">
        <v>25</v>
      </c>
    </row>
    <row r="4" spans="1:16" x14ac:dyDescent="0.3">
      <c r="A4" t="s">
        <v>15</v>
      </c>
      <c r="B4" s="8">
        <f>+[5]Summary!$H$33</f>
        <v>41689.849823683413</v>
      </c>
      <c r="C4" s="3">
        <f>+[6]Summary!$H$35</f>
        <v>7.4999999999999997E-2</v>
      </c>
      <c r="D4" s="7">
        <f t="shared" si="0"/>
        <v>3126.7387367762558</v>
      </c>
      <c r="E4" s="7">
        <f t="shared" si="1"/>
        <v>44816.58856045967</v>
      </c>
      <c r="G4" s="8">
        <f>[31]Summary!E4</f>
        <v>37005.742248401417</v>
      </c>
      <c r="H4" s="8">
        <f t="shared" si="2"/>
        <v>7810.8463120582528</v>
      </c>
      <c r="I4" s="9">
        <f t="shared" si="3"/>
        <v>0.21107119699499252</v>
      </c>
      <c r="J4" s="29">
        <f>+[6]Summary!$H$36</f>
        <v>46527.596958871203</v>
      </c>
      <c r="K4" s="29">
        <f t="shared" si="4"/>
        <v>-1711.0083984115336</v>
      </c>
      <c r="L4" s="30">
        <f t="shared" si="5"/>
        <v>-3.6774054759888118E-2</v>
      </c>
      <c r="M4" s="10"/>
      <c r="O4" t="s">
        <v>29</v>
      </c>
      <c r="P4" s="8" t="s">
        <v>25</v>
      </c>
    </row>
    <row r="5" spans="1:16" ht="26.4" x14ac:dyDescent="0.3">
      <c r="A5" t="s">
        <v>7</v>
      </c>
      <c r="B5" s="8">
        <f>+'[32]Summary - vol all BF'!$H$33</f>
        <v>209832.59577038267</v>
      </c>
      <c r="C5" s="3">
        <f>+[7]Summary!$H$35</f>
        <v>7.4999999999999997E-2</v>
      </c>
      <c r="D5" s="7">
        <f t="shared" si="0"/>
        <v>15737.4446827787</v>
      </c>
      <c r="E5" s="7">
        <f>+B5+D5</f>
        <v>225570.04045316137</v>
      </c>
      <c r="G5" s="8">
        <f>[31]Summary!E5</f>
        <v>256223.69190782972</v>
      </c>
      <c r="H5" s="8">
        <f t="shared" si="2"/>
        <v>-30653.651454668347</v>
      </c>
      <c r="I5" s="9">
        <f>+H5/G5</f>
        <v>-0.11963628822308617</v>
      </c>
      <c r="J5" s="29">
        <f>+[7]Summary!$H$36</f>
        <v>88593.393911147272</v>
      </c>
      <c r="K5" s="29">
        <f t="shared" si="4"/>
        <v>136976.64654201409</v>
      </c>
      <c r="L5" s="30">
        <f t="shared" si="5"/>
        <v>1.5461270924939583</v>
      </c>
      <c r="M5" s="41" t="s">
        <v>53</v>
      </c>
      <c r="O5" s="42" t="s">
        <v>51</v>
      </c>
      <c r="P5" s="8" t="s">
        <v>25</v>
      </c>
    </row>
    <row r="6" spans="1:16" ht="38.4" customHeight="1" x14ac:dyDescent="0.3">
      <c r="A6" t="s">
        <v>8</v>
      </c>
      <c r="B6" s="8">
        <f>+[8]Summary!$H$33</f>
        <v>12812.058642120783</v>
      </c>
      <c r="C6" s="3">
        <f>+[9]Summary!$H$35</f>
        <v>7.4999999999999997E-2</v>
      </c>
      <c r="D6" s="7">
        <f t="shared" si="0"/>
        <v>960.9043981590587</v>
      </c>
      <c r="E6" s="7">
        <f t="shared" si="1"/>
        <v>13772.963040279841</v>
      </c>
      <c r="G6" s="8">
        <f>[31]Summary!E6</f>
        <v>48895.435624112928</v>
      </c>
      <c r="H6" s="8">
        <f t="shared" si="2"/>
        <v>-35122.472583833085</v>
      </c>
      <c r="I6" s="9">
        <f t="shared" si="3"/>
        <v>-0.71831802162147695</v>
      </c>
      <c r="J6" s="29">
        <f>+[9]Summary!$H$36</f>
        <v>32709.246771985087</v>
      </c>
      <c r="K6" s="29">
        <f t="shared" si="4"/>
        <v>-18936.283731705247</v>
      </c>
      <c r="L6" s="30">
        <f t="shared" si="5"/>
        <v>-0.57892753886108594</v>
      </c>
      <c r="M6" s="28"/>
      <c r="O6" t="s">
        <v>29</v>
      </c>
      <c r="P6" s="8" t="s">
        <v>25</v>
      </c>
    </row>
    <row r="7" spans="1:16" x14ac:dyDescent="0.3">
      <c r="A7" t="s">
        <v>9</v>
      </c>
      <c r="B7" s="8">
        <f>+[10]Summary!$H$33</f>
        <v>81383.240764616756</v>
      </c>
      <c r="C7" s="3">
        <f>+[11]Summary!$H$35</f>
        <v>7.4999999999999997E-2</v>
      </c>
      <c r="D7" s="7">
        <f t="shared" si="0"/>
        <v>6103.7430573462561</v>
      </c>
      <c r="E7" s="7">
        <f t="shared" si="1"/>
        <v>87486.983821963018</v>
      </c>
      <c r="G7" s="8">
        <f>[31]Summary!E7</f>
        <v>57912.422217862644</v>
      </c>
      <c r="H7" s="8">
        <f t="shared" si="2"/>
        <v>29574.561604100374</v>
      </c>
      <c r="I7" s="9">
        <f t="shared" si="3"/>
        <v>0.51067733780574498</v>
      </c>
      <c r="J7" s="29">
        <f>+[11]Summary!$H$36</f>
        <v>43941.36</v>
      </c>
      <c r="K7" s="29">
        <f t="shared" si="4"/>
        <v>43545.623821963018</v>
      </c>
      <c r="L7" s="30">
        <f t="shared" si="5"/>
        <v>0.99099399340309491</v>
      </c>
      <c r="M7" s="27"/>
      <c r="O7" t="s">
        <v>29</v>
      </c>
      <c r="P7" s="8" t="s">
        <v>25</v>
      </c>
    </row>
    <row r="8" spans="1:16" x14ac:dyDescent="0.3">
      <c r="A8" t="s">
        <v>10</v>
      </c>
      <c r="B8" s="8">
        <f>+[12]Summary!$H$33</f>
        <v>89705.2752911633</v>
      </c>
      <c r="C8" s="3">
        <f>+[13]Summary!$H$35</f>
        <v>7.4999999999999997E-2</v>
      </c>
      <c r="D8" s="7">
        <f t="shared" si="0"/>
        <v>6727.8956468372471</v>
      </c>
      <c r="E8" s="7">
        <f t="shared" si="1"/>
        <v>96433.170938000549</v>
      </c>
      <c r="G8" s="8">
        <f>[31]Summary!E8</f>
        <v>98305.057717256481</v>
      </c>
      <c r="H8" s="8">
        <f t="shared" si="2"/>
        <v>-1871.8867792559322</v>
      </c>
      <c r="I8" s="9">
        <f t="shared" si="3"/>
        <v>-1.904161212782993E-2</v>
      </c>
      <c r="J8" s="29">
        <f>+[13]Summary!$H$36</f>
        <v>158653.1571364796</v>
      </c>
      <c r="K8" s="29">
        <f t="shared" si="4"/>
        <v>-62219.986198479048</v>
      </c>
      <c r="L8" s="30">
        <f t="shared" si="5"/>
        <v>-0.39217616164395014</v>
      </c>
      <c r="M8" s="28"/>
      <c r="O8" t="s">
        <v>29</v>
      </c>
      <c r="P8" s="8" t="s">
        <v>25</v>
      </c>
    </row>
    <row r="9" spans="1:16" s="35" customFormat="1" x14ac:dyDescent="0.3">
      <c r="A9" s="35" t="s">
        <v>11</v>
      </c>
      <c r="B9" s="36">
        <f>+[14]Summary!$H$33</f>
        <v>145884.54451573832</v>
      </c>
      <c r="C9" s="37">
        <f>+[15]Summary!$H$35</f>
        <v>7.4999999999999997E-2</v>
      </c>
      <c r="D9" s="38">
        <f t="shared" si="0"/>
        <v>10941.340838680373</v>
      </c>
      <c r="E9" s="38">
        <f t="shared" si="1"/>
        <v>156825.88535441869</v>
      </c>
      <c r="G9" s="36">
        <f>[31]Summary!E9</f>
        <v>156825.88535441869</v>
      </c>
      <c r="H9" s="36">
        <f t="shared" si="2"/>
        <v>0</v>
      </c>
      <c r="I9" s="39">
        <f t="shared" si="3"/>
        <v>0</v>
      </c>
      <c r="J9" s="36">
        <f>+[15]Summary!$H$36</f>
        <v>167515.8389747378</v>
      </c>
      <c r="K9" s="36">
        <f t="shared" si="4"/>
        <v>-10689.953620319109</v>
      </c>
      <c r="L9" s="39">
        <f t="shared" si="5"/>
        <v>-6.3814584255111578E-2</v>
      </c>
      <c r="M9" s="40"/>
      <c r="O9" s="35" t="s">
        <v>29</v>
      </c>
      <c r="P9" s="36" t="s">
        <v>25</v>
      </c>
    </row>
    <row r="10" spans="1:16" x14ac:dyDescent="0.3">
      <c r="A10" t="s">
        <v>12</v>
      </c>
      <c r="B10" s="8">
        <f>+[16]Summary!$H$33</f>
        <v>207799.46957937517</v>
      </c>
      <c r="C10" s="3">
        <f>+[17]Summary!$H$35</f>
        <v>7.4999999999999997E-2</v>
      </c>
      <c r="D10" s="33">
        <f t="shared" si="0"/>
        <v>15584.960218453138</v>
      </c>
      <c r="E10" s="33">
        <f t="shared" si="1"/>
        <v>223384.42979782831</v>
      </c>
      <c r="G10" s="8">
        <f>[31]Summary!E10</f>
        <v>74851.731036335186</v>
      </c>
      <c r="H10" s="8">
        <f t="shared" si="2"/>
        <v>148532.69876149314</v>
      </c>
      <c r="I10" s="34">
        <f t="shared" si="3"/>
        <v>1.9843589013244209</v>
      </c>
      <c r="J10" s="8">
        <f>+[17]Summary!$H$36</f>
        <v>61403.00276625227</v>
      </c>
      <c r="K10" s="8">
        <f t="shared" si="4"/>
        <v>161981.42703157605</v>
      </c>
      <c r="L10" s="34">
        <f t="shared" si="5"/>
        <v>2.6380049791409017</v>
      </c>
      <c r="M10" s="27"/>
      <c r="O10" t="s">
        <v>29</v>
      </c>
      <c r="P10" s="8" t="s">
        <v>25</v>
      </c>
    </row>
    <row r="11" spans="1:16" s="35" customFormat="1" x14ac:dyDescent="0.3">
      <c r="A11" s="35" t="s">
        <v>19</v>
      </c>
      <c r="B11" s="36">
        <f>+[18]Summary!$H$33</f>
        <v>187038.69376700776</v>
      </c>
      <c r="C11" s="37">
        <v>0.05</v>
      </c>
      <c r="D11" s="38">
        <f t="shared" si="0"/>
        <v>9351.9346883503877</v>
      </c>
      <c r="E11" s="38">
        <f t="shared" si="1"/>
        <v>196390.62845535815</v>
      </c>
      <c r="G11" s="36">
        <f>[31]Summary!E11</f>
        <v>196390.62845535815</v>
      </c>
      <c r="H11" s="36">
        <f t="shared" si="2"/>
        <v>0</v>
      </c>
      <c r="I11" s="39">
        <f t="shared" si="3"/>
        <v>0</v>
      </c>
      <c r="J11" s="36">
        <f>+[19]Summary!$E$36-[19]Summary!$E$35</f>
        <v>121236.15000000002</v>
      </c>
      <c r="K11" s="36">
        <f t="shared" ref="K11" si="6">+E11-J11</f>
        <v>75154.478455358127</v>
      </c>
      <c r="L11" s="39">
        <f t="shared" ref="L11" si="7">+K11/J11</f>
        <v>0.61990155952129877</v>
      </c>
      <c r="M11" s="40"/>
      <c r="O11" s="35" t="s">
        <v>30</v>
      </c>
      <c r="P11" s="36" t="s">
        <v>25</v>
      </c>
    </row>
    <row r="12" spans="1:16" s="35" customFormat="1" x14ac:dyDescent="0.3">
      <c r="A12" s="35" t="s">
        <v>20</v>
      </c>
      <c r="B12" s="36">
        <f>+[20]Summary!$H$33</f>
        <v>9839.5754661314277</v>
      </c>
      <c r="C12" s="37">
        <v>0.05</v>
      </c>
      <c r="D12" s="38">
        <f t="shared" si="0"/>
        <v>491.97877330657138</v>
      </c>
      <c r="E12" s="38">
        <f t="shared" si="1"/>
        <v>10331.554239437999</v>
      </c>
      <c r="G12" s="36">
        <f>[31]Summary!E12</f>
        <v>10331.554239437999</v>
      </c>
      <c r="H12" s="36">
        <f t="shared" si="2"/>
        <v>0</v>
      </c>
      <c r="I12" s="39">
        <f t="shared" si="3"/>
        <v>0</v>
      </c>
      <c r="J12" s="36">
        <f>+[21]Summary!$E$36</f>
        <v>21308.7</v>
      </c>
      <c r="K12" s="36">
        <f t="shared" ref="K12" si="8">+E12-J12</f>
        <v>-10977.145760562002</v>
      </c>
      <c r="L12" s="39">
        <f t="shared" ref="L12" si="9">+K12/J12</f>
        <v>-0.51514854310971581</v>
      </c>
      <c r="M12" s="40"/>
      <c r="O12" s="35" t="s">
        <v>30</v>
      </c>
      <c r="P12" s="36" t="s">
        <v>25</v>
      </c>
    </row>
    <row r="13" spans="1:16" ht="39.6" x14ac:dyDescent="0.3">
      <c r="A13" t="s">
        <v>17</v>
      </c>
      <c r="B13" s="8">
        <f>+[22]Summary!$H$33</f>
        <v>16490.155975586436</v>
      </c>
      <c r="C13" s="3">
        <f>+[23]Summary!$H$35</f>
        <v>7.4999999999999997E-2</v>
      </c>
      <c r="D13" s="33">
        <f t="shared" si="0"/>
        <v>1236.7616981689828</v>
      </c>
      <c r="E13" s="33">
        <f t="shared" si="1"/>
        <v>17726.917673755419</v>
      </c>
      <c r="G13" s="8">
        <f>[31]Summary!E13</f>
        <v>14536.15</v>
      </c>
      <c r="H13" s="8">
        <f t="shared" si="2"/>
        <v>3190.7676737554193</v>
      </c>
      <c r="I13" s="34">
        <f t="shared" si="3"/>
        <v>0.21950569261843195</v>
      </c>
      <c r="J13" s="8">
        <f>+[23]Summary!$H$36</f>
        <v>22925.112714356808</v>
      </c>
      <c r="K13" s="8">
        <f t="shared" si="4"/>
        <v>-5198.1950406013893</v>
      </c>
      <c r="L13" s="34">
        <f t="shared" si="5"/>
        <v>-0.22674676043559994</v>
      </c>
      <c r="M13" s="28" t="s">
        <v>33</v>
      </c>
      <c r="O13" t="s">
        <v>29</v>
      </c>
      <c r="P13" s="8" t="s">
        <v>25</v>
      </c>
    </row>
    <row r="14" spans="1:16" s="35" customFormat="1" x14ac:dyDescent="0.3">
      <c r="A14" s="35" t="s">
        <v>18</v>
      </c>
      <c r="B14" s="36">
        <f>+[24]Summary!$H$33</f>
        <v>146445.11866087597</v>
      </c>
      <c r="C14" s="37">
        <f>+[25]Summary!$H$35</f>
        <v>7.4999999999999997E-2</v>
      </c>
      <c r="D14" s="38">
        <f t="shared" si="0"/>
        <v>10983.383899565697</v>
      </c>
      <c r="E14" s="38">
        <f t="shared" si="1"/>
        <v>157428.50256044167</v>
      </c>
      <c r="G14" s="36">
        <f>[31]Summary!E14</f>
        <v>157428.50256044167</v>
      </c>
      <c r="H14" s="36">
        <f t="shared" si="2"/>
        <v>0</v>
      </c>
      <c r="I14" s="39">
        <f t="shared" si="3"/>
        <v>0</v>
      </c>
      <c r="J14" s="36">
        <f>+[25]Summary!$H$36</f>
        <v>60621.568508703676</v>
      </c>
      <c r="K14" s="36">
        <f t="shared" si="4"/>
        <v>96806.934051738004</v>
      </c>
      <c r="L14" s="39">
        <f t="shared" si="5"/>
        <v>1.5969057949703009</v>
      </c>
      <c r="M14" s="40" t="s">
        <v>52</v>
      </c>
      <c r="O14" s="35" t="s">
        <v>29</v>
      </c>
      <c r="P14" s="36" t="s">
        <v>25</v>
      </c>
    </row>
    <row r="15" spans="1:16" x14ac:dyDescent="0.3">
      <c r="A15" t="s">
        <v>13</v>
      </c>
      <c r="B15" s="8">
        <f>+[26]Summary!$L$33</f>
        <v>58508.546432316405</v>
      </c>
      <c r="C15" s="3">
        <f>+[27]Summary!$L$35</f>
        <v>7.4999999999999997E-2</v>
      </c>
      <c r="D15" s="33">
        <f t="shared" si="0"/>
        <v>4388.1409824237298</v>
      </c>
      <c r="E15" s="33">
        <f t="shared" si="1"/>
        <v>62896.687414740132</v>
      </c>
      <c r="G15" s="8">
        <f>[31]Summary!E15</f>
        <v>63784.034163365599</v>
      </c>
      <c r="H15" s="8">
        <f t="shared" si="2"/>
        <v>-887.34674862546672</v>
      </c>
      <c r="I15" s="34">
        <f t="shared" si="3"/>
        <v>-1.3911737635671764E-2</v>
      </c>
      <c r="J15" s="8">
        <f>+[27]Summary!$L$36</f>
        <v>70721.566596096614</v>
      </c>
      <c r="K15" s="8">
        <f t="shared" si="4"/>
        <v>-7824.8791813564821</v>
      </c>
      <c r="L15" s="34">
        <f t="shared" si="5"/>
        <v>-0.11064346504151629</v>
      </c>
      <c r="M15" s="27"/>
      <c r="O15" t="s">
        <v>31</v>
      </c>
      <c r="P15" s="8" t="s">
        <v>25</v>
      </c>
    </row>
    <row r="16" spans="1:16" s="35" customFormat="1" x14ac:dyDescent="0.3">
      <c r="A16" s="35" t="s">
        <v>16</v>
      </c>
      <c r="B16" s="36">
        <f>+[28]Summary!$H$33</f>
        <v>453642.42857453739</v>
      </c>
      <c r="C16" s="37">
        <f>+[29]Summary!$H$35</f>
        <v>7.4999999999999997E-2</v>
      </c>
      <c r="D16" s="38">
        <f t="shared" si="0"/>
        <v>34023.1821430903</v>
      </c>
      <c r="E16" s="38">
        <f t="shared" si="1"/>
        <v>487665.61071762769</v>
      </c>
      <c r="G16" s="36">
        <f>+E16</f>
        <v>487665.61071762769</v>
      </c>
      <c r="H16" s="36">
        <f t="shared" si="2"/>
        <v>0</v>
      </c>
      <c r="I16" s="39">
        <f t="shared" si="3"/>
        <v>0</v>
      </c>
      <c r="J16" s="36">
        <f>+[29]Summary!$H$36</f>
        <v>777303.67606529</v>
      </c>
      <c r="K16" s="36">
        <f t="shared" si="4"/>
        <v>-289638.06534766231</v>
      </c>
      <c r="L16" s="39">
        <f t="shared" si="5"/>
        <v>-0.37261893165591309</v>
      </c>
      <c r="M16" s="40"/>
      <c r="O16" s="35" t="s">
        <v>29</v>
      </c>
      <c r="P16" s="36" t="s">
        <v>25</v>
      </c>
    </row>
    <row r="17" spans="1:13" x14ac:dyDescent="0.3">
      <c r="B17" s="8"/>
      <c r="J17" s="31"/>
      <c r="K17" s="31"/>
      <c r="L17" s="31"/>
      <c r="M17" s="11"/>
    </row>
    <row r="18" spans="1:13" x14ac:dyDescent="0.3">
      <c r="A18" s="5" t="s">
        <v>14</v>
      </c>
      <c r="B18" s="6">
        <f>+SUM(B2:B17)</f>
        <v>1667268.4435272012</v>
      </c>
      <c r="C18" s="5"/>
      <c r="D18" s="6">
        <f>+SUM(D2:D17)</f>
        <v>120123.17653371161</v>
      </c>
      <c r="E18" s="6">
        <f>+SUM(E2:E17)</f>
        <v>1787391.620060913</v>
      </c>
      <c r="F18" s="5"/>
      <c r="G18" s="6">
        <f>+SUM(G2:G17)</f>
        <v>1669117.2458487053</v>
      </c>
      <c r="H18" s="6">
        <f>+SUM(H2:H17)</f>
        <v>118274.37421220769</v>
      </c>
      <c r="I18" s="9">
        <f>+H18/G18</f>
        <v>7.0860435063127072E-2</v>
      </c>
      <c r="J18" s="32">
        <f>+SUM(J2:J17)</f>
        <v>1686507.4511118878</v>
      </c>
      <c r="K18" s="32">
        <f>+SUM(K2:K17)</f>
        <v>100884.16894902533</v>
      </c>
      <c r="L18" s="30">
        <f>+K18/J18</f>
        <v>5.9818395040302959E-2</v>
      </c>
      <c r="M18" s="10"/>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7008F-CC6D-4C08-B206-EDDC0B61AD88}">
  <dimension ref="A1:N29"/>
  <sheetViews>
    <sheetView topLeftCell="A7" workbookViewId="0">
      <selection activeCell="B11" sqref="B11"/>
    </sheetView>
  </sheetViews>
  <sheetFormatPr defaultRowHeight="13.2" x14ac:dyDescent="0.3"/>
  <cols>
    <col min="2" max="2" width="11.85546875" bestFit="1" customWidth="1"/>
    <col min="3" max="4" width="18.42578125" bestFit="1" customWidth="1"/>
    <col min="5" max="5" width="8.85546875" bestFit="1" customWidth="1"/>
    <col min="6" max="6" width="17.140625" bestFit="1" customWidth="1"/>
    <col min="7" max="8" width="10.85546875" bestFit="1" customWidth="1"/>
    <col min="9" max="9" width="17" bestFit="1" customWidth="1"/>
    <col min="10" max="13" width="13" bestFit="1" customWidth="1"/>
    <col min="14" max="14" width="19" bestFit="1" customWidth="1"/>
  </cols>
  <sheetData>
    <row r="1" spans="1:14" x14ac:dyDescent="0.3">
      <c r="C1" s="13"/>
    </row>
    <row r="2" spans="1:14" x14ac:dyDescent="0.3">
      <c r="A2" s="17" t="s">
        <v>34</v>
      </c>
      <c r="B2" s="18" t="s">
        <v>36</v>
      </c>
      <c r="C2" s="19"/>
      <c r="D2" s="19"/>
      <c r="E2" s="19"/>
      <c r="F2" s="19"/>
      <c r="G2" s="19"/>
      <c r="H2" s="19"/>
      <c r="I2" s="19"/>
      <c r="J2" s="19"/>
      <c r="K2" s="19"/>
      <c r="L2" s="19"/>
      <c r="M2" s="20"/>
    </row>
    <row r="3" spans="1:14" x14ac:dyDescent="0.3">
      <c r="A3" s="21" t="s">
        <v>35</v>
      </c>
      <c r="B3" s="16" t="s">
        <v>37</v>
      </c>
      <c r="C3" s="5" t="s">
        <v>38</v>
      </c>
      <c r="D3" s="5" t="s">
        <v>39</v>
      </c>
      <c r="E3" s="5" t="s">
        <v>40</v>
      </c>
      <c r="F3" s="5" t="s">
        <v>41</v>
      </c>
      <c r="G3" s="5" t="s">
        <v>42</v>
      </c>
      <c r="H3" s="5" t="s">
        <v>50</v>
      </c>
      <c r="I3" s="5" t="s">
        <v>43</v>
      </c>
      <c r="J3" s="5" t="s">
        <v>44</v>
      </c>
      <c r="K3" s="5" t="s">
        <v>45</v>
      </c>
      <c r="L3" s="5" t="s">
        <v>46</v>
      </c>
      <c r="M3" s="22" t="s">
        <v>47</v>
      </c>
      <c r="N3" t="s">
        <v>48</v>
      </c>
    </row>
    <row r="4" spans="1:14" x14ac:dyDescent="0.3">
      <c r="A4" s="23" t="s">
        <v>49</v>
      </c>
      <c r="B4" s="24">
        <f>+SUM(B5:B28)</f>
        <v>453642.42857453739</v>
      </c>
      <c r="C4" s="24">
        <f>+SUM(C5:C28)</f>
        <v>-0.12758726237805987</v>
      </c>
      <c r="D4" s="24">
        <f t="shared" ref="D4:N4" si="0">+SUM(D5:D28)</f>
        <v>-0.10271495289774474</v>
      </c>
      <c r="E4" s="24">
        <f t="shared" si="0"/>
        <v>116.73113877961278</v>
      </c>
      <c r="F4" s="24">
        <f t="shared" si="0"/>
        <v>15506.173998678021</v>
      </c>
      <c r="G4" s="24">
        <f t="shared" si="0"/>
        <v>338677.66063828499</v>
      </c>
      <c r="H4" s="24">
        <f t="shared" si="0"/>
        <v>99090.584050001256</v>
      </c>
      <c r="I4" s="24">
        <f t="shared" si="0"/>
        <v>46.779706013003143</v>
      </c>
      <c r="J4" s="24">
        <f t="shared" si="0"/>
        <v>204.72934499582604</v>
      </c>
      <c r="K4" s="24">
        <f t="shared" si="0"/>
        <v>0</v>
      </c>
      <c r="L4" s="24">
        <f t="shared" si="0"/>
        <v>0</v>
      </c>
      <c r="M4" s="25">
        <f t="shared" si="0"/>
        <v>0</v>
      </c>
      <c r="N4" s="26">
        <f t="shared" si="0"/>
        <v>0</v>
      </c>
    </row>
    <row r="5" spans="1:14" x14ac:dyDescent="0.3">
      <c r="A5" s="12">
        <f>+[28]Summary!A8</f>
        <v>44958</v>
      </c>
      <c r="B5" s="13">
        <f>+[28]Summary!H8</f>
        <v>0</v>
      </c>
      <c r="C5" s="14"/>
      <c r="D5" s="14"/>
      <c r="E5" s="14"/>
      <c r="F5" s="14"/>
      <c r="G5" s="14"/>
      <c r="H5" s="14"/>
      <c r="I5" s="14"/>
      <c r="J5" s="14"/>
      <c r="K5" s="14"/>
      <c r="L5" s="14"/>
      <c r="M5" s="14"/>
      <c r="N5" s="15">
        <f t="shared" ref="N5:N6" si="1">+B5-SUM(C5:M5)</f>
        <v>0</v>
      </c>
    </row>
    <row r="6" spans="1:14" x14ac:dyDescent="0.3">
      <c r="A6" s="12">
        <f>+[28]Summary!A9</f>
        <v>44986</v>
      </c>
      <c r="B6" s="13">
        <f>+[28]Summary!H9</f>
        <v>0</v>
      </c>
      <c r="C6" s="14">
        <f>+$B6*[30]Allocation!U5</f>
        <v>0</v>
      </c>
      <c r="D6" s="14">
        <f>+$B6*[30]Allocation!V5</f>
        <v>0</v>
      </c>
      <c r="E6" s="14">
        <f>+$B6*[30]Allocation!W5</f>
        <v>0</v>
      </c>
      <c r="F6" s="14">
        <f>+$B6*[30]Allocation!AH5</f>
        <v>0</v>
      </c>
      <c r="G6" s="14">
        <f>+$B6*[30]Allocation!AI5</f>
        <v>0</v>
      </c>
      <c r="H6" s="14">
        <f>+$B6*[30]Allocation!AB5</f>
        <v>0</v>
      </c>
      <c r="I6" s="14">
        <f>+$B6*[30]Allocation!AC5</f>
        <v>0</v>
      </c>
      <c r="J6" s="14">
        <f>+$B6*[30]Allocation!AD5</f>
        <v>0</v>
      </c>
      <c r="K6" s="14">
        <f>+$B6*[30]Allocation!AE5</f>
        <v>0</v>
      </c>
      <c r="L6" s="14">
        <f>+$B6*[30]Allocation!AF5</f>
        <v>0</v>
      </c>
      <c r="M6" s="14">
        <f>+$B6*[30]Allocation!AG5</f>
        <v>0</v>
      </c>
      <c r="N6" s="15">
        <f t="shared" si="1"/>
        <v>0</v>
      </c>
    </row>
    <row r="7" spans="1:14" x14ac:dyDescent="0.3">
      <c r="A7" s="12">
        <f>+[28]Summary!A10</f>
        <v>45017</v>
      </c>
      <c r="B7" s="13">
        <f>+[28]Summary!H10</f>
        <v>142.99749833662645</v>
      </c>
      <c r="C7" s="14">
        <f>+$B7*[30]Allocation!U6</f>
        <v>-4.3293189007661981E-3</v>
      </c>
      <c r="D7" s="14">
        <f>+$B7*[30]Allocation!V6</f>
        <v>0</v>
      </c>
      <c r="E7" s="14">
        <f>+$B7*[30]Allocation!W6</f>
        <v>26.147742208154508</v>
      </c>
      <c r="F7" s="14">
        <f>+$B7*[30]Allocation!AH6</f>
        <v>112.62968257274402</v>
      </c>
      <c r="G7" s="14">
        <f>+$B7*[30]Allocation!AI6</f>
        <v>0</v>
      </c>
      <c r="H7" s="14">
        <f>+$B7*[30]Allocation!AB6</f>
        <v>0</v>
      </c>
      <c r="I7" s="14">
        <f>+$B7*[30]Allocation!AC6</f>
        <v>8.7177717103590884E-3</v>
      </c>
      <c r="J7" s="14">
        <f>+$B7*[30]Allocation!AD6</f>
        <v>4.2156851029183384</v>
      </c>
      <c r="K7" s="14">
        <f>+$B7*[30]Allocation!AE6</f>
        <v>0</v>
      </c>
      <c r="L7" s="14">
        <f>+$B7*[30]Allocation!AF6</f>
        <v>0</v>
      </c>
      <c r="M7" s="14">
        <f>+$B7*[30]Allocation!AG6</f>
        <v>0</v>
      </c>
      <c r="N7" s="15">
        <f t="shared" ref="N7:N28" si="2">+B7-SUM(C7:M7)</f>
        <v>0</v>
      </c>
    </row>
    <row r="8" spans="1:14" x14ac:dyDescent="0.3">
      <c r="A8" s="12">
        <f>+[28]Summary!A11</f>
        <v>45047</v>
      </c>
      <c r="B8" s="13">
        <f>+[28]Summary!H11</f>
        <v>265.4102004278393</v>
      </c>
      <c r="C8" s="14">
        <f>+$B8*[30]Allocation!U7</f>
        <v>0</v>
      </c>
      <c r="D8" s="14">
        <f>+$B8*[30]Allocation!V7</f>
        <v>0</v>
      </c>
      <c r="E8" s="14">
        <f>+$B8*[30]Allocation!W7</f>
        <v>36.292242581753584</v>
      </c>
      <c r="F8" s="14">
        <f>+$B8*[30]Allocation!AH7</f>
        <v>220.98016791479156</v>
      </c>
      <c r="G8" s="14">
        <f>+$B8*[30]Allocation!AI7</f>
        <v>0</v>
      </c>
      <c r="H8" s="14">
        <f>+$B8*[30]Allocation!AB7</f>
        <v>0</v>
      </c>
      <c r="I8" s="14">
        <f>+$B8*[30]Allocation!AC7</f>
        <v>1.5963590083055878E-2</v>
      </c>
      <c r="J8" s="14">
        <f>+$B8*[30]Allocation!AD7</f>
        <v>8.1218263412111131</v>
      </c>
      <c r="K8" s="14">
        <f>+$B8*[30]Allocation!AE7</f>
        <v>0</v>
      </c>
      <c r="L8" s="14">
        <f>+$B8*[30]Allocation!AF7</f>
        <v>0</v>
      </c>
      <c r="M8" s="14">
        <f>+$B8*[30]Allocation!AG7</f>
        <v>0</v>
      </c>
      <c r="N8" s="15">
        <f t="shared" si="2"/>
        <v>0</v>
      </c>
    </row>
    <row r="9" spans="1:14" x14ac:dyDescent="0.3">
      <c r="A9" s="12">
        <f>+[28]Summary!A12</f>
        <v>45078</v>
      </c>
      <c r="B9" s="13">
        <f>+[28]Summary!H12</f>
        <v>264.12500187969999</v>
      </c>
      <c r="C9" s="14">
        <f>+$B9*[30]Allocation!U8</f>
        <v>-0.12325794347729367</v>
      </c>
      <c r="D9" s="14">
        <f>+$B9*[30]Allocation!V8</f>
        <v>-0.10271495289774474</v>
      </c>
      <c r="E9" s="14">
        <f>+$B9*[30]Allocation!W8</f>
        <v>27.402991136926502</v>
      </c>
      <c r="F9" s="14">
        <f>+$B9*[30]Allocation!AH8</f>
        <v>229.05210426898282</v>
      </c>
      <c r="G9" s="14">
        <f>+$B9*[30]Allocation!AI8</f>
        <v>0</v>
      </c>
      <c r="H9" s="14">
        <f>+$B9*[30]Allocation!AB8</f>
        <v>0</v>
      </c>
      <c r="I9" s="14">
        <f>+$B9*[30]Allocation!AC8</f>
        <v>1.6078128888273105E-2</v>
      </c>
      <c r="J9" s="14">
        <f>+$B9*[30]Allocation!AD8</f>
        <v>7.8798012412774243</v>
      </c>
      <c r="K9" s="14">
        <f>+$B9*[30]Allocation!AE8</f>
        <v>0</v>
      </c>
      <c r="L9" s="14">
        <f>+$B9*[30]Allocation!AF8</f>
        <v>0</v>
      </c>
      <c r="M9" s="14">
        <f>+$B9*[30]Allocation!AG8</f>
        <v>0</v>
      </c>
      <c r="N9" s="15">
        <f t="shared" si="2"/>
        <v>0</v>
      </c>
    </row>
    <row r="10" spans="1:14" x14ac:dyDescent="0.3">
      <c r="A10" s="12">
        <f>+[28]Summary!A13</f>
        <v>45108</v>
      </c>
      <c r="B10" s="13">
        <f>+[28]Summary!H13</f>
        <v>253.97727665980347</v>
      </c>
      <c r="C10" s="14">
        <f>+$B10*[30]Allocation!U9</f>
        <v>0</v>
      </c>
      <c r="D10" s="14">
        <f>+$B10*[30]Allocation!V9</f>
        <v>0</v>
      </c>
      <c r="E10" s="14">
        <f>+$B10*[30]Allocation!W9</f>
        <v>17.459361254259971</v>
      </c>
      <c r="F10" s="14">
        <f>+$B10*[30]Allocation!AH9</f>
        <v>229.62054658301929</v>
      </c>
      <c r="G10" s="14">
        <f>+$B10*[30]Allocation!AI9</f>
        <v>0</v>
      </c>
      <c r="H10" s="14">
        <f>+$B10*[30]Allocation!AB9</f>
        <v>0</v>
      </c>
      <c r="I10" s="14">
        <f>+$B10*[30]Allocation!AC9</f>
        <v>0</v>
      </c>
      <c r="J10" s="14">
        <f>+$B10*[30]Allocation!AD9</f>
        <v>6.8973688225242125</v>
      </c>
      <c r="K10" s="14">
        <f>+$B10*[30]Allocation!AE9</f>
        <v>0</v>
      </c>
      <c r="L10" s="14">
        <f>+$B10*[30]Allocation!AF9</f>
        <v>0</v>
      </c>
      <c r="M10" s="14">
        <f>+$B10*[30]Allocation!AG9</f>
        <v>0</v>
      </c>
      <c r="N10" s="15">
        <f t="shared" si="2"/>
        <v>0</v>
      </c>
    </row>
    <row r="11" spans="1:14" x14ac:dyDescent="0.3">
      <c r="A11" s="12">
        <f>+[28]Summary!A14</f>
        <v>45139</v>
      </c>
      <c r="B11" s="13">
        <f>+[28]Summary!H14</f>
        <v>424.35310544184176</v>
      </c>
      <c r="C11" s="14">
        <f>+$B11*[30]Allocation!U10</f>
        <v>0</v>
      </c>
      <c r="D11" s="14">
        <f>+$B11*[30]Allocation!V10</f>
        <v>0</v>
      </c>
      <c r="E11" s="14">
        <f>+$B11*[30]Allocation!W10</f>
        <v>14.314250822936547</v>
      </c>
      <c r="F11" s="14">
        <f>+$B11*[30]Allocation!AH10</f>
        <v>400.14794876614872</v>
      </c>
      <c r="G11" s="14">
        <f>+$B11*[30]Allocation!AI10</f>
        <v>5.8036746063319739E-2</v>
      </c>
      <c r="H11" s="14">
        <f>+$B11*[30]Allocation!AB10</f>
        <v>0</v>
      </c>
      <c r="I11" s="14">
        <f>+$B11*[30]Allocation!AC10</f>
        <v>2.6085436954734895E-2</v>
      </c>
      <c r="J11" s="14">
        <f>+$B11*[30]Allocation!AD10</f>
        <v>9.8067836697384347</v>
      </c>
      <c r="K11" s="14">
        <f>+$B11*[30]Allocation!AE10</f>
        <v>0</v>
      </c>
      <c r="L11" s="14">
        <f>+$B11*[30]Allocation!AF10</f>
        <v>0</v>
      </c>
      <c r="M11" s="14">
        <f>+$B11*[30]Allocation!AG10</f>
        <v>0</v>
      </c>
      <c r="N11" s="15">
        <f t="shared" si="2"/>
        <v>0</v>
      </c>
    </row>
    <row r="12" spans="1:14" x14ac:dyDescent="0.3">
      <c r="A12" s="12">
        <f>+[28]Summary!A15</f>
        <v>45170</v>
      </c>
      <c r="B12" s="13">
        <f>+[28]Summary!H15</f>
        <v>528.19660235874471</v>
      </c>
      <c r="C12" s="14">
        <f>+$B12*[30]Allocation!U11</f>
        <v>0</v>
      </c>
      <c r="D12" s="14">
        <f>+$B12*[30]Allocation!V11</f>
        <v>0</v>
      </c>
      <c r="E12" s="14">
        <f>+$B12*[30]Allocation!W11</f>
        <v>-0.71885072580858866</v>
      </c>
      <c r="F12" s="14">
        <f>+$B12*[30]Allocation!AH11</f>
        <v>508.4099644935668</v>
      </c>
      <c r="G12" s="14">
        <f>+$B12*[30]Allocation!AI11</f>
        <v>10.157457978923613</v>
      </c>
      <c r="H12" s="14">
        <f>+$B12*[30]Allocation!AB11</f>
        <v>0</v>
      </c>
      <c r="I12" s="14">
        <f>+$B12*[30]Allocation!AC11</f>
        <v>3.2869430351032305E-2</v>
      </c>
      <c r="J12" s="14">
        <f>+$B12*[30]Allocation!AD11</f>
        <v>10.315161181711805</v>
      </c>
      <c r="K12" s="14">
        <f>+$B12*[30]Allocation!AE11</f>
        <v>0</v>
      </c>
      <c r="L12" s="14">
        <f>+$B12*[30]Allocation!AF11</f>
        <v>0</v>
      </c>
      <c r="M12" s="14">
        <f>+$B12*[30]Allocation!AG11</f>
        <v>0</v>
      </c>
      <c r="N12" s="15">
        <f t="shared" si="2"/>
        <v>0</v>
      </c>
    </row>
    <row r="13" spans="1:14" x14ac:dyDescent="0.3">
      <c r="A13" s="12">
        <f>+[28]Summary!A16</f>
        <v>45200</v>
      </c>
      <c r="B13" s="13">
        <f>+[28]Summary!H16</f>
        <v>535.03656607697485</v>
      </c>
      <c r="C13" s="14">
        <f>+$B13*[30]Allocation!U12</f>
        <v>0</v>
      </c>
      <c r="D13" s="14">
        <f>+$B13*[30]Allocation!V12</f>
        <v>0</v>
      </c>
      <c r="E13" s="14">
        <f>+$B13*[30]Allocation!W12</f>
        <v>-0.41492273910491068</v>
      </c>
      <c r="F13" s="14">
        <f>+$B13*[30]Allocation!AH12</f>
        <v>425.2088004562043</v>
      </c>
      <c r="G13" s="14">
        <f>+$B13*[30]Allocation!AI12</f>
        <v>101.70447982728506</v>
      </c>
      <c r="H13" s="14">
        <f>+$B13*[30]Allocation!AB12</f>
        <v>0</v>
      </c>
      <c r="I13" s="14">
        <f>+$B13*[30]Allocation!AC12</f>
        <v>3.1924705452244038E-2</v>
      </c>
      <c r="J13" s="14">
        <f>+$B13*[30]Allocation!AD12</f>
        <v>8.5062838271381285</v>
      </c>
      <c r="K13" s="14">
        <f>+$B13*[30]Allocation!AE12</f>
        <v>0</v>
      </c>
      <c r="L13" s="14">
        <f>+$B13*[30]Allocation!AF12</f>
        <v>0</v>
      </c>
      <c r="M13" s="14">
        <f>+$B13*[30]Allocation!AG12</f>
        <v>0</v>
      </c>
      <c r="N13" s="15">
        <f t="shared" si="2"/>
        <v>0</v>
      </c>
    </row>
    <row r="14" spans="1:14" x14ac:dyDescent="0.3">
      <c r="A14" s="12">
        <f>+[28]Summary!A17</f>
        <v>45231</v>
      </c>
      <c r="B14" s="13">
        <f>+[28]Summary!H17</f>
        <v>860.31909037637524</v>
      </c>
      <c r="C14" s="14">
        <f>+$B14*[30]Allocation!U13</f>
        <v>0</v>
      </c>
      <c r="D14" s="14">
        <f>+$B14*[30]Allocation!V13</f>
        <v>0</v>
      </c>
      <c r="E14" s="14">
        <f>+$B14*[30]Allocation!W13</f>
        <v>-6.1606577123232628E-2</v>
      </c>
      <c r="F14" s="14">
        <f>+$B14*[30]Allocation!AH13</f>
        <v>532.15128999289584</v>
      </c>
      <c r="G14" s="14">
        <f>+$B14*[30]Allocation!AI13</f>
        <v>317.61167761815324</v>
      </c>
      <c r="H14" s="14">
        <f>+$B14*[30]Allocation!AB13</f>
        <v>0</v>
      </c>
      <c r="I14" s="14">
        <f>+$B14*[30]Allocation!AC13</f>
        <v>4.8216859347575081E-2</v>
      </c>
      <c r="J14" s="14">
        <f>+$B14*[30]Allocation!AD13</f>
        <v>10.569512483101715</v>
      </c>
      <c r="K14" s="14">
        <f>+$B14*[30]Allocation!AE13</f>
        <v>0</v>
      </c>
      <c r="L14" s="14">
        <f>+$B14*[30]Allocation!AF13</f>
        <v>0</v>
      </c>
      <c r="M14" s="14">
        <f>+$B14*[30]Allocation!AG13</f>
        <v>0</v>
      </c>
      <c r="N14" s="15">
        <f t="shared" si="2"/>
        <v>0</v>
      </c>
    </row>
    <row r="15" spans="1:14" x14ac:dyDescent="0.3">
      <c r="A15" s="12">
        <f>+[28]Summary!A18</f>
        <v>45261</v>
      </c>
      <c r="B15" s="13">
        <f>+[28]Summary!H18</f>
        <v>2746.4374465630681</v>
      </c>
      <c r="C15" s="14">
        <f>+$B15*[30]Allocation!U14</f>
        <v>0</v>
      </c>
      <c r="D15" s="14">
        <f>+$B15*[30]Allocation!V14</f>
        <v>0</v>
      </c>
      <c r="E15" s="14">
        <f>+$B15*[30]Allocation!W14</f>
        <v>-0.46571876440536325</v>
      </c>
      <c r="F15" s="14">
        <f>+$B15*[30]Allocation!AH14</f>
        <v>1293.8018986678735</v>
      </c>
      <c r="G15" s="14">
        <f>+$B15*[30]Allocation!AI14</f>
        <v>1425.0504799740124</v>
      </c>
      <c r="H15" s="14">
        <f>+$B15*[30]Allocation!AB14</f>
        <v>0</v>
      </c>
      <c r="I15" s="14">
        <f>+$B15*[30]Allocation!AC14</f>
        <v>0.14917841643613985</v>
      </c>
      <c r="J15" s="14">
        <f>+$B15*[30]Allocation!AD14</f>
        <v>27.901608269151794</v>
      </c>
      <c r="K15" s="14">
        <f>+$B15*[30]Allocation!AE14</f>
        <v>0</v>
      </c>
      <c r="L15" s="14">
        <f>+$B15*[30]Allocation!AF14</f>
        <v>0</v>
      </c>
      <c r="M15" s="14">
        <f>+$B15*[30]Allocation!AG14</f>
        <v>0</v>
      </c>
      <c r="N15" s="15">
        <f t="shared" si="2"/>
        <v>0</v>
      </c>
    </row>
    <row r="16" spans="1:14" x14ac:dyDescent="0.3">
      <c r="A16" s="12">
        <f>+[28]Summary!A19</f>
        <v>45292</v>
      </c>
      <c r="B16" s="13">
        <f>+[28]Summary!H19</f>
        <v>4220.6105746518006</v>
      </c>
      <c r="C16" s="14">
        <f>+$B16*[30]Allocation!U15</f>
        <v>0</v>
      </c>
      <c r="D16" s="14">
        <f>+$B16*[30]Allocation!V15</f>
        <v>0</v>
      </c>
      <c r="E16" s="14">
        <f>+$B16*[30]Allocation!W15</f>
        <v>0</v>
      </c>
      <c r="F16" s="14">
        <f>+$B16*[30]Allocation!AH15</f>
        <v>1326.4214032937491</v>
      </c>
      <c r="G16" s="14">
        <f>+$B16*[30]Allocation!AI15</f>
        <v>2860.9408150222725</v>
      </c>
      <c r="H16" s="14">
        <f>+$B16*[30]Allocation!AB15</f>
        <v>0</v>
      </c>
      <c r="I16" s="14">
        <f>+$B16*[30]Allocation!AC15</f>
        <v>0.21896184658589737</v>
      </c>
      <c r="J16" s="14">
        <f>+$B16*[30]Allocation!AD15</f>
        <v>33.029394489192555</v>
      </c>
      <c r="K16" s="14">
        <f>+$B16*[30]Allocation!AE15</f>
        <v>0</v>
      </c>
      <c r="L16" s="14">
        <f>+$B16*[30]Allocation!AF15</f>
        <v>0</v>
      </c>
      <c r="M16" s="14">
        <f>+$B16*[30]Allocation!AG15</f>
        <v>0</v>
      </c>
      <c r="N16" s="15">
        <f t="shared" si="2"/>
        <v>0</v>
      </c>
    </row>
    <row r="17" spans="1:14" x14ac:dyDescent="0.3">
      <c r="A17" s="12">
        <f>+[28]Summary!A20</f>
        <v>45323</v>
      </c>
      <c r="B17" s="13">
        <f>+[28]Summary!H20</f>
        <v>5181.4008172206813</v>
      </c>
      <c r="C17" s="14">
        <f>+$B17*[30]Allocation!U16</f>
        <v>0</v>
      </c>
      <c r="D17" s="14">
        <f>+$B17*[30]Allocation!V16</f>
        <v>0</v>
      </c>
      <c r="E17" s="14">
        <f>+$B17*[30]Allocation!W16</f>
        <v>-2.2719348890862237</v>
      </c>
      <c r="F17" s="14">
        <f>+$B17*[30]Allocation!AH16</f>
        <v>1278.3196317299883</v>
      </c>
      <c r="G17" s="14">
        <f>+$B17*[30]Allocation!AI16</f>
        <v>3876.1040874701234</v>
      </c>
      <c r="H17" s="14">
        <f>+$B17*[30]Allocation!AB16</f>
        <v>0</v>
      </c>
      <c r="I17" s="14">
        <f>+$B17*[30]Allocation!AC16</f>
        <v>0.28013390195165444</v>
      </c>
      <c r="J17" s="14">
        <f>+$B17*[30]Allocation!AD16</f>
        <v>28.968899007704564</v>
      </c>
      <c r="K17" s="14">
        <f>+$B17*[30]Allocation!AE16</f>
        <v>0</v>
      </c>
      <c r="L17" s="14">
        <f>+$B17*[30]Allocation!AF16</f>
        <v>0</v>
      </c>
      <c r="M17" s="14">
        <f>+$B17*[30]Allocation!AG16</f>
        <v>0</v>
      </c>
      <c r="N17" s="15">
        <f t="shared" si="2"/>
        <v>0</v>
      </c>
    </row>
    <row r="18" spans="1:14" x14ac:dyDescent="0.3">
      <c r="A18" s="12">
        <f>+[28]Summary!A21</f>
        <v>45352</v>
      </c>
      <c r="B18" s="13">
        <f>+[28]Summary!H21</f>
        <v>7722.3261500418885</v>
      </c>
      <c r="C18" s="14">
        <f>+$B18*[30]Allocation!U17</f>
        <v>0</v>
      </c>
      <c r="D18" s="14">
        <f>+$B18*[30]Allocation!V17</f>
        <v>0</v>
      </c>
      <c r="E18" s="14">
        <f>+$B18*[30]Allocation!W17</f>
        <v>0</v>
      </c>
      <c r="F18" s="14">
        <f>+$B18*[30]Allocation!AH17</f>
        <v>1518.3756816981493</v>
      </c>
      <c r="G18" s="14">
        <f>+$B18*[30]Allocation!AI17</f>
        <v>6178.8241127541496</v>
      </c>
      <c r="H18" s="14">
        <f>+$B18*[30]Allocation!AB17</f>
        <v>0</v>
      </c>
      <c r="I18" s="14">
        <f>+$B18*[30]Allocation!AC17</f>
        <v>0.40734077457290485</v>
      </c>
      <c r="J18" s="14">
        <f>+$B18*[30]Allocation!AD17</f>
        <v>24.719014815017111</v>
      </c>
      <c r="K18" s="14">
        <f>+$B18*[30]Allocation!AE17</f>
        <v>0</v>
      </c>
      <c r="L18" s="14">
        <f>+$B18*[30]Allocation!AF17</f>
        <v>0</v>
      </c>
      <c r="M18" s="14">
        <f>+$B18*[30]Allocation!AG17</f>
        <v>0</v>
      </c>
      <c r="N18" s="15">
        <f t="shared" si="2"/>
        <v>0</v>
      </c>
    </row>
    <row r="19" spans="1:14" x14ac:dyDescent="0.3">
      <c r="A19" s="12">
        <f>+[28]Summary!A22</f>
        <v>45383</v>
      </c>
      <c r="B19" s="13">
        <f>+[28]Summary!H22</f>
        <v>10204.686625952774</v>
      </c>
      <c r="C19" s="14">
        <f>+$B19*[30]Allocation!U18</f>
        <v>0</v>
      </c>
      <c r="D19" s="14">
        <f>+$B19*[30]Allocation!V18</f>
        <v>0</v>
      </c>
      <c r="E19" s="14">
        <f>+$B19*[30]Allocation!W18</f>
        <v>-0.9524155288900078</v>
      </c>
      <c r="F19" s="14">
        <f>+$B19*[30]Allocation!AH18</f>
        <v>1518.2640822691542</v>
      </c>
      <c r="G19" s="14">
        <f>+$B19*[30]Allocation!AI18</f>
        <v>8670.757052588322</v>
      </c>
      <c r="H19" s="14">
        <f>+$B19*[30]Allocation!AB18</f>
        <v>0</v>
      </c>
      <c r="I19" s="14">
        <f>+$B19*[30]Allocation!AC18</f>
        <v>0.55213316826142611</v>
      </c>
      <c r="J19" s="14">
        <f>+$B19*[30]Allocation!AD18</f>
        <v>16.065773455926525</v>
      </c>
      <c r="K19" s="14">
        <f>+$B19*[30]Allocation!AE18</f>
        <v>0</v>
      </c>
      <c r="L19" s="14">
        <f>+$B19*[30]Allocation!AF18</f>
        <v>0</v>
      </c>
      <c r="M19" s="14">
        <f>+$B19*[30]Allocation!AG18</f>
        <v>0</v>
      </c>
      <c r="N19" s="15">
        <f t="shared" si="2"/>
        <v>0</v>
      </c>
    </row>
    <row r="20" spans="1:14" x14ac:dyDescent="0.3">
      <c r="A20" s="12">
        <f>+[28]Summary!A23</f>
        <v>45413</v>
      </c>
      <c r="B20" s="13">
        <f>+[28]Summary!H23</f>
        <v>18220.492667901795</v>
      </c>
      <c r="C20" s="14">
        <f>+$B20*[30]Allocation!U19</f>
        <v>0</v>
      </c>
      <c r="D20" s="14">
        <f>+$B20*[30]Allocation!V19</f>
        <v>0</v>
      </c>
      <c r="E20" s="14">
        <f>+$B20*[30]Allocation!W19</f>
        <v>0</v>
      </c>
      <c r="F20" s="14">
        <f>+$B20*[30]Allocation!AH19</f>
        <v>2297.6009176640291</v>
      </c>
      <c r="G20" s="14">
        <f>+$B20*[30]Allocation!AI19</f>
        <v>15914.040354849451</v>
      </c>
      <c r="H20" s="14">
        <f>+$B20*[30]Allocation!AB19</f>
        <v>0</v>
      </c>
      <c r="I20" s="14">
        <f>+$B20*[30]Allocation!AC19</f>
        <v>1.1191630991020416</v>
      </c>
      <c r="J20" s="14">
        <f>+$B20*[30]Allocation!AD19</f>
        <v>7.7322322892122983</v>
      </c>
      <c r="K20" s="14">
        <f>+$B20*[30]Allocation!AE19</f>
        <v>0</v>
      </c>
      <c r="L20" s="14">
        <f>+$B20*[30]Allocation!AF19</f>
        <v>0</v>
      </c>
      <c r="M20" s="14">
        <f>+$B20*[30]Allocation!AG19</f>
        <v>0</v>
      </c>
      <c r="N20" s="15">
        <f t="shared" si="2"/>
        <v>0</v>
      </c>
    </row>
    <row r="21" spans="1:14" x14ac:dyDescent="0.3">
      <c r="A21" s="12">
        <f>+[28]Summary!A24</f>
        <v>45444</v>
      </c>
      <c r="B21" s="13">
        <f>+[28]Summary!H24</f>
        <v>17189.429963594011</v>
      </c>
      <c r="C21" s="14">
        <f>+$B21*[30]Allocation!U20</f>
        <v>0</v>
      </c>
      <c r="D21" s="14">
        <f>+$B21*[30]Allocation!V20</f>
        <v>0</v>
      </c>
      <c r="E21" s="14">
        <f>+$B21*[30]Allocation!W20</f>
        <v>0</v>
      </c>
      <c r="F21" s="14">
        <f>+$B21*[30]Allocation!AH20</f>
        <v>1766.0994603323647</v>
      </c>
      <c r="G21" s="14">
        <f>+$B21*[30]Allocation!AI20</f>
        <v>15422.181495274208</v>
      </c>
      <c r="H21" s="14">
        <f>+$B21*[30]Allocation!AB20</f>
        <v>0</v>
      </c>
      <c r="I21" s="14">
        <f>+$B21*[30]Allocation!AC20</f>
        <v>1.1490079874380692</v>
      </c>
      <c r="J21" s="14">
        <f>+$B21*[30]Allocation!AD20</f>
        <v>0</v>
      </c>
      <c r="K21" s="14">
        <f>+$B21*[30]Allocation!AE20</f>
        <v>0</v>
      </c>
      <c r="L21" s="14">
        <f>+$B21*[30]Allocation!AF20</f>
        <v>0</v>
      </c>
      <c r="M21" s="14">
        <f>+$B21*[30]Allocation!AG20</f>
        <v>0</v>
      </c>
      <c r="N21" s="15">
        <f t="shared" si="2"/>
        <v>0</v>
      </c>
    </row>
    <row r="22" spans="1:14" x14ac:dyDescent="0.3">
      <c r="A22" s="12">
        <f>+[28]Summary!A25</f>
        <v>45474</v>
      </c>
      <c r="B22" s="13">
        <f>+[28]Summary!H25</f>
        <v>17168.083558195271</v>
      </c>
      <c r="C22" s="14">
        <f>+$B22*[30]Allocation!U21</f>
        <v>0</v>
      </c>
      <c r="D22" s="14">
        <f>+$B22*[30]Allocation!V21</f>
        <v>0</v>
      </c>
      <c r="E22" s="14">
        <f>+$B22*[30]Allocation!W21</f>
        <v>0</v>
      </c>
      <c r="F22" s="14">
        <f>+$B22*[30]Allocation!AH21</f>
        <v>1226.9827457802621</v>
      </c>
      <c r="G22" s="14">
        <f>+$B22*[30]Allocation!AI21</f>
        <v>15939.844780081121</v>
      </c>
      <c r="H22" s="14">
        <f>+$B22*[30]Allocation!AB21</f>
        <v>0</v>
      </c>
      <c r="I22" s="14">
        <f>+$B22*[30]Allocation!AC21</f>
        <v>1.2560323338880557</v>
      </c>
      <c r="J22" s="14">
        <f>+$B22*[30]Allocation!AD21</f>
        <v>0</v>
      </c>
      <c r="K22" s="14">
        <f>+$B22*[30]Allocation!AE21</f>
        <v>0</v>
      </c>
      <c r="L22" s="14">
        <f>+$B22*[30]Allocation!AF21</f>
        <v>0</v>
      </c>
      <c r="M22" s="14">
        <f>+$B22*[30]Allocation!AG21</f>
        <v>0</v>
      </c>
      <c r="N22" s="15">
        <f t="shared" si="2"/>
        <v>0</v>
      </c>
    </row>
    <row r="23" spans="1:14" x14ac:dyDescent="0.3">
      <c r="A23" s="12">
        <f>+[28]Summary!A26</f>
        <v>45505</v>
      </c>
      <c r="B23" s="13">
        <f>+[28]Summary!H26</f>
        <v>23560.80863307562</v>
      </c>
      <c r="C23" s="14">
        <f>+$B23*[30]Allocation!U22</f>
        <v>0</v>
      </c>
      <c r="D23" s="14">
        <f>+$B23*[30]Allocation!V22</f>
        <v>0</v>
      </c>
      <c r="E23" s="14">
        <f>+$B23*[30]Allocation!W22</f>
        <v>0</v>
      </c>
      <c r="F23" s="14">
        <f>+$B23*[30]Allocation!AH22</f>
        <v>841.54590567611422</v>
      </c>
      <c r="G23" s="14">
        <f>+$B23*[30]Allocation!AI22</f>
        <v>22717.372349099009</v>
      </c>
      <c r="H23" s="14">
        <f>+$B23*[30]Allocation!AB22</f>
        <v>0</v>
      </c>
      <c r="I23" s="14">
        <f>+$B23*[30]Allocation!AC22</f>
        <v>1.8903783004986201</v>
      </c>
      <c r="J23" s="14">
        <f>+$B23*[30]Allocation!AD22</f>
        <v>0</v>
      </c>
      <c r="K23" s="14">
        <f>+$B23*[30]Allocation!AE22</f>
        <v>0</v>
      </c>
      <c r="L23" s="14">
        <f>+$B23*[30]Allocation!AF22</f>
        <v>0</v>
      </c>
      <c r="M23" s="14">
        <f>+$B23*[30]Allocation!AG22</f>
        <v>0</v>
      </c>
      <c r="N23" s="15">
        <f t="shared" si="2"/>
        <v>0</v>
      </c>
    </row>
    <row r="24" spans="1:14" x14ac:dyDescent="0.3">
      <c r="A24" s="12">
        <f>+[28]Summary!A27</f>
        <v>45536</v>
      </c>
      <c r="B24" s="13">
        <f>+[28]Summary!H27</f>
        <v>26971.151899988035</v>
      </c>
      <c r="C24" s="14">
        <f>+$B24*[30]Allocation!U23</f>
        <v>0</v>
      </c>
      <c r="D24" s="14">
        <f>+$B24*[30]Allocation!V23</f>
        <v>0</v>
      </c>
      <c r="E24" s="14">
        <f>+$B24*[30]Allocation!W23</f>
        <v>0</v>
      </c>
      <c r="F24" s="14">
        <f>+$B24*[30]Allocation!AH23</f>
        <v>-23.319334995313813</v>
      </c>
      <c r="G24" s="14">
        <f>+$B24*[30]Allocation!AI23</f>
        <v>26844.764161716601</v>
      </c>
      <c r="H24" s="14">
        <f>+$B24*[30]Allocation!AB23</f>
        <v>147.31571210757676</v>
      </c>
      <c r="I24" s="14">
        <f>+$B24*[30]Allocation!AC23</f>
        <v>2.3913611591703736</v>
      </c>
      <c r="J24" s="14">
        <f>+$B24*[30]Allocation!AD23</f>
        <v>0</v>
      </c>
      <c r="K24" s="14">
        <f>+$B24*[30]Allocation!AE23</f>
        <v>0</v>
      </c>
      <c r="L24" s="14">
        <f>+$B24*[30]Allocation!AF23</f>
        <v>0</v>
      </c>
      <c r="M24" s="14">
        <f>+$B24*[30]Allocation!AG23</f>
        <v>0</v>
      </c>
      <c r="N24" s="15">
        <f t="shared" si="2"/>
        <v>0</v>
      </c>
    </row>
    <row r="25" spans="1:14" x14ac:dyDescent="0.3">
      <c r="A25" s="12">
        <f>+[28]Summary!A28</f>
        <v>45566</v>
      </c>
      <c r="B25" s="13">
        <f>+[28]Summary!H28</f>
        <v>41695.834895794585</v>
      </c>
      <c r="C25" s="14">
        <f>+$B25*[30]Allocation!U24</f>
        <v>0</v>
      </c>
      <c r="D25" s="14">
        <f>+$B25*[30]Allocation!V24</f>
        <v>0</v>
      </c>
      <c r="E25" s="14">
        <f>+$B25*[30]Allocation!W24</f>
        <v>0</v>
      </c>
      <c r="F25" s="14">
        <f>+$B25*[30]Allocation!AH24</f>
        <v>-6.9271905185635232</v>
      </c>
      <c r="G25" s="14">
        <f>+$B25*[30]Allocation!AI24</f>
        <v>38833.878656039589</v>
      </c>
      <c r="H25" s="14">
        <f>+$B25*[30]Allocation!AB24</f>
        <v>2864.8752497463497</v>
      </c>
      <c r="I25" s="14">
        <f>+$B25*[30]Allocation!AC24</f>
        <v>4.0081805272135513</v>
      </c>
      <c r="J25" s="14">
        <f>+$B25*[30]Allocation!AD24</f>
        <v>0</v>
      </c>
      <c r="K25" s="14">
        <f>+$B25*[30]Allocation!AE24</f>
        <v>0</v>
      </c>
      <c r="L25" s="14">
        <f>+$B25*[30]Allocation!AF24</f>
        <v>0</v>
      </c>
      <c r="M25" s="14">
        <f>+$B25*[30]Allocation!AG24</f>
        <v>0</v>
      </c>
      <c r="N25" s="15">
        <f t="shared" si="2"/>
        <v>0</v>
      </c>
    </row>
    <row r="26" spans="1:14" x14ac:dyDescent="0.3">
      <c r="A26" s="12">
        <f>+[28]Summary!A29</f>
        <v>45597</v>
      </c>
      <c r="B26" s="13">
        <f>+[28]Summary!H29</f>
        <v>84202.9</v>
      </c>
      <c r="C26" s="14">
        <f>+$B26*[30]Allocation!U25</f>
        <v>0</v>
      </c>
      <c r="D26" s="14">
        <f>+$B26*[30]Allocation!V25</f>
        <v>0</v>
      </c>
      <c r="E26" s="14">
        <f>+$B26*[30]Allocation!W25</f>
        <v>0</v>
      </c>
      <c r="F26" s="14">
        <f>+$B26*[30]Allocation!AH25</f>
        <v>-53.208628165308028</v>
      </c>
      <c r="G26" s="14">
        <f>+$B26*[30]Allocation!AI25</f>
        <v>70126.523649594907</v>
      </c>
      <c r="H26" s="14">
        <f>+$B26*[30]Allocation!AB25</f>
        <v>14120.656309419443</v>
      </c>
      <c r="I26" s="14">
        <f>+$B26*[30]Allocation!AC25</f>
        <v>8.9286691509458986</v>
      </c>
      <c r="J26" s="14">
        <f>+$B26*[30]Allocation!AD25</f>
        <v>0</v>
      </c>
      <c r="K26" s="14">
        <f>+$B26*[30]Allocation!AE25</f>
        <v>0</v>
      </c>
      <c r="L26" s="14">
        <f>+$B26*[30]Allocation!AF25</f>
        <v>0</v>
      </c>
      <c r="M26" s="14">
        <f>+$B26*[30]Allocation!AG25</f>
        <v>0</v>
      </c>
      <c r="N26" s="15">
        <f t="shared" si="2"/>
        <v>0</v>
      </c>
    </row>
    <row r="27" spans="1:14" x14ac:dyDescent="0.3">
      <c r="A27" s="12">
        <f>+[28]Summary!A30</f>
        <v>45627</v>
      </c>
      <c r="B27" s="13">
        <f>+[28]Summary!H30</f>
        <v>92936.85</v>
      </c>
      <c r="C27" s="14">
        <f>+$B27*[30]Allocation!U26</f>
        <v>0</v>
      </c>
      <c r="D27" s="14">
        <f>+$B27*[30]Allocation!V26</f>
        <v>0</v>
      </c>
      <c r="E27" s="14">
        <f>+$B27*[30]Allocation!W26</f>
        <v>0</v>
      </c>
      <c r="F27" s="14">
        <f>+$B27*[30]Allocation!AH26</f>
        <v>0</v>
      </c>
      <c r="G27" s="14">
        <f>+$B27*[30]Allocation!AI26</f>
        <v>61490.538244530035</v>
      </c>
      <c r="H27" s="14">
        <f>+$B27*[30]Allocation!AB26</f>
        <v>31435.515302789769</v>
      </c>
      <c r="I27" s="14">
        <f>+$B27*[30]Allocation!AC26</f>
        <v>10.796452680195435</v>
      </c>
      <c r="J27" s="14">
        <f>+$B27*[30]Allocation!AD26</f>
        <v>0</v>
      </c>
      <c r="K27" s="14">
        <f>+$B27*[30]Allocation!AE26</f>
        <v>0</v>
      </c>
      <c r="L27" s="14">
        <f>+$B27*[30]Allocation!AF26</f>
        <v>0</v>
      </c>
      <c r="M27" s="14">
        <f>+$B27*[30]Allocation!AG26</f>
        <v>0</v>
      </c>
      <c r="N27" s="15">
        <f t="shared" si="2"/>
        <v>0</v>
      </c>
    </row>
    <row r="28" spans="1:14" x14ac:dyDescent="0.3">
      <c r="A28" s="12">
        <f>+[28]Summary!A31</f>
        <v>45658</v>
      </c>
      <c r="B28" s="13">
        <f>+[28]Summary!H31</f>
        <v>98347</v>
      </c>
      <c r="C28" s="14">
        <f>+$B28*[30]Allocation!U27</f>
        <v>0</v>
      </c>
      <c r="D28" s="14">
        <f>+$B28*[30]Allocation!V27</f>
        <v>0</v>
      </c>
      <c r="E28" s="14">
        <f>+$B28*[30]Allocation!W27</f>
        <v>0</v>
      </c>
      <c r="F28" s="14">
        <f>+$B28*[30]Allocation!AH27</f>
        <v>-135.98307980283053</v>
      </c>
      <c r="G28" s="14">
        <f>+$B28*[30]Allocation!AI27</f>
        <v>47947.308747120769</v>
      </c>
      <c r="H28" s="14">
        <f>+$B28*[30]Allocation!AB27</f>
        <v>50522.22147593811</v>
      </c>
      <c r="I28" s="14">
        <f>+$B28*[30]Allocation!AC27</f>
        <v>13.452856743955801</v>
      </c>
      <c r="J28" s="14">
        <f>+$B28*[30]Allocation!AD27</f>
        <v>0</v>
      </c>
      <c r="K28" s="14">
        <f>+$B28*[30]Allocation!AE27</f>
        <v>0</v>
      </c>
      <c r="L28" s="14">
        <f>+$B28*[30]Allocation!AF27</f>
        <v>0</v>
      </c>
      <c r="M28" s="14">
        <f>+$B28*[30]Allocation!AG27</f>
        <v>0</v>
      </c>
      <c r="N28" s="15">
        <f t="shared" si="2"/>
        <v>0</v>
      </c>
    </row>
    <row r="29" spans="1:14" x14ac:dyDescent="0.3">
      <c r="A29"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XCH Allocation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 Oranias</dc:creator>
  <cp:lastModifiedBy>Sofia Moretti</cp:lastModifiedBy>
  <dcterms:created xsi:type="dcterms:W3CDTF">2024-08-16T11:17:23Z</dcterms:created>
  <dcterms:modified xsi:type="dcterms:W3CDTF">2025-04-03T18:07:58Z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{49AD73FB-2191-42B3-A351-5598DE080B02}</vt:lpwstr>
  </property>
</Properties>
</file>