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joranias\Documents\GitHub\DMI_IBNP\Process Results_12.2023\"/>
    </mc:Choice>
  </mc:AlternateContent>
  <xr:revisionPtr revIDLastSave="0" documentId="13_ncr:1_{B6C2314D-4182-4B91-80EE-C32C2503E344}" xr6:coauthVersionLast="47" xr6:coauthVersionMax="47" xr10:uidLastSave="{00000000-0000-0000-0000-000000000000}"/>
  <bookViews>
    <workbookView xWindow="-110" yWindow="-110" windowWidth="19420" windowHeight="11620" xr2:uid="{9B94C235-4B85-4887-832D-FBC296CFB081}"/>
  </bookViews>
  <sheets>
    <sheet name="Summary" sheetId="1" r:id="rId1"/>
    <sheet name="XCH Allocatio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 l="1"/>
  <c r="B27" i="2"/>
  <c r="B26" i="2"/>
  <c r="B25" i="2"/>
  <c r="B24" i="2"/>
  <c r="B23" i="2"/>
  <c r="B22" i="2"/>
  <c r="B21" i="2"/>
  <c r="B20" i="2"/>
  <c r="B19" i="2"/>
  <c r="B18" i="2"/>
  <c r="B17" i="2"/>
  <c r="B16" i="2"/>
  <c r="B15" i="2"/>
  <c r="B14" i="2"/>
  <c r="B13" i="2"/>
  <c r="B12" i="2"/>
  <c r="B11" i="2"/>
  <c r="B10" i="2"/>
  <c r="B9" i="2"/>
  <c r="B8" i="2"/>
  <c r="B7" i="2"/>
  <c r="B6" i="2"/>
  <c r="B5" i="2"/>
  <c r="B4" i="2" s="1"/>
  <c r="A28" i="2"/>
  <c r="A27" i="2"/>
  <c r="A26" i="2"/>
  <c r="A25" i="2"/>
  <c r="A24" i="2"/>
  <c r="A23" i="2"/>
  <c r="A22" i="2"/>
  <c r="A21" i="2"/>
  <c r="A20" i="2"/>
  <c r="A19" i="2"/>
  <c r="A18" i="2"/>
  <c r="A17" i="2"/>
  <c r="A16" i="2"/>
  <c r="A15" i="2"/>
  <c r="A14" i="2"/>
  <c r="A13" i="2"/>
  <c r="A12" i="2"/>
  <c r="A11" i="2"/>
  <c r="A10" i="2"/>
  <c r="A9" i="2"/>
  <c r="A8" i="2"/>
  <c r="A7" i="2"/>
  <c r="A6" i="2"/>
  <c r="A5" i="2"/>
  <c r="B11" i="1" l="1"/>
  <c r="G16" i="1"/>
  <c r="G15" i="1"/>
  <c r="G13" i="1"/>
  <c r="G12" i="1"/>
  <c r="G11" i="1"/>
  <c r="G10" i="1"/>
  <c r="G9" i="1"/>
  <c r="G8" i="1"/>
  <c r="G7" i="1"/>
  <c r="G6" i="1"/>
  <c r="G5" i="1"/>
  <c r="G4" i="1"/>
  <c r="G3" i="1"/>
  <c r="G2" i="1"/>
  <c r="G18" i="1" l="1"/>
  <c r="J11" i="1" l="1"/>
  <c r="J14" i="1"/>
  <c r="B14" i="1" l="1"/>
  <c r="J12" i="1" l="1"/>
  <c r="J16" i="1" l="1"/>
  <c r="C16" i="1"/>
  <c r="J15" i="1"/>
  <c r="C15" i="1"/>
  <c r="C14" i="1"/>
  <c r="D14" i="1" s="1"/>
  <c r="E14" i="1" s="1"/>
  <c r="K14" i="1" s="1"/>
  <c r="L14" i="1" s="1"/>
  <c r="J13" i="1"/>
  <c r="C13" i="1"/>
  <c r="D11" i="1"/>
  <c r="E11" i="1" s="1"/>
  <c r="J10" i="1"/>
  <c r="C10" i="1"/>
  <c r="J9" i="1"/>
  <c r="C9" i="1"/>
  <c r="J8" i="1"/>
  <c r="C8" i="1"/>
  <c r="J7" i="1"/>
  <c r="C7" i="1"/>
  <c r="J6" i="1"/>
  <c r="C6" i="1"/>
  <c r="J5" i="1"/>
  <c r="C5" i="1"/>
  <c r="J4" i="1"/>
  <c r="C4" i="1"/>
  <c r="J3" i="1"/>
  <c r="C3" i="1"/>
  <c r="J2" i="1"/>
  <c r="C2" i="1"/>
  <c r="K11" i="1" l="1"/>
  <c r="L11" i="1" s="1"/>
  <c r="H11" i="1"/>
  <c r="I11" i="1" s="1"/>
  <c r="B15" i="1"/>
  <c r="J18" i="1"/>
  <c r="D15" i="1" l="1"/>
  <c r="E15" i="1" s="1"/>
  <c r="K15" i="1" l="1"/>
  <c r="L15" i="1" s="1"/>
  <c r="H15" i="1"/>
  <c r="I15" i="1" s="1"/>
  <c r="B7" i="1"/>
  <c r="B6" i="1"/>
  <c r="B4" i="1"/>
  <c r="B2" i="1"/>
  <c r="B10" i="1" l="1"/>
  <c r="B13" i="1"/>
  <c r="B9" i="1"/>
  <c r="B8" i="1"/>
  <c r="B5" i="1"/>
  <c r="B3" i="1"/>
  <c r="B16" i="1"/>
  <c r="D7" i="1"/>
  <c r="E7" i="1" s="1"/>
  <c r="D6" i="1"/>
  <c r="E6" i="1" s="1"/>
  <c r="D4" i="1"/>
  <c r="E4" i="1" s="1"/>
  <c r="D2" i="1"/>
  <c r="K7" i="1" l="1"/>
  <c r="L7" i="1" s="1"/>
  <c r="H7" i="1"/>
  <c r="I7" i="1" s="1"/>
  <c r="K6" i="1"/>
  <c r="L6" i="1" s="1"/>
  <c r="H6" i="1"/>
  <c r="I6" i="1" s="1"/>
  <c r="K4" i="1"/>
  <c r="L4" i="1" s="1"/>
  <c r="H4" i="1"/>
  <c r="I4" i="1" s="1"/>
  <c r="D16" i="1"/>
  <c r="E16" i="1" s="1"/>
  <c r="D3" i="1"/>
  <c r="E3" i="1" s="1"/>
  <c r="D5" i="1"/>
  <c r="E5" i="1" s="1"/>
  <c r="D8" i="1"/>
  <c r="E8" i="1" s="1"/>
  <c r="D9" i="1"/>
  <c r="E9" i="1" s="1"/>
  <c r="D13" i="1"/>
  <c r="E13" i="1" s="1"/>
  <c r="D10" i="1"/>
  <c r="E10" i="1" s="1"/>
  <c r="E2" i="1"/>
  <c r="H2" i="1" s="1"/>
  <c r="I2" i="1" s="1"/>
  <c r="K13" i="1" l="1"/>
  <c r="L13" i="1" s="1"/>
  <c r="H13" i="1"/>
  <c r="I13" i="1" s="1"/>
  <c r="K10" i="1"/>
  <c r="L10" i="1" s="1"/>
  <c r="H10" i="1"/>
  <c r="I10" i="1" s="1"/>
  <c r="K9" i="1"/>
  <c r="L9" i="1" s="1"/>
  <c r="H9" i="1"/>
  <c r="I9" i="1" s="1"/>
  <c r="K8" i="1"/>
  <c r="L8" i="1" s="1"/>
  <c r="H8" i="1"/>
  <c r="I8" i="1" s="1"/>
  <c r="K5" i="1"/>
  <c r="L5" i="1" s="1"/>
  <c r="H5" i="1"/>
  <c r="I5" i="1" s="1"/>
  <c r="K16" i="1"/>
  <c r="L16" i="1" s="1"/>
  <c r="H16" i="1"/>
  <c r="I16" i="1" s="1"/>
  <c r="K3" i="1"/>
  <c r="L3" i="1" s="1"/>
  <c r="H3" i="1"/>
  <c r="I3" i="1"/>
  <c r="K2" i="1"/>
  <c r="L2" i="1" l="1"/>
  <c r="B12" i="1" l="1"/>
  <c r="D12" i="1" l="1"/>
  <c r="B18" i="1"/>
  <c r="E12" i="1" l="1"/>
  <c r="D18" i="1"/>
  <c r="K12" i="1" l="1"/>
  <c r="H12" i="1"/>
  <c r="E18" i="1"/>
  <c r="I12" i="1" l="1"/>
  <c r="H18" i="1"/>
  <c r="I18" i="1" s="1"/>
  <c r="L12" i="1"/>
  <c r="K18" i="1"/>
  <c r="L18" i="1" s="1"/>
  <c r="L28" i="2" l="1"/>
  <c r="K28" i="2"/>
  <c r="J28" i="2"/>
  <c r="I28" i="2"/>
  <c r="H28" i="2"/>
  <c r="G28" i="2"/>
  <c r="F28" i="2"/>
  <c r="E28" i="2"/>
  <c r="D28" i="2"/>
  <c r="L27" i="2"/>
  <c r="K27" i="2"/>
  <c r="J27" i="2"/>
  <c r="I27" i="2"/>
  <c r="H27" i="2"/>
  <c r="G27" i="2"/>
  <c r="F27" i="2"/>
  <c r="E27" i="2"/>
  <c r="D27" i="2"/>
  <c r="L26" i="2"/>
  <c r="K26" i="2"/>
  <c r="J26" i="2"/>
  <c r="I26" i="2"/>
  <c r="H26" i="2"/>
  <c r="G26" i="2"/>
  <c r="F26" i="2"/>
  <c r="E26" i="2"/>
  <c r="D26" i="2"/>
  <c r="L25" i="2"/>
  <c r="K25" i="2"/>
  <c r="J25" i="2"/>
  <c r="I25" i="2"/>
  <c r="H25" i="2"/>
  <c r="G25" i="2"/>
  <c r="F25" i="2"/>
  <c r="E25" i="2"/>
  <c r="D25" i="2"/>
  <c r="L24" i="2"/>
  <c r="K24" i="2"/>
  <c r="J24" i="2"/>
  <c r="I24" i="2"/>
  <c r="H24" i="2"/>
  <c r="G24" i="2"/>
  <c r="F24" i="2"/>
  <c r="E24" i="2"/>
  <c r="D24" i="2"/>
  <c r="L23" i="2"/>
  <c r="K23" i="2"/>
  <c r="J23" i="2"/>
  <c r="I23" i="2"/>
  <c r="H23" i="2"/>
  <c r="G23" i="2"/>
  <c r="F23" i="2"/>
  <c r="E23" i="2"/>
  <c r="D23" i="2"/>
  <c r="L22" i="2"/>
  <c r="K22" i="2"/>
  <c r="J22" i="2"/>
  <c r="I22" i="2"/>
  <c r="H22" i="2"/>
  <c r="G22" i="2"/>
  <c r="F22" i="2"/>
  <c r="E22" i="2"/>
  <c r="D22" i="2"/>
  <c r="L21" i="2"/>
  <c r="K21" i="2"/>
  <c r="J21" i="2"/>
  <c r="I21" i="2"/>
  <c r="H21" i="2"/>
  <c r="G21" i="2"/>
  <c r="F21" i="2"/>
  <c r="E21" i="2"/>
  <c r="D21" i="2"/>
  <c r="L20" i="2"/>
  <c r="K20" i="2"/>
  <c r="J20" i="2"/>
  <c r="I20" i="2"/>
  <c r="H20" i="2"/>
  <c r="G20" i="2"/>
  <c r="F20" i="2"/>
  <c r="E20" i="2"/>
  <c r="D20" i="2"/>
  <c r="L19" i="2"/>
  <c r="K19" i="2"/>
  <c r="J19" i="2"/>
  <c r="I19" i="2"/>
  <c r="H19" i="2"/>
  <c r="G19" i="2"/>
  <c r="F19" i="2"/>
  <c r="E19" i="2"/>
  <c r="D19" i="2"/>
  <c r="L18" i="2"/>
  <c r="K18" i="2"/>
  <c r="J18" i="2"/>
  <c r="I18" i="2"/>
  <c r="H18" i="2"/>
  <c r="G18" i="2"/>
  <c r="F18" i="2"/>
  <c r="E18" i="2"/>
  <c r="D18" i="2"/>
  <c r="L17" i="2"/>
  <c r="K17" i="2"/>
  <c r="J17" i="2"/>
  <c r="I17" i="2"/>
  <c r="H17" i="2"/>
  <c r="G17" i="2"/>
  <c r="F17" i="2"/>
  <c r="E17" i="2"/>
  <c r="D17" i="2"/>
  <c r="L16" i="2"/>
  <c r="K16" i="2"/>
  <c r="J16" i="2"/>
  <c r="I16" i="2"/>
  <c r="H16" i="2"/>
  <c r="G16" i="2"/>
  <c r="F16" i="2"/>
  <c r="E16" i="2"/>
  <c r="D16" i="2"/>
  <c r="L15" i="2"/>
  <c r="K15" i="2"/>
  <c r="J15" i="2"/>
  <c r="I15" i="2"/>
  <c r="H15" i="2"/>
  <c r="G15" i="2"/>
  <c r="F15" i="2"/>
  <c r="E15" i="2"/>
  <c r="D15" i="2"/>
  <c r="L14" i="2"/>
  <c r="K14" i="2"/>
  <c r="J14" i="2"/>
  <c r="I14" i="2"/>
  <c r="H14" i="2"/>
  <c r="G14" i="2"/>
  <c r="F14" i="2"/>
  <c r="E14" i="2"/>
  <c r="D14" i="2"/>
  <c r="L13" i="2"/>
  <c r="K13" i="2"/>
  <c r="J13" i="2"/>
  <c r="I13" i="2"/>
  <c r="H13" i="2"/>
  <c r="G13" i="2"/>
  <c r="F13" i="2"/>
  <c r="E13" i="2"/>
  <c r="D13" i="2"/>
  <c r="L12" i="2"/>
  <c r="K12" i="2"/>
  <c r="J12" i="2"/>
  <c r="I12" i="2"/>
  <c r="H12" i="2"/>
  <c r="G12" i="2"/>
  <c r="F12" i="2"/>
  <c r="E12" i="2"/>
  <c r="D12" i="2"/>
  <c r="L11" i="2"/>
  <c r="K11" i="2"/>
  <c r="J11" i="2"/>
  <c r="I11" i="2"/>
  <c r="H11" i="2"/>
  <c r="G11" i="2"/>
  <c r="F11" i="2"/>
  <c r="E11" i="2"/>
  <c r="D11" i="2"/>
  <c r="L10" i="2"/>
  <c r="K10" i="2"/>
  <c r="J10" i="2"/>
  <c r="I10" i="2"/>
  <c r="H10" i="2"/>
  <c r="G10" i="2"/>
  <c r="F10" i="2"/>
  <c r="E10" i="2"/>
  <c r="D10" i="2"/>
  <c r="L9" i="2"/>
  <c r="K9" i="2"/>
  <c r="J9" i="2"/>
  <c r="I9" i="2"/>
  <c r="H9" i="2"/>
  <c r="G9" i="2"/>
  <c r="F9" i="2"/>
  <c r="E9" i="2"/>
  <c r="D9" i="2"/>
  <c r="L8" i="2"/>
  <c r="K8" i="2"/>
  <c r="J8" i="2"/>
  <c r="I8" i="2"/>
  <c r="H8" i="2"/>
  <c r="G8" i="2"/>
  <c r="F8" i="2"/>
  <c r="E8" i="2"/>
  <c r="D8" i="2"/>
  <c r="L7" i="2"/>
  <c r="K7" i="2"/>
  <c r="J7" i="2"/>
  <c r="I7" i="2"/>
  <c r="H7" i="2"/>
  <c r="G7" i="2"/>
  <c r="F7" i="2"/>
  <c r="E7" i="2"/>
  <c r="D7" i="2"/>
  <c r="L6" i="2"/>
  <c r="K6" i="2"/>
  <c r="J6" i="2"/>
  <c r="I6" i="2"/>
  <c r="H6" i="2"/>
  <c r="G6" i="2"/>
  <c r="F6" i="2"/>
  <c r="E6" i="2"/>
  <c r="D6" i="2"/>
  <c r="L5" i="2"/>
  <c r="L4" i="2" s="1"/>
  <c r="K5" i="2"/>
  <c r="K4" i="2" s="1"/>
  <c r="J5" i="2"/>
  <c r="J4" i="2" s="1"/>
  <c r="I5" i="2"/>
  <c r="I4" i="2" s="1"/>
  <c r="H5" i="2"/>
  <c r="H4" i="2" s="1"/>
  <c r="G5" i="2"/>
  <c r="G4" i="2" s="1"/>
  <c r="F5" i="2"/>
  <c r="F4" i="2" s="1"/>
  <c r="E5" i="2"/>
  <c r="E4" i="2" s="1"/>
  <c r="D5" i="2"/>
  <c r="D4" i="2" s="1"/>
  <c r="C6" i="2" l="1"/>
  <c r="M6" i="2" s="1"/>
  <c r="C7" i="2"/>
  <c r="M7" i="2" s="1"/>
  <c r="C8" i="2"/>
  <c r="M8" i="2" s="1"/>
  <c r="C9" i="2"/>
  <c r="M9" i="2" s="1"/>
  <c r="C10" i="2"/>
  <c r="M10" i="2" s="1"/>
  <c r="C11" i="2"/>
  <c r="M11" i="2" s="1"/>
  <c r="C12" i="2"/>
  <c r="M12" i="2" s="1"/>
  <c r="C13" i="2"/>
  <c r="M13" i="2" s="1"/>
  <c r="C14" i="2"/>
  <c r="M14" i="2" s="1"/>
  <c r="C15" i="2"/>
  <c r="M15" i="2" s="1"/>
  <c r="C16" i="2"/>
  <c r="M16" i="2" s="1"/>
  <c r="C17" i="2"/>
  <c r="M17" i="2" s="1"/>
  <c r="C18" i="2"/>
  <c r="M18" i="2" s="1"/>
  <c r="C19" i="2"/>
  <c r="M19" i="2" s="1"/>
  <c r="C20" i="2"/>
  <c r="M20" i="2" s="1"/>
  <c r="C21" i="2"/>
  <c r="M21" i="2" s="1"/>
  <c r="C22" i="2"/>
  <c r="M22" i="2" s="1"/>
  <c r="C23" i="2"/>
  <c r="M23" i="2" s="1"/>
  <c r="C24" i="2"/>
  <c r="M24" i="2" s="1"/>
  <c r="C25" i="2"/>
  <c r="M25" i="2" s="1"/>
  <c r="C26" i="2"/>
  <c r="M26" i="2" s="1"/>
  <c r="C27" i="2"/>
  <c r="M27" i="2" s="1"/>
  <c r="C28" i="2"/>
  <c r="M28" i="2" s="1"/>
  <c r="C5" i="2"/>
  <c r="C4" i="2" l="1"/>
  <c r="M5" i="2"/>
  <c r="M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tc={1B03B1B4-47AE-484A-985F-89FB3AF1A870}</author>
    <author>tc={4EA062A0-BE3E-4ACB-98F3-2F60190870C5}</author>
  </authors>
  <commentList>
    <comment ref="G11" authorId="0" shapeId="0" xr:uid="{1B03B1B4-47AE-484A-985F-89FB3AF1A870}">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 ref="J11" authorId="1" shapeId="0" xr:uid="{4EA062A0-BE3E-4ACB-98F3-2F60190870C5}">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List>
</comments>
</file>

<file path=xl/sharedStrings.xml><?xml version="1.0" encoding="utf-8"?>
<sst xmlns="http://schemas.openxmlformats.org/spreadsheetml/2006/main" count="87" uniqueCount="57">
  <si>
    <t>Company_Code</t>
  </si>
  <si>
    <t>Claim Liability</t>
  </si>
  <si>
    <t>LAE Percentage</t>
  </si>
  <si>
    <t>LAE Liability</t>
  </si>
  <si>
    <t>Claim_Liability_Total</t>
  </si>
  <si>
    <t>ASL</t>
  </si>
  <si>
    <t>AMH</t>
  </si>
  <si>
    <t>GTL</t>
  </si>
  <si>
    <t>NFL</t>
  </si>
  <si>
    <t>NSL</t>
  </si>
  <si>
    <t>PEN</t>
  </si>
  <si>
    <t>PHS</t>
  </si>
  <si>
    <t>PRT</t>
  </si>
  <si>
    <t>USH</t>
  </si>
  <si>
    <t>Total</t>
  </si>
  <si>
    <t>GBR</t>
  </si>
  <si>
    <t>XCH</t>
  </si>
  <si>
    <t>SLI</t>
  </si>
  <si>
    <t>ULI</t>
  </si>
  <si>
    <t>PLICA-NonMS</t>
  </si>
  <si>
    <t>PLICA-MS</t>
  </si>
  <si>
    <t>Pattern Selection</t>
  </si>
  <si>
    <t>Difference</t>
  </si>
  <si>
    <t>Difference %</t>
  </si>
  <si>
    <t>Comment</t>
  </si>
  <si>
    <t>NA</t>
  </si>
  <si>
    <t>Threshold</t>
  </si>
  <si>
    <t>Prior From Unified Files</t>
  </si>
  <si>
    <t>Average Simple12 &amp; Simple6</t>
  </si>
  <si>
    <t>Average Simple3 &amp; Simple6</t>
  </si>
  <si>
    <t>Average Simple12</t>
  </si>
  <si>
    <t>Simple12MS and Avergae 3, 6 and 12 NMS</t>
  </si>
  <si>
    <t>Prior From ARM Scen 6</t>
  </si>
  <si>
    <t>Paid for July, Aug and Sep is very low compared to other accident months but we are setting the sale Ultimate claims. This results on a higher IBNP</t>
  </si>
  <si>
    <t>Triangle is almost empty. We should select Volume All or 12 to ionclude some information in the triangle. Other option is use patterns from other block, since this is not technical the best option.</t>
  </si>
  <si>
    <t>No payments for Aus and Sept. At march there were some big amounts for months that now has lower compeltion factors. This results in a lower IBNP</t>
  </si>
  <si>
    <t>No payments for Sept. Our patterns are longer. At March Unified had a negative IBNP pof 50k for Accident month Jan-24 that wasn't observed in the actual movements.</t>
  </si>
  <si>
    <t>There was a bgf payment for Accident month Dec-23 that generated IBNP´at march but at September the compeltion factor is 1. Results in a lower IBNP</t>
  </si>
  <si>
    <t>At Aug-24. Should I consider valuation March?</t>
  </si>
  <si>
    <t>No paid claims for Jul, Aug and Sept, but Ultimate selectiong by Loss Ratio. Results on higher IBNP</t>
  </si>
  <si>
    <t>Mannually Removed big movement from July-24 to Aug-24 for Accident month Oct-2022 that increased the tail of the patterns.</t>
  </si>
  <si>
    <t>Incurral</t>
  </si>
  <si>
    <t>Month</t>
  </si>
  <si>
    <t>Claim</t>
  </si>
  <si>
    <t>Liability</t>
  </si>
  <si>
    <t>TY 2020</t>
  </si>
  <si>
    <t>TY 2019</t>
  </si>
  <si>
    <t>TY 2021</t>
  </si>
  <si>
    <t>TY 2022</t>
  </si>
  <si>
    <t>TY 2023</t>
  </si>
  <si>
    <t>Pre-HCCUA 2019</t>
  </si>
  <si>
    <t>HCCUA 2022</t>
  </si>
  <si>
    <t>HCCUA 2023</t>
  </si>
  <si>
    <t>HCCUA 2020</t>
  </si>
  <si>
    <t>HCCUA 2021</t>
  </si>
  <si>
    <t>Check</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</si>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</sst>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mmm\-yy;@"/>
  </numFmts>
  <fonts count="6" x14ac:knownFonts="1">
    <font>
      <sz val="9"/>
      <color theme="1"/>
      <name val="Arial Narrow"/>
      <family val="2"/>
    </font>
    <font>
      <sz val="9"/>
      <color theme="1"/>
      <name val="Arial Narrow"/>
      <family val="2"/>
    </font>
    <font>
      <sz val="9"/>
      <color rgb="FFFF0000"/>
      <name val="Arial Narrow"/>
      <family val="2"/>
    </font>
    <font>
      <b/>
      <sz val="9"/>
      <color theme="1"/>
      <name val="Arial Narrow"/>
      <family val="2"/>
    </font>
    <font>
      <b/>
      <sz val="9"/>
      <color theme="0"/>
      <name val="Aptos Narrow"/>
      <family val="2"/>
    </font>
    <font>
      <sz val="9"/>
      <color theme="3"/>
      <name val="Arial Narrow"/>
      <family val="2"/>
    </font>
  </fonts>
  <fills count="4">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s>
  <borders count="9">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8">
    <xf numFmtId="0" fontId="0" fillId="0" borderId="0" xfId="0"/>
    <xf numFmtId="0" fontId="4" fillId="2" borderId="1" xfId="0" applyFont="1" applyFill="1" applyBorder="1" applyAlignment="1">
      <alignment horizontal="center"/>
    </xf>
    <xf numFmtId="0" fontId="4" fillId="2" borderId="0" xfId="0" applyFont="1" applyFill="1" applyAlignment="1">
      <alignment horizontal="center"/>
    </xf>
    <xf numFmtId="10" fontId="0" fillId="0" borderId="0" xfId="0" applyNumberFormat="1"/>
    <xf numFmtId="10" fontId="5" fillId="0" borderId="0" xfId="0" applyNumberFormat="1" applyFont="1"/>
    <xf numFmtId="10" fontId="2" fillId="0" borderId="0" xfId="1" applyNumberFormat="1" applyFont="1"/>
    <xf numFmtId="0" fontId="3" fillId="0" borderId="0" xfId="0" applyFont="1"/>
    <xf numFmtId="164" fontId="3" fillId="0" borderId="0" xfId="0" applyNumberFormat="1" applyFont="1"/>
    <xf numFmtId="164" fontId="0" fillId="0" borderId="0" xfId="2" applyNumberFormat="1" applyFont="1"/>
    <xf numFmtId="164" fontId="0" fillId="0" borderId="0" xfId="0" applyNumberFormat="1"/>
    <xf numFmtId="9" fontId="0" fillId="0" borderId="0" xfId="1" applyFont="1"/>
    <xf numFmtId="9" fontId="0" fillId="0" borderId="0" xfId="1" applyFont="1" applyAlignment="1">
      <alignment wrapText="1"/>
    </xf>
    <xf numFmtId="0" fontId="0" fillId="0" borderId="0" xfId="0" applyAlignment="1">
      <alignment wrapText="1"/>
    </xf>
    <xf numFmtId="164" fontId="2" fillId="0" borderId="0" xfId="0" applyNumberFormat="1" applyFont="1"/>
    <xf numFmtId="0" fontId="0" fillId="3" borderId="0" xfId="0" applyFill="1"/>
    <xf numFmtId="164" fontId="0" fillId="3" borderId="0" xfId="0" applyNumberFormat="1" applyFill="1"/>
    <xf numFmtId="10" fontId="0" fillId="3" borderId="0" xfId="0" applyNumberFormat="1" applyFill="1"/>
    <xf numFmtId="164" fontId="0" fillId="3" borderId="0" xfId="2" applyNumberFormat="1" applyFont="1" applyFill="1"/>
    <xf numFmtId="9" fontId="0" fillId="3" borderId="0" xfId="1" applyFont="1" applyFill="1"/>
    <xf numFmtId="9" fontId="0" fillId="3" borderId="0" xfId="1" applyFont="1" applyFill="1" applyAlignment="1">
      <alignment wrapText="1"/>
    </xf>
    <xf numFmtId="164" fontId="0" fillId="0" borderId="0" xfId="2" applyNumberFormat="1" applyFont="1" applyFill="1"/>
    <xf numFmtId="9" fontId="0" fillId="0" borderId="0" xfId="1" applyFont="1" applyFill="1"/>
    <xf numFmtId="9" fontId="0" fillId="0" borderId="0" xfId="1" applyFont="1" applyFill="1" applyAlignment="1">
      <alignment wrapText="1"/>
    </xf>
    <xf numFmtId="165" fontId="0" fillId="0" borderId="0" xfId="0" applyNumberFormat="1"/>
    <xf numFmtId="43" fontId="0" fillId="0" borderId="0" xfId="0" applyNumberFormat="1"/>
    <xf numFmtId="43" fontId="0" fillId="0" borderId="0" xfId="2" applyFont="1"/>
    <xf numFmtId="43" fontId="2" fillId="0" borderId="0" xfId="0" applyNumberFormat="1" applyFont="1"/>
    <xf numFmtId="0" fontId="3" fillId="0" borderId="0" xfId="0" applyFont="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5" xfId="0" applyFont="1" applyBorder="1"/>
    <xf numFmtId="0" fontId="3" fillId="0" borderId="6" xfId="0" applyFont="1" applyBorder="1" applyAlignment="1">
      <alignment horizontal="center"/>
    </xf>
    <xf numFmtId="0" fontId="3" fillId="0" borderId="2" xfId="0" applyFont="1" applyBorder="1"/>
    <xf numFmtId="0" fontId="3" fillId="0" borderId="7" xfId="0" applyFont="1" applyBorder="1" applyAlignment="1">
      <alignment horizontal="center"/>
    </xf>
    <xf numFmtId="164" fontId="3" fillId="0" borderId="1" xfId="0" applyNumberFormat="1" applyFont="1" applyBorder="1" applyAlignment="1">
      <alignment horizontal="center"/>
    </xf>
    <xf numFmtId="164" fontId="3" fillId="0" borderId="8" xfId="0" applyNumberFormat="1" applyFont="1" applyBorder="1" applyAlignment="1">
      <alignment horizontal="center"/>
    </xf>
    <xf numFmtId="164" fontId="0" fillId="0" borderId="0" xfId="0" applyNumberFormat="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calcChain" Target="calcChain.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theme" Target="theme/theme1.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ASL.xlsx" TargetMode="External"/><Relationship Id="rId1" Type="http://schemas.openxmlformats.org/officeDocument/2006/relationships/externalLinkPath" Target="Unified_IBNP_ASL.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NFL.xlsx" TargetMode="External"/><Relationship Id="rId1" Type="http://schemas.openxmlformats.org/officeDocument/2006/relationships/externalLinkPath" Target="Unified_IBNP_NFL.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FL\NFL%20Claim%20Liability%2003-24.xlsx" TargetMode="External"/><Relationship Id="rId1" Type="http://schemas.openxmlformats.org/officeDocument/2006/relationships/externalLinkPath" Target="file:///\\RDS02\Unified$\04_Inforce_Management\01_Products_Specs\Health_Block_Information\20240613_ShareFile_WriteUps\NFL\NFL%20Claim%20Liability%2003-24.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NSL.xlsx" TargetMode="External"/><Relationship Id="rId1" Type="http://schemas.openxmlformats.org/officeDocument/2006/relationships/externalLinkPath" Target="Unified_IBNP_NSL.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SL\NSL%20Claim%20Liability%20033124.xlsx" TargetMode="External"/><Relationship Id="rId1" Type="http://schemas.openxmlformats.org/officeDocument/2006/relationships/externalLinkPath" Target="file:///\\RDS02\Unified$\04_Inforce_Management\01_Products_Specs\Health_Block_Information\20240613_ShareFile_WriteUps\NSL\NSL%20Claim%20Liability%20033124.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PEN.xlsx" TargetMode="External"/><Relationship Id="rId1" Type="http://schemas.openxmlformats.org/officeDocument/2006/relationships/externalLinkPath" Target="Unified_IBNP_PEN.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EN\PEN%20Claim%20Liability%2003-24.xlsx" TargetMode="External"/><Relationship Id="rId1" Type="http://schemas.openxmlformats.org/officeDocument/2006/relationships/externalLinkPath" Target="file:///\\RDS02\Unified$\04_Inforce_Management\01_Products_Specs\Health_Block_Information\20240613_ShareFile_WriteUps\PEN\PEN%20Claim%20Liability%2003-24.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PHS.xlsx" TargetMode="External"/><Relationship Id="rId1" Type="http://schemas.openxmlformats.org/officeDocument/2006/relationships/externalLinkPath" Target="Unified_IBNP_PHS.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HS\PHS%20Claim%20Liability%2003-24.xlsx" TargetMode="External"/><Relationship Id="rId1" Type="http://schemas.openxmlformats.org/officeDocument/2006/relationships/externalLinkPath" Target="file:///\\RDS02\Unified$\04_Inforce_Management\01_Products_Specs\Health_Block_Information\20240613_ShareFile_WriteUps\PHS\PHS%20Claim%20Liability%2003-24.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PRT.xlsx" TargetMode="External"/><Relationship Id="rId1" Type="http://schemas.openxmlformats.org/officeDocument/2006/relationships/externalLinkPath" Target="Unified_IBNP_PRT.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RT\PRT%20Claim%20Liability%203-24.xlsx" TargetMode="External"/><Relationship Id="rId1" Type="http://schemas.openxmlformats.org/officeDocument/2006/relationships/externalLinkPath" Target="file:///\\RDS02\Unified$\04_Inforce_Management\01_Products_Specs\Health_Block_Information\20240613_ShareFile_WriteUps\PRT\PRT%20Claim%20Liability%203-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merican%20Standard%20Life\ASL%20Claim%20Liability%2003-24.xlsx" TargetMode="External"/><Relationship Id="rId1" Type="http://schemas.openxmlformats.org/officeDocument/2006/relationships/externalLinkPath" Target="file:///\\RDS02\Unified$\04_Inforce_Management\01_Products_Specs\Health_Block_Information\20240613_ShareFile_WriteUps\American%20Standard%20Life\ASL%20Claim%20Liability%2003-24.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NMS_PLICA.xlsx" TargetMode="External"/><Relationship Id="rId1" Type="http://schemas.openxmlformats.org/officeDocument/2006/relationships/externalLinkPath" Target="Unified_IBNP_NMS_PLICA.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MS_PLICA.xlsx" TargetMode="External"/><Relationship Id="rId1" Type="http://schemas.openxmlformats.org/officeDocument/2006/relationships/externalLinkPath" Target="Unified_IBNP_MS_PLICA.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SLI.xlsx" TargetMode="External"/><Relationship Id="rId1" Type="http://schemas.openxmlformats.org/officeDocument/2006/relationships/externalLinkPath" Target="Unified_IBNP_SLI.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SLICA\SLI%20Claim%20Liability%2003-24.xlsx" TargetMode="External"/><Relationship Id="rId1" Type="http://schemas.openxmlformats.org/officeDocument/2006/relationships/externalLinkPath" Target="file:///\\RDS02\Unified$\04_Inforce_Management\01_Products_Specs\Health_Block_Information\20240613_ShareFile_WriteUps\SLICA\SLI%20Claim%20Liability%2003-24.xlsx"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ULI.xlsx" TargetMode="External"/><Relationship Id="rId1" Type="http://schemas.openxmlformats.org/officeDocument/2006/relationships/externalLinkPath" Target="Unified_IBNP_ULI.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LI%20Med%20Supp\NB%20MS%20Claim%20Liability%20033124.xlsx" TargetMode="External"/><Relationship Id="rId1" Type="http://schemas.openxmlformats.org/officeDocument/2006/relationships/externalLinkPath" Target="file:///\\RDS02\Unified$\04_Inforce_Management\01_Products_Specs\Health_Block_Information\20240613_ShareFile_WriteUps\ULI%20Med%20Supp\NB%20MS%20Claim%20Liability%20033124.xlsx"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20_06.2024\Unified_IBNP_Split_USH.xlsx" TargetMode="External"/><Relationship Id="rId1" Type="http://schemas.openxmlformats.org/officeDocument/2006/relationships/externalLinkPath" Target="Unified_IBNP_Split_USH.xlsx" TargetMode="External"/></Relationships>
</file>

<file path=xl/externalLinks/_rels/externalLink2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SH\USH%20Claim%20Liability%2003-24%20-%20Split%20MS.xlsx" TargetMode="External"/><Relationship Id="rId1" Type="http://schemas.openxmlformats.org/officeDocument/2006/relationships/externalLinkPath" Target="file:///\\RDS02\Unified$\04_Inforce_Management\01_Products_Specs\Health_Block_Information\20240613_ShareFile_WriteUps\USH\USH%20Claim%20Liability%2003-24%20-%20Split%20M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RDS02\Unified$\04_Inforce_Management\03_ARM%20IBNP%20Process\01_Scenarios\Scenario%206\Unified_Claims_Liability_Summary_6.xlsx" TargetMode="External"/><Relationship Id="rId1" Type="http://schemas.openxmlformats.org/officeDocument/2006/relationships/externalLinkPath" Target="file:///\\RDS02\Unified$\04_Inforce_Management\03_ARM%20IBNP%20Process\01_Scenarios\Scenario%206\Unified_Claims_Liability_Summary_6.xlsx"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XCH.xlsx" TargetMode="External"/><Relationship Id="rId1" Type="http://schemas.openxmlformats.org/officeDocument/2006/relationships/externalLinkPath" Target="Unified_IBNP_XCH.xlsx" TargetMode="External"/></Relationships>
</file>

<file path=xl/externalLinks/_rels/externalLink3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Xchange%20Benefits\XChange%20Claim%20Liability%20033124.xlsx" TargetMode="External"/><Relationship Id="rId1" Type="http://schemas.openxmlformats.org/officeDocument/2006/relationships/externalLinkPath" Target="file:///\\RDS02\Unified$\04_Inforce_Management\01_Products_Specs\Health_Block_Information\20240613_ShareFile_WriteUps\Xchange%20Benefits\XChange%20Claim%20Liability%20033124.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12.2023\Allocation_XCH.xlsx" TargetMode="External"/><Relationship Id="rId1" Type="http://schemas.openxmlformats.org/officeDocument/2006/relationships/externalLinkPath" Target="Allocation_XCH.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AMH.xlsx" TargetMode="External"/><Relationship Id="rId1" Type="http://schemas.openxmlformats.org/officeDocument/2006/relationships/externalLinkPath" Target="Unified_IBNP_AMH.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 Id="rId1"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GBR.xlsx" TargetMode="External"/><Relationship Id="rId1" Type="http://schemas.openxmlformats.org/officeDocument/2006/relationships/externalLinkPath" Target="Unified_IBNP_GBR.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erber%20Life\Gerber%20Claim%20Liability%20033124.xlsx" TargetMode="External"/><Relationship Id="rId1" Type="http://schemas.openxmlformats.org/officeDocument/2006/relationships/externalLinkPath" Target="file:///\\RDS02\Unified$\04_Inforce_Management\01_Products_Specs\Health_Block_Information\20240613_ShareFile_WriteUps\Gerber%20Life\Gerber%20Claim%20Liability%20033124.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GTL.xlsx" TargetMode="External"/><Relationship Id="rId1" Type="http://schemas.openxmlformats.org/officeDocument/2006/relationships/externalLinkPath" Target="Unified_IBNP_GTL.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TL\GTL%20Claim%20Liability%203-24.xlsx" TargetMode="External"/><Relationship Id="rId1" Type="http://schemas.openxmlformats.org/officeDocument/2006/relationships/externalLinkPath" Target="file:///\\RDS02\Unified$\04_Inforce_Management\01_Products_Specs\Health_Block_Information\20240613_ShareFile_WriteUps\GTL\GTL%20Claim%20Liability%20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ASL"/>
    </sheetNames>
    <sheetDataSet>
      <sheetData sheetId="0"/>
      <sheetData sheetId="1"/>
      <sheetData sheetId="2">
        <row r="33">
          <cell r="H33">
            <v>9899.9021167816118</v>
          </cell>
        </row>
      </sheetData>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NFL"/>
    </sheetNames>
    <sheetDataSet>
      <sheetData sheetId="0"/>
      <sheetData sheetId="1"/>
      <sheetData sheetId="2">
        <row r="33">
          <cell r="H33">
            <v>59342.781700745174</v>
          </cell>
        </row>
      </sheetData>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32709.246771985087</v>
          </cell>
        </row>
      </sheetData>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NSL"/>
    </sheetNames>
    <sheetDataSet>
      <sheetData sheetId="0"/>
      <sheetData sheetId="1"/>
      <sheetData sheetId="2">
        <row r="33">
          <cell r="H33">
            <v>54586.054880341093</v>
          </cell>
        </row>
      </sheetData>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 CODE TABLE"/>
      <sheetName val="Split_By_LOB"/>
      <sheetName val="EOB Information"/>
      <sheetName val="Claim Triangle"/>
      <sheetName val="Sch H"/>
      <sheetName val="PL"/>
      <sheetName val="Premium"/>
      <sheetName val="Summary"/>
      <sheetName val="Assume split"/>
      <sheetName val="Completion Factors"/>
    </sheetNames>
    <sheetDataSet>
      <sheetData sheetId="0"/>
      <sheetData sheetId="1"/>
      <sheetData sheetId="2"/>
      <sheetData sheetId="3"/>
      <sheetData sheetId="4"/>
      <sheetData sheetId="5"/>
      <sheetData sheetId="6"/>
      <sheetData sheetId="7">
        <row r="35">
          <cell r="H35">
            <v>7.4999999999999997E-2</v>
          </cell>
        </row>
        <row r="36">
          <cell r="H36">
            <v>43941.36</v>
          </cell>
        </row>
      </sheetData>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PEN"/>
    </sheetNames>
    <sheetDataSet>
      <sheetData sheetId="0"/>
      <sheetData sheetId="1"/>
      <sheetData sheetId="2">
        <row r="33">
          <cell r="H33">
            <v>159811.34188432607</v>
          </cell>
        </row>
      </sheetData>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PT"/>
      <sheetName val="Sch H"/>
      <sheetName val="Completion Factors"/>
      <sheetName val="Summary"/>
      <sheetName val="Premium"/>
      <sheetName val="PL"/>
    </sheetNames>
    <sheetDataSet>
      <sheetData sheetId="0"/>
      <sheetData sheetId="1"/>
      <sheetData sheetId="2"/>
      <sheetData sheetId="3"/>
      <sheetData sheetId="4"/>
      <sheetData sheetId="5">
        <row r="35">
          <cell r="H35">
            <v>7.4999999999999997E-2</v>
          </cell>
        </row>
        <row r="36">
          <cell r="H36">
            <v>158653.1571364796</v>
          </cell>
        </row>
      </sheetData>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PHS"/>
    </sheetNames>
    <sheetDataSet>
      <sheetData sheetId="0"/>
      <sheetData sheetId="1"/>
      <sheetData sheetId="2">
        <row r="33">
          <cell r="H33">
            <v>116949.45202442266</v>
          </cell>
        </row>
      </sheetData>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OB"/>
      <sheetName val="Claim Triangle"/>
      <sheetName val="Completion Factors"/>
      <sheetName val="Summary"/>
      <sheetName val="Premium"/>
    </sheetNames>
    <sheetDataSet>
      <sheetData sheetId="0"/>
      <sheetData sheetId="1"/>
      <sheetData sheetId="2"/>
      <sheetData sheetId="3">
        <row r="35">
          <cell r="H35">
            <v>7.4999999999999997E-2</v>
          </cell>
        </row>
        <row r="36">
          <cell r="H36">
            <v>167515.8389747378</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PRT"/>
    </sheetNames>
    <sheetDataSet>
      <sheetData sheetId="0"/>
      <sheetData sheetId="1"/>
      <sheetData sheetId="2">
        <row r="33">
          <cell r="H33">
            <v>77241.152313052589</v>
          </cell>
        </row>
      </sheetData>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CL_By_LOB"/>
      <sheetName val="Claim Data"/>
      <sheetName val="PlanCodeTable"/>
      <sheetName val="PT"/>
      <sheetName val="Summary"/>
      <sheetName val="Premium"/>
      <sheetName val="PL"/>
    </sheetNames>
    <sheetDataSet>
      <sheetData sheetId="0"/>
      <sheetData sheetId="1"/>
      <sheetData sheetId="2"/>
      <sheetData sheetId="3"/>
      <sheetData sheetId="4"/>
      <sheetData sheetId="5"/>
      <sheetData sheetId="6">
        <row r="35">
          <cell r="H35">
            <v>7.4999999999999997E-2</v>
          </cell>
        </row>
        <row r="36">
          <cell r="H36">
            <v>61403.00276625227</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_by_LOB"/>
      <sheetName val="EOB Information"/>
      <sheetName val="PT"/>
      <sheetName val="Sch H"/>
      <sheetName val="Completion Factors"/>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10194.181693825194</v>
          </cell>
        </row>
      </sheetData>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NMS_PLICA"/>
    </sheetNames>
    <sheetDataSet>
      <sheetData sheetId="0"/>
      <sheetData sheetId="1"/>
      <sheetData sheetId="2">
        <row r="33">
          <cell r="H33">
            <v>47202.640584649504</v>
          </cell>
        </row>
      </sheetData>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Sheet2"/>
      <sheetName val="Sheet3"/>
    </sheetNames>
    <sheetDataSet>
      <sheetData sheetId="0">
        <row r="35">
          <cell r="E35">
            <v>507000</v>
          </cell>
        </row>
        <row r="36">
          <cell r="E36">
            <v>628236.15</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MS_PLICA"/>
    </sheetNames>
    <sheetDataSet>
      <sheetData sheetId="0"/>
      <sheetData sheetId="1"/>
      <sheetData sheetId="2">
        <row r="33">
          <cell r="H33">
            <v>150.63000000000011</v>
          </cell>
        </row>
      </sheetData>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36">
          <cell r="E36">
            <v>21308.7</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SLI"/>
    </sheetNames>
    <sheetDataSet>
      <sheetData sheetId="0"/>
      <sheetData sheetId="1"/>
      <sheetData sheetId="2">
        <row r="33">
          <cell r="H33">
            <v>14556</v>
          </cell>
        </row>
      </sheetData>
      <sheetData sheetId="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CL_By_LOB"/>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22925.112714356808</v>
          </cell>
        </row>
      </sheetData>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ULI"/>
    </sheetNames>
    <sheetDataSet>
      <sheetData sheetId="0"/>
      <sheetData sheetId="1"/>
      <sheetData sheetId="2">
        <row r="33">
          <cell r="H33">
            <v>127399.97802731275</v>
          </cell>
        </row>
      </sheetData>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aims"/>
      <sheetName val="Summary"/>
      <sheetName val="Completion Factors"/>
      <sheetName val="Premium"/>
    </sheetNames>
    <sheetDataSet>
      <sheetData sheetId="0"/>
      <sheetData sheetId="1">
        <row r="35">
          <cell r="H35">
            <v>7.4999999999999997E-2</v>
          </cell>
        </row>
        <row r="36">
          <cell r="H36">
            <v>60621.568508703676</v>
          </cell>
        </row>
      </sheetData>
      <sheetData sheetId="2"/>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L33">
            <v>45959.696037607704</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 H"/>
      <sheetName val="CL_By_LOB"/>
      <sheetName val="EOB Information"/>
      <sheetName val="PT"/>
      <sheetName val="Completion Factors"/>
      <sheetName val="Summary"/>
      <sheetName val="Premium"/>
      <sheetName val="PL"/>
      <sheetName val="Plan Code Table"/>
      <sheetName val="For Data for State Pages - IBNR"/>
    </sheetNames>
    <sheetDataSet>
      <sheetData sheetId="0"/>
      <sheetData sheetId="1"/>
      <sheetData sheetId="2"/>
      <sheetData sheetId="3"/>
      <sheetData sheetId="4"/>
      <sheetData sheetId="5">
        <row r="35">
          <cell r="L35">
            <v>7.4999999999999997E-2</v>
          </cell>
        </row>
        <row r="36">
          <cell r="L36">
            <v>70721.566596096614</v>
          </cell>
        </row>
      </sheetData>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2">
          <cell r="E2">
            <v>8631.7475542030043</v>
          </cell>
        </row>
        <row r="3">
          <cell r="E3">
            <v>2852.5798682179311</v>
          </cell>
        </row>
        <row r="4">
          <cell r="E4">
            <v>49112.790852981903</v>
          </cell>
        </row>
        <row r="5">
          <cell r="E5">
            <v>88425.599779025026</v>
          </cell>
        </row>
        <row r="6">
          <cell r="E6">
            <v>33054.387942767222</v>
          </cell>
        </row>
        <row r="7">
          <cell r="E7">
            <v>45180.636489733821</v>
          </cell>
        </row>
        <row r="8">
          <cell r="E8">
            <v>167297.80469924136</v>
          </cell>
        </row>
        <row r="9">
          <cell r="E9">
            <v>163969.81611895896</v>
          </cell>
        </row>
        <row r="10">
          <cell r="E10">
            <v>62332.1531384915</v>
          </cell>
        </row>
        <row r="11">
          <cell r="E11">
            <v>43650.86019604317</v>
          </cell>
        </row>
        <row r="12">
          <cell r="E12">
            <v>7699.4075557553952</v>
          </cell>
        </row>
        <row r="13">
          <cell r="E13">
            <v>13668.394487239271</v>
          </cell>
        </row>
        <row r="15">
          <cell r="E15">
            <v>75281.134751770049</v>
          </cell>
        </row>
        <row r="16">
          <cell r="E16">
            <v>880192.11819421395</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XCH"/>
    </sheetNames>
    <sheetDataSet>
      <sheetData sheetId="0"/>
      <sheetData sheetId="1"/>
      <sheetData sheetId="2">
        <row r="8">
          <cell r="A8">
            <v>44562</v>
          </cell>
          <cell r="H8">
            <v>0</v>
          </cell>
        </row>
        <row r="9">
          <cell r="A9">
            <v>44593</v>
          </cell>
          <cell r="H9">
            <v>350.96281627865392</v>
          </cell>
        </row>
        <row r="10">
          <cell r="A10">
            <v>44621</v>
          </cell>
          <cell r="H10">
            <v>434.77503928367514</v>
          </cell>
        </row>
        <row r="11">
          <cell r="A11">
            <v>44652</v>
          </cell>
          <cell r="H11">
            <v>401.40382916966337</v>
          </cell>
        </row>
        <row r="12">
          <cell r="A12">
            <v>44682</v>
          </cell>
          <cell r="H12">
            <v>441.19344954768894</v>
          </cell>
        </row>
        <row r="13">
          <cell r="A13">
            <v>44713</v>
          </cell>
          <cell r="H13">
            <v>421.47293368939427</v>
          </cell>
        </row>
        <row r="14">
          <cell r="A14">
            <v>44743</v>
          </cell>
          <cell r="H14">
            <v>1271.9250323464803</v>
          </cell>
        </row>
        <row r="15">
          <cell r="A15">
            <v>44774</v>
          </cell>
          <cell r="H15">
            <v>1818.863938857452</v>
          </cell>
        </row>
        <row r="16">
          <cell r="A16">
            <v>44805</v>
          </cell>
          <cell r="H16">
            <v>1519.2586687734292</v>
          </cell>
        </row>
        <row r="17">
          <cell r="A17">
            <v>44835</v>
          </cell>
          <cell r="H17">
            <v>1536.784330858005</v>
          </cell>
        </row>
        <row r="18">
          <cell r="A18">
            <v>44866</v>
          </cell>
          <cell r="H18">
            <v>1923.5619905709464</v>
          </cell>
        </row>
        <row r="19">
          <cell r="A19">
            <v>44896</v>
          </cell>
          <cell r="H19">
            <v>2072.4077692975989</v>
          </cell>
        </row>
        <row r="20">
          <cell r="A20">
            <v>44927</v>
          </cell>
          <cell r="H20">
            <v>6604.7908196079661</v>
          </cell>
        </row>
        <row r="21">
          <cell r="A21">
            <v>44958</v>
          </cell>
          <cell r="H21">
            <v>6785.6578054954298</v>
          </cell>
        </row>
        <row r="22">
          <cell r="A22">
            <v>44986</v>
          </cell>
          <cell r="H22">
            <v>12965.702941107971</v>
          </cell>
        </row>
        <row r="23">
          <cell r="A23">
            <v>45017</v>
          </cell>
          <cell r="H23">
            <v>9396.2410424276604</v>
          </cell>
        </row>
        <row r="24">
          <cell r="A24">
            <v>45047</v>
          </cell>
          <cell r="H24">
            <v>12539.15501869694</v>
          </cell>
        </row>
        <row r="25">
          <cell r="A25">
            <v>45078</v>
          </cell>
          <cell r="H25">
            <v>33029.077235356788</v>
          </cell>
        </row>
        <row r="26">
          <cell r="A26">
            <v>45108</v>
          </cell>
          <cell r="H26">
            <v>33002.028660252865</v>
          </cell>
        </row>
        <row r="27">
          <cell r="A27">
            <v>45139</v>
          </cell>
          <cell r="H27">
            <v>37193.032603071508</v>
          </cell>
        </row>
        <row r="28">
          <cell r="A28">
            <v>45170</v>
          </cell>
          <cell r="H28">
            <v>46398.324669063208</v>
          </cell>
        </row>
        <row r="29">
          <cell r="A29">
            <v>45200</v>
          </cell>
          <cell r="H29">
            <v>93337.540000000008</v>
          </cell>
        </row>
        <row r="30">
          <cell r="A30">
            <v>45231</v>
          </cell>
          <cell r="H30">
            <v>150706.82</v>
          </cell>
        </row>
        <row r="31">
          <cell r="A31">
            <v>45261</v>
          </cell>
          <cell r="H31">
            <v>273782</v>
          </cell>
        </row>
        <row r="33">
          <cell r="H33">
            <v>727932.98059375328</v>
          </cell>
        </row>
      </sheetData>
      <sheetData sheetId="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remium"/>
      <sheetName val="Summary"/>
    </sheetNames>
    <sheetDataSet>
      <sheetData sheetId="0"/>
      <sheetData sheetId="1"/>
      <sheetData sheetId="2">
        <row r="35">
          <cell r="H35">
            <v>7.4999999999999997E-2</v>
          </cell>
        </row>
        <row r="36">
          <cell r="H36">
            <v>777303.67606529</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ocation"/>
    </sheetNames>
    <sheetDataSet>
      <sheetData sheetId="0">
        <row r="5">
          <cell r="P5">
            <v>0.40107538907926055</v>
          </cell>
          <cell r="Q5">
            <v>0</v>
          </cell>
          <cell r="R5">
            <v>0.54047978066424007</v>
          </cell>
          <cell r="S5">
            <v>0</v>
          </cell>
          <cell r="T5">
            <v>0</v>
          </cell>
          <cell r="U5">
            <v>5.5151604177530394E-5</v>
          </cell>
          <cell r="V5">
            <v>0</v>
          </cell>
          <cell r="W5">
            <v>0</v>
          </cell>
          <cell r="X5">
            <v>2.0228797859450996E-2</v>
          </cell>
          <cell r="Y5">
            <v>3.8160880792871006E-2</v>
          </cell>
        </row>
        <row r="6">
          <cell r="P6">
            <v>0.31770634942486004</v>
          </cell>
          <cell r="Q6">
            <v>0</v>
          </cell>
          <cell r="R6">
            <v>0.62549566178866134</v>
          </cell>
          <cell r="S6">
            <v>0</v>
          </cell>
          <cell r="T6">
            <v>0</v>
          </cell>
          <cell r="U6">
            <v>5.7166198799303199E-5</v>
          </cell>
          <cell r="V6">
            <v>0</v>
          </cell>
          <cell r="W6">
            <v>0</v>
          </cell>
          <cell r="X6">
            <v>1.4017831242187827E-2</v>
          </cell>
          <cell r="Y6">
            <v>4.272299134549154E-2</v>
          </cell>
        </row>
        <row r="7">
          <cell r="P7">
            <v>0.26129531640495907</v>
          </cell>
          <cell r="Q7">
            <v>0</v>
          </cell>
          <cell r="R7">
            <v>0.68507670764443984</v>
          </cell>
          <cell r="S7">
            <v>0</v>
          </cell>
          <cell r="T7">
            <v>0</v>
          </cell>
          <cell r="U7">
            <v>5.6805139477839654E-5</v>
          </cell>
          <cell r="V7">
            <v>0</v>
          </cell>
          <cell r="W7">
            <v>0</v>
          </cell>
          <cell r="X7">
            <v>6.9858619582247481E-3</v>
          </cell>
          <cell r="Y7">
            <v>4.6585308852898528E-2</v>
          </cell>
        </row>
        <row r="8">
          <cell r="P8">
            <v>0.20522912195617013</v>
          </cell>
          <cell r="Q8">
            <v>0</v>
          </cell>
          <cell r="R8">
            <v>0.7423531844928396</v>
          </cell>
          <cell r="S8">
            <v>0</v>
          </cell>
          <cell r="T8">
            <v>0</v>
          </cell>
          <cell r="U8">
            <v>5.8256015509485717E-5</v>
          </cell>
          <cell r="V8">
            <v>0</v>
          </cell>
          <cell r="W8">
            <v>0</v>
          </cell>
          <cell r="X8">
            <v>4.1512660677887683E-3</v>
          </cell>
          <cell r="Y8">
            <v>4.8208171467692011E-2</v>
          </cell>
        </row>
        <row r="9">
          <cell r="P9">
            <v>0.15864392240028799</v>
          </cell>
          <cell r="Q9">
            <v>0</v>
          </cell>
          <cell r="R9">
            <v>0.79018463522424831</v>
          </cell>
          <cell r="S9">
            <v>0</v>
          </cell>
          <cell r="T9">
            <v>0</v>
          </cell>
          <cell r="U9">
            <v>5.9585236506353326E-5</v>
          </cell>
          <cell r="V9">
            <v>0</v>
          </cell>
          <cell r="W9">
            <v>0</v>
          </cell>
          <cell r="X9">
            <v>6.0758569632213277E-4</v>
          </cell>
          <cell r="Y9">
            <v>5.0504271442635099E-2</v>
          </cell>
        </row>
        <row r="10">
          <cell r="P10">
            <v>0.11737277850203</v>
          </cell>
          <cell r="Q10">
            <v>0</v>
          </cell>
          <cell r="R10">
            <v>0.83244240680127546</v>
          </cell>
          <cell r="S10">
            <v>0</v>
          </cell>
          <cell r="T10">
            <v>0</v>
          </cell>
          <cell r="U10">
            <v>6.0947920405284707E-5</v>
          </cell>
          <cell r="V10">
            <v>1.9085868209761539E-3</v>
          </cell>
          <cell r="W10">
            <v>0</v>
          </cell>
          <cell r="X10">
            <v>0</v>
          </cell>
          <cell r="Y10">
            <v>4.8215279955313099E-2</v>
          </cell>
        </row>
        <row r="11">
          <cell r="P11">
            <v>7.7807183174324807E-2</v>
          </cell>
          <cell r="Q11">
            <v>-1.538780671536909E-4</v>
          </cell>
          <cell r="R11">
            <v>0.87431176628083607</v>
          </cell>
          <cell r="S11">
            <v>0</v>
          </cell>
          <cell r="T11">
            <v>0</v>
          </cell>
          <cell r="U11">
            <v>6.1432528861210092E-5</v>
          </cell>
          <cell r="V11">
            <v>5.9104636307434977E-3</v>
          </cell>
          <cell r="W11">
            <v>0</v>
          </cell>
          <cell r="X11">
            <v>0</v>
          </cell>
          <cell r="Y11">
            <v>4.2063032452387975E-2</v>
          </cell>
        </row>
        <row r="12">
          <cell r="P12">
            <v>3.17714919437279E-2</v>
          </cell>
          <cell r="Q12">
            <v>0</v>
          </cell>
          <cell r="R12">
            <v>0.92037492084395789</v>
          </cell>
          <cell r="S12">
            <v>1.5553442640868639E-3</v>
          </cell>
          <cell r="T12">
            <v>0</v>
          </cell>
          <cell r="U12">
            <v>6.1531798401133527E-5</v>
          </cell>
          <cell r="V12">
            <v>1.0337639482383322E-2</v>
          </cell>
          <cell r="W12">
            <v>0</v>
          </cell>
          <cell r="X12">
            <v>0</v>
          </cell>
          <cell r="Y12">
            <v>3.5899071667442974E-2</v>
          </cell>
        </row>
        <row r="13">
          <cell r="P13">
            <v>-6.048555699783016E-4</v>
          </cell>
          <cell r="Q13">
            <v>-2.0412307448071485E-4</v>
          </cell>
          <cell r="R13">
            <v>0.93418740727917249</v>
          </cell>
          <cell r="S13">
            <v>2.0690170371176694E-2</v>
          </cell>
          <cell r="T13">
            <v>0</v>
          </cell>
          <cell r="U13">
            <v>6.2915532016515305E-5</v>
          </cell>
          <cell r="V13">
            <v>1.483283792798515E-2</v>
          </cell>
          <cell r="W13">
            <v>0</v>
          </cell>
          <cell r="X13">
            <v>0</v>
          </cell>
          <cell r="Y13">
            <v>3.1035647534108392E-2</v>
          </cell>
        </row>
        <row r="14">
          <cell r="P14">
            <v>0</v>
          </cell>
          <cell r="Q14">
            <v>0</v>
          </cell>
          <cell r="R14">
            <v>0.813142841416161</v>
          </cell>
          <cell r="S14">
            <v>0.14318775410419382</v>
          </cell>
          <cell r="T14">
            <v>0</v>
          </cell>
          <cell r="U14">
            <v>6.2359420971839409E-5</v>
          </cell>
          <cell r="V14">
            <v>1.848054780038785E-2</v>
          </cell>
          <cell r="W14">
            <v>0</v>
          </cell>
          <cell r="X14">
            <v>0</v>
          </cell>
          <cell r="Y14">
            <v>2.5126497258285571E-2</v>
          </cell>
        </row>
        <row r="15">
          <cell r="P15">
            <v>0</v>
          </cell>
          <cell r="Q15">
            <v>0</v>
          </cell>
          <cell r="R15">
            <v>0.65403663535598233</v>
          </cell>
          <cell r="S15">
            <v>0.30334342481941906</v>
          </cell>
          <cell r="T15">
            <v>0</v>
          </cell>
          <cell r="U15">
            <v>6.1878584915148467E-5</v>
          </cell>
          <cell r="V15">
            <v>2.1663280097291158E-2</v>
          </cell>
          <cell r="W15">
            <v>0</v>
          </cell>
          <cell r="X15">
            <v>0</v>
          </cell>
          <cell r="Y15">
            <v>2.0894781142392342E-2</v>
          </cell>
        </row>
        <row r="16">
          <cell r="P16">
            <v>0</v>
          </cell>
          <cell r="Q16">
            <v>0</v>
          </cell>
          <cell r="R16">
            <v>0.5083850309158614</v>
          </cell>
          <cell r="S16">
            <v>0.45196614406678126</v>
          </cell>
          <cell r="T16">
            <v>0</v>
          </cell>
          <cell r="U16">
            <v>6.0224915841959472E-5</v>
          </cell>
          <cell r="V16">
            <v>2.2607818407314333E-2</v>
          </cell>
          <cell r="W16">
            <v>0</v>
          </cell>
          <cell r="X16">
            <v>0</v>
          </cell>
          <cell r="Y16">
            <v>1.6980781694201055E-2</v>
          </cell>
        </row>
        <row r="17">
          <cell r="P17">
            <v>-6.046185983817515E-4</v>
          </cell>
          <cell r="Q17">
            <v>-3.0230929919087575E-4</v>
          </cell>
          <cell r="R17">
            <v>0.35802325920062283</v>
          </cell>
          <cell r="S17">
            <v>0.60631354390718606</v>
          </cell>
          <cell r="T17">
            <v>0</v>
          </cell>
          <cell r="U17">
            <v>5.9151171998214713E-5</v>
          </cell>
          <cell r="V17">
            <v>2.3014718068661948E-2</v>
          </cell>
          <cell r="W17">
            <v>0</v>
          </cell>
          <cell r="X17">
            <v>0</v>
          </cell>
          <cell r="Y17">
            <v>1.3496255549103517E-2</v>
          </cell>
        </row>
        <row r="18">
          <cell r="P18">
            <v>0</v>
          </cell>
          <cell r="Q18">
            <v>0</v>
          </cell>
          <cell r="R18">
            <v>0.28269546513094335</v>
          </cell>
          <cell r="S18">
            <v>0.68154708697031741</v>
          </cell>
          <cell r="T18">
            <v>0</v>
          </cell>
          <cell r="U18">
            <v>6.0078264700074186E-5</v>
          </cell>
          <cell r="V18">
            <v>2.6671872315138706E-2</v>
          </cell>
          <cell r="W18">
            <v>0</v>
          </cell>
          <cell r="X18">
            <v>0</v>
          </cell>
          <cell r="Y18">
            <v>9.0254973189004949E-3</v>
          </cell>
        </row>
        <row r="19">
          <cell r="P19">
            <v>0</v>
          </cell>
          <cell r="Q19">
            <v>0</v>
          </cell>
          <cell r="R19">
            <v>0.22630157016140917</v>
          </cell>
          <cell r="S19">
            <v>0.74011236618797738</v>
          </cell>
          <cell r="T19">
            <v>0</v>
          </cell>
          <cell r="U19">
            <v>5.8628195851531839E-5</v>
          </cell>
          <cell r="V19">
            <v>2.8439206652282358E-2</v>
          </cell>
          <cell r="W19">
            <v>0</v>
          </cell>
          <cell r="X19">
            <v>0</v>
          </cell>
          <cell r="Y19">
            <v>5.0882288024795596E-3</v>
          </cell>
        </row>
        <row r="20">
          <cell r="P20">
            <v>-3.0198826632140913E-5</v>
          </cell>
          <cell r="Q20">
            <v>0</v>
          </cell>
          <cell r="R20">
            <v>0.18239153822238025</v>
          </cell>
          <cell r="S20">
            <v>0.78563957417075536</v>
          </cell>
          <cell r="T20">
            <v>0</v>
          </cell>
          <cell r="U20">
            <v>6.0810137237320177E-5</v>
          </cell>
          <cell r="V20">
            <v>2.9406182930113798E-2</v>
          </cell>
          <cell r="W20">
            <v>0</v>
          </cell>
          <cell r="X20">
            <v>0</v>
          </cell>
          <cell r="Y20">
            <v>2.5320933661452816E-3</v>
          </cell>
        </row>
        <row r="21">
          <cell r="P21">
            <v>0</v>
          </cell>
          <cell r="Q21">
            <v>0</v>
          </cell>
          <cell r="R21">
            <v>0.13666504441442962</v>
          </cell>
          <cell r="S21">
            <v>0.83214103936268446</v>
          </cell>
          <cell r="T21">
            <v>0</v>
          </cell>
          <cell r="U21">
            <v>6.0113803736433784E-5</v>
          </cell>
          <cell r="V21">
            <v>3.0584215212039651E-2</v>
          </cell>
          <cell r="W21">
            <v>0</v>
          </cell>
          <cell r="X21">
            <v>0</v>
          </cell>
          <cell r="Y21">
            <v>5.4958720710978454E-4</v>
          </cell>
        </row>
        <row r="22">
          <cell r="P22">
            <v>-4.6603844171567949E-4</v>
          </cell>
          <cell r="Q22">
            <v>-3.8836536809639961E-4</v>
          </cell>
          <cell r="R22">
            <v>0.1036107444884834</v>
          </cell>
          <cell r="S22">
            <v>0.86604629879192185</v>
          </cell>
          <cell r="T22">
            <v>0</v>
          </cell>
          <cell r="U22">
            <v>6.0791425861936421E-5</v>
          </cell>
          <cell r="V22">
            <v>2.9793538557543027E-2</v>
          </cell>
          <cell r="W22">
            <v>1.3430305460018315E-3</v>
          </cell>
          <cell r="X22">
            <v>0</v>
          </cell>
          <cell r="Y22">
            <v>0</v>
          </cell>
        </row>
        <row r="23">
          <cell r="P23">
            <v>0</v>
          </cell>
          <cell r="Q23">
            <v>0</v>
          </cell>
          <cell r="R23">
            <v>6.8547616547481233E-2</v>
          </cell>
          <cell r="S23">
            <v>0.90151872965887636</v>
          </cell>
          <cell r="T23">
            <v>0</v>
          </cell>
          <cell r="U23">
            <v>0</v>
          </cell>
          <cell r="V23">
            <v>2.7079924995399365E-2</v>
          </cell>
          <cell r="W23">
            <v>2.8537287982430223E-3</v>
          </cell>
          <cell r="X23">
            <v>0</v>
          </cell>
          <cell r="Y23">
            <v>0</v>
          </cell>
        </row>
        <row r="24">
          <cell r="P24">
            <v>0</v>
          </cell>
          <cell r="Q24">
            <v>0</v>
          </cell>
          <cell r="R24">
            <v>3.3533569659606813E-2</v>
          </cell>
          <cell r="S24">
            <v>0.93741469812708411</v>
          </cell>
          <cell r="T24">
            <v>1.3596095883780166E-4</v>
          </cell>
          <cell r="U24">
            <v>6.1109577304684499E-5</v>
          </cell>
          <cell r="V24">
            <v>2.2974060423680904E-2</v>
          </cell>
          <cell r="W24">
            <v>5.8806012534858816E-3</v>
          </cell>
          <cell r="X24">
            <v>0</v>
          </cell>
          <cell r="Y24">
            <v>0</v>
          </cell>
        </row>
        <row r="25">
          <cell r="P25">
            <v>0</v>
          </cell>
          <cell r="Q25">
            <v>0</v>
          </cell>
          <cell r="R25">
            <v>-1.3492807307259162E-3</v>
          </cell>
          <cell r="S25">
            <v>0.95428403112286442</v>
          </cell>
          <cell r="T25">
            <v>1.9065519212912631E-2</v>
          </cell>
          <cell r="U25">
            <v>6.1695825587014508E-5</v>
          </cell>
          <cell r="V25">
            <v>1.9361527667875966E-2</v>
          </cell>
          <cell r="W25">
            <v>8.5765069014859079E-3</v>
          </cell>
          <cell r="X25">
            <v>0</v>
          </cell>
          <cell r="Y25">
            <v>0</v>
          </cell>
        </row>
        <row r="26">
          <cell r="P26">
            <v>0</v>
          </cell>
          <cell r="Q26">
            <v>0</v>
          </cell>
          <cell r="R26">
            <v>-7.6778724766180483E-4</v>
          </cell>
          <cell r="S26">
            <v>0.78682092788677149</v>
          </cell>
          <cell r="T26">
            <v>0.18819745287983075</v>
          </cell>
          <cell r="U26">
            <v>5.9074568399093469E-5</v>
          </cell>
          <cell r="V26">
            <v>1.5740318936381982E-2</v>
          </cell>
          <cell r="W26">
            <v>9.9500129762784099E-3</v>
          </cell>
          <cell r="X26">
            <v>0</v>
          </cell>
          <cell r="Y26">
            <v>0</v>
          </cell>
        </row>
        <row r="27">
          <cell r="P27">
            <v>0</v>
          </cell>
          <cell r="Q27">
            <v>0</v>
          </cell>
          <cell r="R27">
            <v>-7.0833015526297849E-5</v>
          </cell>
          <cell r="S27">
            <v>0.61184831793213501</v>
          </cell>
          <cell r="T27">
            <v>0.36517842643746079</v>
          </cell>
          <cell r="U27">
            <v>5.5438002016640781E-5</v>
          </cell>
          <cell r="V27">
            <v>1.2152443404271029E-2</v>
          </cell>
          <cell r="W27">
            <v>1.0836207239642754E-2</v>
          </cell>
          <cell r="X27">
            <v>0</v>
          </cell>
          <cell r="Y27">
            <v>0</v>
          </cell>
        </row>
        <row r="28">
          <cell r="P28">
            <v>0</v>
          </cell>
          <cell r="Q28">
            <v>0</v>
          </cell>
          <cell r="R28">
            <v>-1.6756445682918427E-4</v>
          </cell>
          <cell r="S28">
            <v>0.46550671556396689</v>
          </cell>
          <cell r="T28">
            <v>0.51272962972815073</v>
          </cell>
          <cell r="U28">
            <v>5.3674024392545534E-5</v>
          </cell>
          <cell r="V28">
            <v>1.003892948193877E-2</v>
          </cell>
          <cell r="W28">
            <v>1.1838615658380219E-2</v>
          </cell>
          <cell r="X28">
            <v>0</v>
          </cell>
          <cell r="Y28">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AMH"/>
    </sheetNames>
    <sheetDataSet>
      <sheetData sheetId="0"/>
      <sheetData sheetId="1"/>
      <sheetData sheetId="2">
        <row r="33">
          <cell r="H33">
            <v>4135.3395287573403</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Claim Triangle"/>
      <sheetName val="Completion Factors"/>
      <sheetName val="Premium"/>
      <sheetName val="PL"/>
      <sheetName val="Summary"/>
      <sheetName val="Assume split"/>
      <sheetName val="PLAN LOOKUP"/>
    </sheetNames>
    <sheetDataSet>
      <sheetData sheetId="0"/>
      <sheetData sheetId="1"/>
      <sheetData sheetId="2"/>
      <sheetData sheetId="3"/>
      <sheetData sheetId="4"/>
      <sheetData sheetId="5"/>
      <sheetData sheetId="6">
        <row r="35">
          <cell r="H35">
            <v>7.4999999999999997E-2</v>
          </cell>
        </row>
        <row r="36">
          <cell r="H36">
            <v>2852.8990141421973</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GBR"/>
    </sheetNames>
    <sheetDataSet>
      <sheetData sheetId="0"/>
      <sheetData sheetId="1"/>
      <sheetData sheetId="2">
        <row r="33">
          <cell r="H33">
            <v>29496.374349963371</v>
          </cell>
        </row>
      </sheetData>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CL_Split_By_LOB"/>
      <sheetName val="EOB Information"/>
      <sheetName val="PT"/>
      <sheetName val="Summary"/>
      <sheetName val="Completion Factors"/>
      <sheetName val="Premium"/>
      <sheetName val="PL"/>
    </sheetNames>
    <sheetDataSet>
      <sheetData sheetId="0"/>
      <sheetData sheetId="1"/>
      <sheetData sheetId="2"/>
      <sheetData sheetId="3"/>
      <sheetData sheetId="4">
        <row r="35">
          <cell r="H35">
            <v>7.4999999999999997E-2</v>
          </cell>
        </row>
        <row r="36">
          <cell r="H36">
            <v>46527.596958871203</v>
          </cell>
        </row>
      </sheetData>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GTL"/>
    </sheetNames>
    <sheetDataSet>
      <sheetData sheetId="0"/>
      <sheetData sheetId="1"/>
      <sheetData sheetId="2">
        <row r="33">
          <cell r="H33">
            <v>149008.88806218689</v>
          </cell>
        </row>
      </sheetData>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L_By_LOB"/>
      <sheetName val="EOB"/>
      <sheetName val="Plan_Code_Table"/>
      <sheetName val="Claim Triangle"/>
      <sheetName val="Completion Factors"/>
      <sheetName val="Premium"/>
      <sheetName val="Summary"/>
      <sheetName val="Split"/>
      <sheetName val="PL"/>
    </sheetNames>
    <sheetDataSet>
      <sheetData sheetId="0"/>
      <sheetData sheetId="1"/>
      <sheetData sheetId="2"/>
      <sheetData sheetId="3"/>
      <sheetData sheetId="4"/>
      <sheetData sheetId="5"/>
      <sheetData sheetId="6"/>
      <sheetData sheetId="7">
        <row r="35">
          <cell r="H35">
            <v>7.4999999999999997E-2</v>
          </cell>
        </row>
        <row r="36">
          <cell r="H36">
            <v>88593.393911147272</v>
          </cell>
        </row>
      </sheetData>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Julia Oranias" id="{FC6D6499-D49C-4EF0-B72D-3446266526EE}" userId="S::joranias@actrisk.com::f83fb233-9eca-431f-9d3a-a35e583d3cea" providerId="AD"/>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1" dT="2024-10-08T17:48:23.40" personId="{FC6D6499-D49C-4EF0-B72D-3446266526EE}" id="{1B03B1B4-47AE-484A-985F-89FB3AF1A870}">
    <text>Unified has not booked the 507k reserve for LL according to Kevin’s email</text>
  </threadedComment>
  <threadedComment ref="J11" dT="2024-10-08T17:48:23.40" personId="{FC6D6499-D49C-4EF0-B72D-3446266526EE}" id="{4EA062A0-BE3E-4ACB-98F3-2F60190870C5}">
    <text>Unified has not booked the 507k reserve for LL according to Kevin’s email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8D66-6A3A-466E-8973-92ABD33CCFF7}">
  <dimension ref="A1:P18"/>
  <sheetViews>
    <sheetView tabSelected="1" topLeftCell="A10" workbookViewId="0">
      <selection activeCell="E18" sqref="E18"/>
    </sheetView>
  </sheetViews>
  <sheetFormatPr defaultRowHeight="11.5" x14ac:dyDescent="0.25"/>
  <cols>
    <col min="1" max="1" width="15.875" bestFit="1" customWidth="1"/>
    <col min="2" max="2" width="14.875" bestFit="1" customWidth="1"/>
    <col min="3" max="3" width="15.5" bestFit="1" customWidth="1"/>
    <col min="4" max="4" width="12.5" bestFit="1" customWidth="1"/>
    <col min="5" max="5" width="21" bestFit="1" customWidth="1"/>
    <col min="7" max="7" width="23.25" bestFit="1" customWidth="1"/>
    <col min="8" max="9" width="18.25" customWidth="1"/>
    <col min="10" max="10" width="23.25" bestFit="1" customWidth="1"/>
    <col min="11" max="12" width="18.25" customWidth="1"/>
    <col min="13" max="13" width="34" customWidth="1"/>
    <col min="14" max="14" width="3.875" customWidth="1"/>
    <col min="15" max="15" width="40.25" bestFit="1" customWidth="1"/>
    <col min="16" max="16" width="13.625" bestFit="1" customWidth="1"/>
  </cols>
  <sheetData>
    <row r="1" spans="1:16" ht="12" x14ac:dyDescent="0.3">
      <c r="A1" s="1" t="s">
        <v>0</v>
      </c>
      <c r="B1" s="1" t="s">
        <v>1</v>
      </c>
      <c r="C1" s="1" t="s">
        <v>2</v>
      </c>
      <c r="D1" s="1" t="s">
        <v>3</v>
      </c>
      <c r="E1" s="1" t="s">
        <v>4</v>
      </c>
      <c r="G1" s="2" t="s">
        <v>32</v>
      </c>
      <c r="H1" s="2" t="s">
        <v>22</v>
      </c>
      <c r="I1" s="2" t="s">
        <v>23</v>
      </c>
      <c r="J1" s="2" t="s">
        <v>27</v>
      </c>
      <c r="K1" s="2" t="s">
        <v>22</v>
      </c>
      <c r="L1" s="2" t="s">
        <v>23</v>
      </c>
      <c r="M1" s="2" t="s">
        <v>24</v>
      </c>
      <c r="O1" s="2" t="s">
        <v>21</v>
      </c>
      <c r="P1" s="2" t="s">
        <v>26</v>
      </c>
    </row>
    <row r="2" spans="1:16" x14ac:dyDescent="0.25">
      <c r="A2" t="s">
        <v>5</v>
      </c>
      <c r="B2" s="9">
        <f>+[1]Summary!$H$33</f>
        <v>9899.9021167816118</v>
      </c>
      <c r="C2" s="4">
        <f>+[2]Summary!$H$35</f>
        <v>7.4999999999999997E-2</v>
      </c>
      <c r="D2" s="8">
        <f>+B2*C2</f>
        <v>742.49265875862091</v>
      </c>
      <c r="E2" s="8">
        <f>+B2+D2</f>
        <v>10642.394775540233</v>
      </c>
      <c r="G2" s="9">
        <f>+[3]Summary!E2</f>
        <v>8631.7475542030043</v>
      </c>
      <c r="H2" s="9">
        <f>+E2-G2</f>
        <v>2010.647221337229</v>
      </c>
      <c r="I2" s="10">
        <f>+H2/G2</f>
        <v>0.23293628650645568</v>
      </c>
      <c r="J2" s="9">
        <f>+[2]Summary!$H$36</f>
        <v>10194.181693825194</v>
      </c>
      <c r="K2" s="9">
        <f>+E2-J2</f>
        <v>448.21308171503915</v>
      </c>
      <c r="L2" s="10">
        <f>+K2/J2</f>
        <v>4.3967539050881362E-2</v>
      </c>
      <c r="M2" s="11"/>
      <c r="O2" t="s">
        <v>28</v>
      </c>
      <c r="P2" s="9" t="s">
        <v>25</v>
      </c>
    </row>
    <row r="3" spans="1:16" x14ac:dyDescent="0.25">
      <c r="A3" t="s">
        <v>6</v>
      </c>
      <c r="B3" s="9">
        <f>+[4]Summary!$H$33</f>
        <v>4135.3395287573403</v>
      </c>
      <c r="C3" s="3">
        <f>+[5]Summary!$H$35</f>
        <v>7.4999999999999997E-2</v>
      </c>
      <c r="D3" s="8">
        <f t="shared" ref="D3:D16" si="0">+B3*C3</f>
        <v>310.15046465680052</v>
      </c>
      <c r="E3" s="8">
        <f t="shared" ref="E3:E16" si="1">+B3+D3</f>
        <v>4445.4899934141413</v>
      </c>
      <c r="G3" s="9">
        <f>+[3]Summary!E3</f>
        <v>2852.5798682179311</v>
      </c>
      <c r="H3" s="9">
        <f t="shared" ref="H3:H16" si="2">+E3-G3</f>
        <v>1592.9101251962102</v>
      </c>
      <c r="I3" s="10">
        <f t="shared" ref="I3:I16" si="3">+H3/G3</f>
        <v>0.55841035090503388</v>
      </c>
      <c r="J3" s="9">
        <f>+[5]Summary!$H$36</f>
        <v>2852.8990141421973</v>
      </c>
      <c r="K3" s="9">
        <f t="shared" ref="K3:K16" si="4">+E3-J3</f>
        <v>1592.590979271944</v>
      </c>
      <c r="L3" s="10">
        <f t="shared" ref="L3:L16" si="5">+K3/J3</f>
        <v>0.55823601584818117</v>
      </c>
      <c r="M3" s="11"/>
      <c r="O3" t="s">
        <v>29</v>
      </c>
      <c r="P3" s="9" t="s">
        <v>25</v>
      </c>
    </row>
    <row r="4" spans="1:16" x14ac:dyDescent="0.25">
      <c r="A4" t="s">
        <v>15</v>
      </c>
      <c r="B4" s="9">
        <f>+[6]Summary!$H$33</f>
        <v>29496.374349963371</v>
      </c>
      <c r="C4" s="3">
        <f>+[7]Summary!$H$35</f>
        <v>7.4999999999999997E-2</v>
      </c>
      <c r="D4" s="8">
        <f t="shared" si="0"/>
        <v>2212.2280762472528</v>
      </c>
      <c r="E4" s="8">
        <f t="shared" si="1"/>
        <v>31708.602426210622</v>
      </c>
      <c r="G4" s="9">
        <f>+[3]Summary!E4</f>
        <v>49112.790852981903</v>
      </c>
      <c r="H4" s="9">
        <f t="shared" si="2"/>
        <v>-17404.188426771281</v>
      </c>
      <c r="I4" s="10">
        <f t="shared" si="3"/>
        <v>-0.35437180670246066</v>
      </c>
      <c r="J4" s="9">
        <f>+[7]Summary!$H$36</f>
        <v>46527.596958871203</v>
      </c>
      <c r="K4" s="9">
        <f t="shared" si="4"/>
        <v>-14818.994532660581</v>
      </c>
      <c r="L4" s="10">
        <f t="shared" si="5"/>
        <v>-0.31849903070988306</v>
      </c>
      <c r="M4" s="11"/>
      <c r="O4" t="s">
        <v>29</v>
      </c>
      <c r="P4" s="9" t="s">
        <v>25</v>
      </c>
    </row>
    <row r="5" spans="1:16" ht="46" x14ac:dyDescent="0.25">
      <c r="A5" t="s">
        <v>7</v>
      </c>
      <c r="B5" s="9">
        <f>+[8]Summary!$H$33</f>
        <v>149008.88806218689</v>
      </c>
      <c r="C5" s="3">
        <f>+[9]Summary!$H$35</f>
        <v>7.4999999999999997E-2</v>
      </c>
      <c r="D5" s="8">
        <f t="shared" si="0"/>
        <v>11175.666604664017</v>
      </c>
      <c r="E5" s="8">
        <f>+B5+D5</f>
        <v>160184.55466685089</v>
      </c>
      <c r="G5" s="9">
        <f>+[3]Summary!E5</f>
        <v>88425.599779025026</v>
      </c>
      <c r="H5" s="9">
        <f t="shared" si="2"/>
        <v>71758.954887825865</v>
      </c>
      <c r="I5" s="10">
        <f t="shared" si="3"/>
        <v>0.8115178756734589</v>
      </c>
      <c r="J5" s="9">
        <f>+[9]Summary!$H$36</f>
        <v>88593.393911147272</v>
      </c>
      <c r="K5" s="9">
        <f t="shared" si="4"/>
        <v>71591.160755703619</v>
      </c>
      <c r="L5" s="10">
        <f t="shared" si="5"/>
        <v>0.80808689672171652</v>
      </c>
      <c r="M5" s="11" t="s">
        <v>40</v>
      </c>
      <c r="O5" t="s">
        <v>29</v>
      </c>
      <c r="P5" s="9" t="s">
        <v>25</v>
      </c>
    </row>
    <row r="6" spans="1:16" ht="46" x14ac:dyDescent="0.25">
      <c r="A6" t="s">
        <v>8</v>
      </c>
      <c r="B6" s="9">
        <f>+[10]Summary!$H$33</f>
        <v>59342.781700745174</v>
      </c>
      <c r="C6" s="3">
        <f>+[11]Summary!$H$35</f>
        <v>7.4999999999999997E-2</v>
      </c>
      <c r="D6" s="8">
        <f t="shared" si="0"/>
        <v>4450.7086275558877</v>
      </c>
      <c r="E6" s="8">
        <f t="shared" si="1"/>
        <v>63793.490328301064</v>
      </c>
      <c r="G6" s="9">
        <f>+[3]Summary!E6</f>
        <v>33054.387942767222</v>
      </c>
      <c r="H6" s="9">
        <f t="shared" si="2"/>
        <v>30739.102385533843</v>
      </c>
      <c r="I6" s="10">
        <f t="shared" si="3"/>
        <v>0.92995527367675868</v>
      </c>
      <c r="J6" s="9">
        <f>+[11]Summary!$H$36</f>
        <v>32709.246771985087</v>
      </c>
      <c r="K6" s="9">
        <f t="shared" si="4"/>
        <v>31084.243556315978</v>
      </c>
      <c r="L6" s="10">
        <f t="shared" si="5"/>
        <v>0.95031976043358801</v>
      </c>
      <c r="M6" s="11" t="s">
        <v>33</v>
      </c>
      <c r="O6" t="s">
        <v>29</v>
      </c>
      <c r="P6" s="9" t="s">
        <v>25</v>
      </c>
    </row>
    <row r="7" spans="1:16" ht="34.5" x14ac:dyDescent="0.25">
      <c r="A7" t="s">
        <v>9</v>
      </c>
      <c r="B7" s="9">
        <f>+[12]Summary!$H$33</f>
        <v>54586.054880341093</v>
      </c>
      <c r="C7" s="3">
        <f>+[13]Summary!$H$35</f>
        <v>7.4999999999999997E-2</v>
      </c>
      <c r="D7" s="8">
        <f t="shared" si="0"/>
        <v>4093.9541160255817</v>
      </c>
      <c r="E7" s="8">
        <f t="shared" si="1"/>
        <v>58680.008996366676</v>
      </c>
      <c r="G7" s="9">
        <f>+[3]Summary!E7</f>
        <v>45180.636489733821</v>
      </c>
      <c r="H7" s="9">
        <f t="shared" si="2"/>
        <v>13499.372506632855</v>
      </c>
      <c r="I7" s="10">
        <f t="shared" si="3"/>
        <v>0.29878668286800814</v>
      </c>
      <c r="J7" s="9">
        <f>+[13]Summary!$H$36</f>
        <v>43941.36</v>
      </c>
      <c r="K7" s="9">
        <f t="shared" si="4"/>
        <v>14738.648996366675</v>
      </c>
      <c r="L7" s="10">
        <f t="shared" si="5"/>
        <v>0.33541631384114362</v>
      </c>
      <c r="M7" s="11" t="s">
        <v>39</v>
      </c>
      <c r="O7" t="s">
        <v>29</v>
      </c>
      <c r="P7" s="9" t="s">
        <v>25</v>
      </c>
    </row>
    <row r="8" spans="1:16" x14ac:dyDescent="0.25">
      <c r="A8" t="s">
        <v>10</v>
      </c>
      <c r="B8" s="9">
        <f>+[14]Summary!$H$33</f>
        <v>159811.34188432607</v>
      </c>
      <c r="C8" s="3">
        <f>+[15]Summary!$H$35</f>
        <v>7.4999999999999997E-2</v>
      </c>
      <c r="D8" s="8">
        <f t="shared" si="0"/>
        <v>11985.850641324456</v>
      </c>
      <c r="E8" s="8">
        <f t="shared" si="1"/>
        <v>171797.19252565052</v>
      </c>
      <c r="G8" s="9">
        <f>+[3]Summary!E8</f>
        <v>167297.80469924136</v>
      </c>
      <c r="H8" s="9">
        <f t="shared" si="2"/>
        <v>4499.3878264091618</v>
      </c>
      <c r="I8" s="10">
        <f t="shared" si="3"/>
        <v>2.6894482175052505E-2</v>
      </c>
      <c r="J8" s="9">
        <f>+[15]Summary!$H$36</f>
        <v>158653.1571364796</v>
      </c>
      <c r="K8" s="9">
        <f t="shared" si="4"/>
        <v>13144.035389170924</v>
      </c>
      <c r="L8" s="10">
        <f t="shared" si="5"/>
        <v>8.2847613160725919E-2</v>
      </c>
      <c r="M8" s="11"/>
      <c r="O8" t="s">
        <v>29</v>
      </c>
      <c r="P8" s="9" t="s">
        <v>25</v>
      </c>
    </row>
    <row r="9" spans="1:16" x14ac:dyDescent="0.25">
      <c r="A9" t="s">
        <v>11</v>
      </c>
      <c r="B9" s="9">
        <f>+[16]Summary!$H$33</f>
        <v>116949.45202442266</v>
      </c>
      <c r="C9" s="3">
        <f>+[17]Summary!$H$35</f>
        <v>7.4999999999999997E-2</v>
      </c>
      <c r="D9" s="20">
        <f t="shared" si="0"/>
        <v>8771.2089018316983</v>
      </c>
      <c r="E9" s="20">
        <f t="shared" si="1"/>
        <v>125720.66092625435</v>
      </c>
      <c r="G9" s="9">
        <f>+[3]Summary!E9</f>
        <v>163969.81611895896</v>
      </c>
      <c r="H9" s="9">
        <f t="shared" si="2"/>
        <v>-38249.155192704609</v>
      </c>
      <c r="I9" s="21">
        <f t="shared" si="3"/>
        <v>-0.23326948884882029</v>
      </c>
      <c r="J9" s="9">
        <f>+[17]Summary!$H$36</f>
        <v>167515.8389747378</v>
      </c>
      <c r="K9" s="9">
        <f t="shared" si="4"/>
        <v>-41795.178048483445</v>
      </c>
      <c r="L9" s="21">
        <f t="shared" si="5"/>
        <v>-0.24949985806886216</v>
      </c>
      <c r="M9" s="22"/>
      <c r="O9" t="s">
        <v>29</v>
      </c>
      <c r="P9" s="9" t="s">
        <v>25</v>
      </c>
    </row>
    <row r="10" spans="1:16" ht="46" x14ac:dyDescent="0.25">
      <c r="A10" t="s">
        <v>12</v>
      </c>
      <c r="B10" s="9">
        <f>+[18]Summary!$H$33</f>
        <v>77241.152313052589</v>
      </c>
      <c r="C10" s="3">
        <f>+[19]Summary!$H$35</f>
        <v>7.4999999999999997E-2</v>
      </c>
      <c r="D10" s="8">
        <f t="shared" si="0"/>
        <v>5793.0864234789442</v>
      </c>
      <c r="E10" s="8">
        <f t="shared" si="1"/>
        <v>83034.238736531537</v>
      </c>
      <c r="G10" s="9">
        <f>+[3]Summary!E10</f>
        <v>62332.1531384915</v>
      </c>
      <c r="H10" s="9">
        <f t="shared" si="2"/>
        <v>20702.085598040037</v>
      </c>
      <c r="I10" s="10">
        <f t="shared" si="3"/>
        <v>0.33212530861950984</v>
      </c>
      <c r="J10" s="9">
        <f>+[19]Summary!$H$36</f>
        <v>61403.00276625227</v>
      </c>
      <c r="K10" s="9">
        <f t="shared" si="4"/>
        <v>21631.235970279267</v>
      </c>
      <c r="L10" s="10">
        <f t="shared" si="5"/>
        <v>0.35228303170489278</v>
      </c>
      <c r="M10" s="11" t="s">
        <v>35</v>
      </c>
      <c r="O10" t="s">
        <v>29</v>
      </c>
      <c r="P10" s="9" t="s">
        <v>25</v>
      </c>
    </row>
    <row r="11" spans="1:16" x14ac:dyDescent="0.25">
      <c r="A11" t="s">
        <v>19</v>
      </c>
      <c r="B11" s="9">
        <f>+[20]Summary!$H$33</f>
        <v>47202.640584649504</v>
      </c>
      <c r="C11" s="5">
        <v>0.05</v>
      </c>
      <c r="D11" s="8">
        <f t="shared" si="0"/>
        <v>2360.1320292324754</v>
      </c>
      <c r="E11" s="8">
        <f t="shared" si="1"/>
        <v>49562.772613881978</v>
      </c>
      <c r="G11" s="13">
        <f>+[3]Summary!E11</f>
        <v>43650.86019604317</v>
      </c>
      <c r="H11" s="9">
        <f t="shared" si="2"/>
        <v>5911.9124178388083</v>
      </c>
      <c r="I11" s="10">
        <f t="shared" si="3"/>
        <v>0.1354363325553595</v>
      </c>
      <c r="J11" s="13">
        <f>+[21]Summary!$E$36-[21]Summary!$E$35</f>
        <v>121236.15000000002</v>
      </c>
      <c r="K11" s="9">
        <f t="shared" ref="K11" si="6">+E11-J11</f>
        <v>-71673.377386118053</v>
      </c>
      <c r="L11" s="10">
        <f t="shared" ref="L11" si="7">+K11/J11</f>
        <v>-0.59118816777106531</v>
      </c>
      <c r="M11" s="11"/>
      <c r="O11" t="s">
        <v>30</v>
      </c>
      <c r="P11" s="9" t="s">
        <v>25</v>
      </c>
    </row>
    <row r="12" spans="1:16" x14ac:dyDescent="0.25">
      <c r="A12" t="s">
        <v>20</v>
      </c>
      <c r="B12" s="9">
        <f>+[22]Summary!$H$33</f>
        <v>150.63000000000011</v>
      </c>
      <c r="C12" s="5">
        <v>0.05</v>
      </c>
      <c r="D12" s="8">
        <f t="shared" si="0"/>
        <v>7.5315000000000056</v>
      </c>
      <c r="E12" s="8">
        <f t="shared" si="1"/>
        <v>158.1615000000001</v>
      </c>
      <c r="G12" s="9">
        <f>+[3]Summary!E12</f>
        <v>7699.4075557553952</v>
      </c>
      <c r="H12" s="9">
        <f t="shared" si="2"/>
        <v>-7541.246055755395</v>
      </c>
      <c r="I12" s="10">
        <f t="shared" si="3"/>
        <v>-0.97945796493370807</v>
      </c>
      <c r="J12" s="9">
        <f>+[23]Summary!$E$36</f>
        <v>21308.7</v>
      </c>
      <c r="K12" s="9">
        <f t="shared" ref="K12" si="8">+E12-J12</f>
        <v>-21150.538500000002</v>
      </c>
      <c r="L12" s="10">
        <f t="shared" ref="L12" si="9">+K12/J12</f>
        <v>-0.99257760914556037</v>
      </c>
      <c r="M12" s="11"/>
      <c r="O12" t="s">
        <v>30</v>
      </c>
      <c r="P12" s="9" t="s">
        <v>25</v>
      </c>
    </row>
    <row r="13" spans="1:16" ht="57.5" x14ac:dyDescent="0.25">
      <c r="A13" t="s">
        <v>17</v>
      </c>
      <c r="B13" s="9">
        <f>+[24]Summary!$H$33</f>
        <v>14556</v>
      </c>
      <c r="C13" s="3">
        <f>+[25]Summary!$H$35</f>
        <v>7.4999999999999997E-2</v>
      </c>
      <c r="D13" s="8">
        <f t="shared" si="0"/>
        <v>1091.7</v>
      </c>
      <c r="E13" s="8">
        <f t="shared" si="1"/>
        <v>15647.7</v>
      </c>
      <c r="G13" s="9">
        <f>+[3]Summary!E13</f>
        <v>13668.394487239271</v>
      </c>
      <c r="H13" s="9">
        <f t="shared" si="2"/>
        <v>1979.3055127607295</v>
      </c>
      <c r="I13" s="10">
        <f t="shared" si="3"/>
        <v>0.14480892504299586</v>
      </c>
      <c r="J13" s="9">
        <f>+[25]Summary!$H$36</f>
        <v>22925.112714356808</v>
      </c>
      <c r="K13" s="9">
        <f t="shared" si="4"/>
        <v>-7277.4127143568076</v>
      </c>
      <c r="L13" s="10">
        <f t="shared" si="5"/>
        <v>-0.31744283245330968</v>
      </c>
      <c r="M13" s="11" t="s">
        <v>34</v>
      </c>
      <c r="O13" t="s">
        <v>29</v>
      </c>
      <c r="P13" s="9" t="s">
        <v>25</v>
      </c>
    </row>
    <row r="14" spans="1:16" ht="57.5" x14ac:dyDescent="0.25">
      <c r="A14" t="s">
        <v>18</v>
      </c>
      <c r="B14" s="9">
        <f>+[26]Summary!$H$33</f>
        <v>127399.97802731275</v>
      </c>
      <c r="C14" s="3">
        <f>+[27]Summary!$H$35</f>
        <v>7.4999999999999997E-2</v>
      </c>
      <c r="D14" s="8">
        <f t="shared" si="0"/>
        <v>9554.9983520484566</v>
      </c>
      <c r="E14" s="8">
        <f t="shared" si="1"/>
        <v>136954.97637936121</v>
      </c>
      <c r="G14" s="9" t="s">
        <v>25</v>
      </c>
      <c r="H14" s="9" t="s">
        <v>25</v>
      </c>
      <c r="I14" s="10" t="s">
        <v>25</v>
      </c>
      <c r="J14" s="9">
        <f>+[27]Summary!$H$36</f>
        <v>60621.568508703676</v>
      </c>
      <c r="K14" s="9">
        <f t="shared" si="4"/>
        <v>76333.407870657538</v>
      </c>
      <c r="L14" s="10">
        <f t="shared" si="5"/>
        <v>1.2591790306398629</v>
      </c>
      <c r="M14" s="11" t="s">
        <v>36</v>
      </c>
      <c r="O14" t="s">
        <v>29</v>
      </c>
      <c r="P14" s="9" t="s">
        <v>25</v>
      </c>
    </row>
    <row r="15" spans="1:16" ht="46" x14ac:dyDescent="0.25">
      <c r="A15" t="s">
        <v>13</v>
      </c>
      <c r="B15" s="9">
        <f>+[28]Summary!$L$33</f>
        <v>45959.696037607704</v>
      </c>
      <c r="C15" s="3">
        <f>+[29]Summary!$L$35</f>
        <v>7.4999999999999997E-2</v>
      </c>
      <c r="D15" s="8">
        <f t="shared" si="0"/>
        <v>3446.9772028205775</v>
      </c>
      <c r="E15" s="8">
        <f t="shared" si="1"/>
        <v>49406.673240428281</v>
      </c>
      <c r="G15" s="9">
        <f>+[3]Summary!E15</f>
        <v>75281.134751770049</v>
      </c>
      <c r="H15" s="9">
        <f t="shared" si="2"/>
        <v>-25874.461511341768</v>
      </c>
      <c r="I15" s="10">
        <f t="shared" si="3"/>
        <v>-0.34370445659008075</v>
      </c>
      <c r="J15" s="9">
        <f>+[29]Summary!$L$36</f>
        <v>70721.566596096614</v>
      </c>
      <c r="K15" s="9">
        <f t="shared" si="4"/>
        <v>-21314.893355668333</v>
      </c>
      <c r="L15" s="10">
        <f t="shared" si="5"/>
        <v>-0.30139170244066371</v>
      </c>
      <c r="M15" s="11" t="s">
        <v>37</v>
      </c>
      <c r="O15" t="s">
        <v>31</v>
      </c>
      <c r="P15" s="9" t="s">
        <v>25</v>
      </c>
    </row>
    <row r="16" spans="1:16" s="14" customFormat="1" ht="23" x14ac:dyDescent="0.25">
      <c r="A16" s="14" t="s">
        <v>16</v>
      </c>
      <c r="B16" s="15">
        <f>+[30]Summary!$H$33</f>
        <v>727932.98059375328</v>
      </c>
      <c r="C16" s="16">
        <f>+[31]Summary!$H$35</f>
        <v>7.4999999999999997E-2</v>
      </c>
      <c r="D16" s="17">
        <f t="shared" si="0"/>
        <v>54594.973544531495</v>
      </c>
      <c r="E16" s="17">
        <f t="shared" si="1"/>
        <v>782527.95413828478</v>
      </c>
      <c r="G16" s="15">
        <f>+[3]Summary!E16</f>
        <v>880192.11819421395</v>
      </c>
      <c r="H16" s="15">
        <f t="shared" si="2"/>
        <v>-97664.16405592917</v>
      </c>
      <c r="I16" s="18">
        <f t="shared" si="3"/>
        <v>-0.11095778073575026</v>
      </c>
      <c r="J16" s="15">
        <f>+[31]Summary!$H$36</f>
        <v>777303.67606529</v>
      </c>
      <c r="K16" s="15">
        <f t="shared" si="4"/>
        <v>5224.2780729947845</v>
      </c>
      <c r="L16" s="18">
        <f t="shared" si="5"/>
        <v>6.7210258150843596E-3</v>
      </c>
      <c r="M16" s="19" t="s">
        <v>38</v>
      </c>
      <c r="O16" s="14" t="s">
        <v>29</v>
      </c>
      <c r="P16" s="15" t="s">
        <v>25</v>
      </c>
    </row>
    <row r="17" spans="1:13" x14ac:dyDescent="0.25">
      <c r="B17" s="9"/>
      <c r="M17" s="12"/>
    </row>
    <row r="18" spans="1:13" x14ac:dyDescent="0.25">
      <c r="A18" s="6" t="s">
        <v>14</v>
      </c>
      <c r="B18" s="7">
        <f>+SUM(B2:B17)</f>
        <v>1623673.2121039</v>
      </c>
      <c r="C18" s="6"/>
      <c r="D18" s="7">
        <f>+SUM(D2:D17)</f>
        <v>120591.65914317625</v>
      </c>
      <c r="E18" s="7">
        <f>+SUM(E2:E17)</f>
        <v>1744264.8712470764</v>
      </c>
      <c r="F18" s="6"/>
      <c r="G18" s="7">
        <f>+SUM(G2:G17)</f>
        <v>1641349.4316286426</v>
      </c>
      <c r="H18" s="7">
        <f>+SUM(H2:H17)</f>
        <v>-34039.536760927498</v>
      </c>
      <c r="I18" s="10">
        <f>+H18/G18</f>
        <v>-2.0738750752879894E-2</v>
      </c>
      <c r="J18" s="7">
        <f>+SUM(J2:J17)</f>
        <v>1686507.4511118878</v>
      </c>
      <c r="K18" s="7">
        <f>+SUM(K2:K17)</f>
        <v>57757.420135188542</v>
      </c>
      <c r="L18" s="10">
        <f>+K18/J18</f>
        <v>3.4246762501470115E-2</v>
      </c>
      <c r="M18" s="1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008F-CC6D-4C08-B206-EDDC0B61AD88}">
  <dimension ref="A1:M29"/>
  <sheetViews>
    <sheetView topLeftCell="A4" workbookViewId="0">
      <selection activeCell="B9" sqref="B9"/>
    </sheetView>
  </sheetViews>
  <sheetFormatPr defaultRowHeight="11.5" x14ac:dyDescent="0.25"/>
  <cols>
    <col min="2" max="2" width="11.125" bestFit="1" customWidth="1"/>
    <col min="3" max="4" width="7.75" bestFit="1" customWidth="1"/>
    <col min="5" max="5" width="9.125" bestFit="1" customWidth="1"/>
    <col min="6" max="7" width="11.125" bestFit="1" customWidth="1"/>
    <col min="8" max="8" width="16" bestFit="1" customWidth="1"/>
    <col min="9" max="12" width="12.25" bestFit="1" customWidth="1"/>
    <col min="13" max="13" width="11.125" bestFit="1" customWidth="1"/>
  </cols>
  <sheetData>
    <row r="1" spans="1:13" x14ac:dyDescent="0.25">
      <c r="C1" s="24"/>
    </row>
    <row r="2" spans="1:13" x14ac:dyDescent="0.25">
      <c r="A2" s="28" t="s">
        <v>41</v>
      </c>
      <c r="B2" s="29" t="s">
        <v>43</v>
      </c>
      <c r="C2" s="30"/>
      <c r="D2" s="30"/>
      <c r="E2" s="30"/>
      <c r="F2" s="30"/>
      <c r="G2" s="30"/>
      <c r="H2" s="30"/>
      <c r="I2" s="30"/>
      <c r="J2" s="30"/>
      <c r="K2" s="30"/>
      <c r="L2" s="31"/>
    </row>
    <row r="3" spans="1:13" x14ac:dyDescent="0.25">
      <c r="A3" s="32" t="s">
        <v>42</v>
      </c>
      <c r="B3" s="27" t="s">
        <v>44</v>
      </c>
      <c r="C3" s="6" t="s">
        <v>45</v>
      </c>
      <c r="D3" s="6" t="s">
        <v>46</v>
      </c>
      <c r="E3" s="6" t="s">
        <v>47</v>
      </c>
      <c r="F3" s="6" t="s">
        <v>48</v>
      </c>
      <c r="G3" s="6" t="s">
        <v>49</v>
      </c>
      <c r="H3" s="6" t="s">
        <v>50</v>
      </c>
      <c r="I3" s="6" t="s">
        <v>51</v>
      </c>
      <c r="J3" s="6" t="s">
        <v>52</v>
      </c>
      <c r="K3" s="6" t="s">
        <v>53</v>
      </c>
      <c r="L3" s="33" t="s">
        <v>54</v>
      </c>
      <c r="M3" t="s">
        <v>55</v>
      </c>
    </row>
    <row r="4" spans="1:13" x14ac:dyDescent="0.25">
      <c r="A4" s="34" t="s">
        <v>56</v>
      </c>
      <c r="B4" s="35">
        <f>+SUM(B5:B28)</f>
        <v>727932.98059375328</v>
      </c>
      <c r="C4" s="35">
        <f>+SUM(C5:C28)</f>
        <v>563.1136990524152</v>
      </c>
      <c r="D4" s="35">
        <f t="shared" ref="D4:M4" si="0">+SUM(D5:D28)</f>
        <v>-15.329876538315148</v>
      </c>
      <c r="E4" s="35">
        <f t="shared" si="0"/>
        <v>26666.829322710328</v>
      </c>
      <c r="F4" s="35">
        <f t="shared" si="0"/>
        <v>468412.40675781289</v>
      </c>
      <c r="G4" s="35">
        <f t="shared" si="0"/>
        <v>213866.5751040953</v>
      </c>
      <c r="H4" s="35">
        <f t="shared" si="0"/>
        <v>39.336162957554983</v>
      </c>
      <c r="I4" s="35">
        <f t="shared" si="0"/>
        <v>11207.779272302101</v>
      </c>
      <c r="J4" s="35">
        <f t="shared" si="0"/>
        <v>6558.1907854138062</v>
      </c>
      <c r="K4" s="35">
        <f t="shared" si="0"/>
        <v>9.8914128629633371</v>
      </c>
      <c r="L4" s="36">
        <f t="shared" si="0"/>
        <v>624.1879530842549</v>
      </c>
      <c r="M4" s="37">
        <f t="shared" si="0"/>
        <v>0</v>
      </c>
    </row>
    <row r="5" spans="1:13" x14ac:dyDescent="0.25">
      <c r="A5" s="23">
        <f>+[30]Summary!A8</f>
        <v>44562</v>
      </c>
      <c r="B5" s="24">
        <f>+[30]Summary!H8</f>
        <v>0</v>
      </c>
      <c r="C5" s="25">
        <f>+$B5*[32]Allocation!P5</f>
        <v>0</v>
      </c>
      <c r="D5" s="25">
        <f>+$B5*[32]Allocation!Q5</f>
        <v>0</v>
      </c>
      <c r="E5" s="25">
        <f>+$B5*[32]Allocation!R5</f>
        <v>0</v>
      </c>
      <c r="F5" s="25">
        <f>+$B5*[32]Allocation!S5</f>
        <v>0</v>
      </c>
      <c r="G5" s="25">
        <f>+$B5*[32]Allocation!T5</f>
        <v>0</v>
      </c>
      <c r="H5" s="25">
        <f>+$B5*[32]Allocation!U5</f>
        <v>0</v>
      </c>
      <c r="I5" s="25">
        <f>+$B5*[32]Allocation!V5</f>
        <v>0</v>
      </c>
      <c r="J5" s="25">
        <f>+$B5*[32]Allocation!W5</f>
        <v>0</v>
      </c>
      <c r="K5" s="25">
        <f>+$B5*[32]Allocation!X5</f>
        <v>0</v>
      </c>
      <c r="L5" s="25">
        <f>+$B5*[32]Allocation!Y5</f>
        <v>0</v>
      </c>
      <c r="M5" s="26">
        <f>+B5-SUM(C5:L5)</f>
        <v>0</v>
      </c>
    </row>
    <row r="6" spans="1:13" x14ac:dyDescent="0.25">
      <c r="A6" s="23">
        <f>+[30]Summary!A9</f>
        <v>44593</v>
      </c>
      <c r="B6" s="24">
        <f>+[30]Summary!H9</f>
        <v>350.96281627865392</v>
      </c>
      <c r="C6" s="25">
        <f>+$B6*[32]Allocation!P6</f>
        <v>111.50311514375898</v>
      </c>
      <c r="D6" s="25">
        <f>+$B6*[32]Allocation!Q6</f>
        <v>0</v>
      </c>
      <c r="E6" s="25">
        <f>+$B6*[32]Allocation!R6</f>
        <v>219.52571903142899</v>
      </c>
      <c r="F6" s="25">
        <f>+$B6*[32]Allocation!S6</f>
        <v>0</v>
      </c>
      <c r="G6" s="25">
        <f>+$B6*[32]Allocation!T6</f>
        <v>0</v>
      </c>
      <c r="H6" s="25">
        <f>+$B6*[32]Allocation!U6</f>
        <v>2.0063210126548856E-2</v>
      </c>
      <c r="I6" s="25">
        <f>+$B6*[32]Allocation!V6</f>
        <v>0</v>
      </c>
      <c r="J6" s="25">
        <f>+$B6*[32]Allocation!W6</f>
        <v>0</v>
      </c>
      <c r="K6" s="25">
        <f>+$B6*[32]Allocation!X6</f>
        <v>4.9197375308771409</v>
      </c>
      <c r="L6" s="25">
        <f>+$B6*[32]Allocation!Y6</f>
        <v>14.994181362462269</v>
      </c>
      <c r="M6" s="26">
        <f t="shared" ref="M6:M28" si="1">+B6-SUM(C6:L6)</f>
        <v>0</v>
      </c>
    </row>
    <row r="7" spans="1:13" x14ac:dyDescent="0.25">
      <c r="A7" s="23">
        <f>+[30]Summary!A10</f>
        <v>44621</v>
      </c>
      <c r="B7" s="24">
        <f>+[30]Summary!H10</f>
        <v>434.77503928367514</v>
      </c>
      <c r="C7" s="25">
        <f>+$B7*[32]Allocation!P7</f>
        <v>113.60468145460641</v>
      </c>
      <c r="D7" s="25">
        <f>+$B7*[32]Allocation!Q7</f>
        <v>0</v>
      </c>
      <c r="E7" s="25">
        <f>+$B7*[32]Allocation!R7</f>
        <v>297.85425247844216</v>
      </c>
      <c r="F7" s="25">
        <f>+$B7*[32]Allocation!S7</f>
        <v>0</v>
      </c>
      <c r="G7" s="25">
        <f>+$B7*[32]Allocation!T7</f>
        <v>0</v>
      </c>
      <c r="H7" s="25">
        <f>+$B7*[32]Allocation!U7</f>
        <v>2.4697456747992379E-2</v>
      </c>
      <c r="I7" s="25">
        <f>+$B7*[32]Allocation!V7</f>
        <v>0</v>
      </c>
      <c r="J7" s="25">
        <f>+$B7*[32]Allocation!W7</f>
        <v>0</v>
      </c>
      <c r="K7" s="25">
        <f>+$B7*[32]Allocation!X7</f>
        <v>3.0372784073174968</v>
      </c>
      <c r="L7" s="25">
        <f>+$B7*[32]Allocation!Y7</f>
        <v>20.254129486561098</v>
      </c>
      <c r="M7" s="26">
        <f t="shared" si="1"/>
        <v>0</v>
      </c>
    </row>
    <row r="8" spans="1:13" x14ac:dyDescent="0.25">
      <c r="A8" s="23">
        <f>+[30]Summary!A11</f>
        <v>44652</v>
      </c>
      <c r="B8" s="24">
        <f>+[30]Summary!H11</f>
        <v>401.40382916966337</v>
      </c>
      <c r="C8" s="25">
        <f>+$B8*[32]Allocation!P8</f>
        <v>82.379755410334525</v>
      </c>
      <c r="D8" s="25">
        <f>+$B8*[32]Allocation!Q8</f>
        <v>0</v>
      </c>
      <c r="E8" s="25">
        <f>+$B8*[32]Allocation!R8</f>
        <v>297.98341085171938</v>
      </c>
      <c r="F8" s="25">
        <f>+$B8*[32]Allocation!S8</f>
        <v>0</v>
      </c>
      <c r="G8" s="25">
        <f>+$B8*[32]Allocation!T8</f>
        <v>0</v>
      </c>
      <c r="H8" s="25">
        <f>+$B8*[32]Allocation!U8</f>
        <v>2.3384187697674863E-2</v>
      </c>
      <c r="I8" s="25">
        <f>+$B8*[32]Allocation!V8</f>
        <v>0</v>
      </c>
      <c r="J8" s="25">
        <f>+$B8*[32]Allocation!W8</f>
        <v>0</v>
      </c>
      <c r="K8" s="25">
        <f>+$B8*[32]Allocation!X8</f>
        <v>1.666334095512503</v>
      </c>
      <c r="L8" s="25">
        <f>+$B8*[32]Allocation!Y8</f>
        <v>19.350944624399283</v>
      </c>
      <c r="M8" s="26">
        <f t="shared" si="1"/>
        <v>0</v>
      </c>
    </row>
    <row r="9" spans="1:13" x14ac:dyDescent="0.25">
      <c r="A9" s="23">
        <f>+[30]Summary!A12</f>
        <v>44682</v>
      </c>
      <c r="B9" s="24">
        <f>+[30]Summary!H12</f>
        <v>441.19344954768894</v>
      </c>
      <c r="C9" s="25">
        <f>+$B9*[32]Allocation!P9</f>
        <v>69.992659373558936</v>
      </c>
      <c r="D9" s="25">
        <f>+$B9*[32]Allocation!Q9</f>
        <v>0</v>
      </c>
      <c r="E9" s="25">
        <f>+$B9*[32]Allocation!R9</f>
        <v>348.62428499416836</v>
      </c>
      <c r="F9" s="25">
        <f>+$B9*[32]Allocation!S9</f>
        <v>0</v>
      </c>
      <c r="G9" s="25">
        <f>+$B9*[32]Allocation!T9</f>
        <v>0</v>
      </c>
      <c r="H9" s="25">
        <f>+$B9*[32]Allocation!U9</f>
        <v>2.6288616036352911E-2</v>
      </c>
      <c r="I9" s="25">
        <f>+$B9*[32]Allocation!V9</f>
        <v>0</v>
      </c>
      <c r="J9" s="25">
        <f>+$B9*[32]Allocation!W9</f>
        <v>0</v>
      </c>
      <c r="K9" s="25">
        <f>+$B9*[32]Allocation!X9</f>
        <v>0.26806282925619634</v>
      </c>
      <c r="L9" s="25">
        <f>+$B9*[32]Allocation!Y9</f>
        <v>22.282153734669016</v>
      </c>
      <c r="M9" s="26">
        <f t="shared" si="1"/>
        <v>0</v>
      </c>
    </row>
    <row r="10" spans="1:13" x14ac:dyDescent="0.25">
      <c r="A10" s="23">
        <f>+[30]Summary!A13</f>
        <v>44713</v>
      </c>
      <c r="B10" s="24">
        <f>+[30]Summary!H13</f>
        <v>421.47293368939427</v>
      </c>
      <c r="C10" s="25">
        <f>+$B10*[32]Allocation!P10</f>
        <v>49.46944929052605</v>
      </c>
      <c r="D10" s="25">
        <f>+$B10*[32]Allocation!Q10</f>
        <v>0</v>
      </c>
      <c r="E10" s="25">
        <f>+$B10*[32]Allocation!R10</f>
        <v>350.85194332199376</v>
      </c>
      <c r="F10" s="25">
        <f>+$B10*[32]Allocation!S10</f>
        <v>0</v>
      </c>
      <c r="G10" s="25">
        <f>+$B10*[32]Allocation!T10</f>
        <v>0</v>
      </c>
      <c r="H10" s="25">
        <f>+$B10*[32]Allocation!U10</f>
        <v>2.5687898815483043E-2</v>
      </c>
      <c r="I10" s="25">
        <f>+$B10*[32]Allocation!V10</f>
        <v>0.80441768663773427</v>
      </c>
      <c r="J10" s="25">
        <f>+$B10*[32]Allocation!W10</f>
        <v>0</v>
      </c>
      <c r="K10" s="25">
        <f>+$B10*[32]Allocation!X10</f>
        <v>0</v>
      </c>
      <c r="L10" s="25">
        <f>+$B10*[32]Allocation!Y10</f>
        <v>20.321435491421258</v>
      </c>
      <c r="M10" s="26">
        <f t="shared" si="1"/>
        <v>0</v>
      </c>
    </row>
    <row r="11" spans="1:13" x14ac:dyDescent="0.25">
      <c r="A11" s="23">
        <f>+[30]Summary!A14</f>
        <v>44743</v>
      </c>
      <c r="B11" s="24">
        <f>+[30]Summary!H14</f>
        <v>1271.9250323464803</v>
      </c>
      <c r="C11" s="25">
        <f>+$B11*[32]Allocation!P11</f>
        <v>98.9649039757916</v>
      </c>
      <c r="D11" s="25">
        <f>+$B11*[32]Allocation!Q11</f>
        <v>-0.19572136554187217</v>
      </c>
      <c r="E11" s="25">
        <f>+$B11*[32]Allocation!R11</f>
        <v>1112.0590216076607</v>
      </c>
      <c r="F11" s="25">
        <f>+$B11*[32]Allocation!S11</f>
        <v>0</v>
      </c>
      <c r="G11" s="25">
        <f>+$B11*[32]Allocation!T11</f>
        <v>0</v>
      </c>
      <c r="H11" s="25">
        <f>+$B11*[32]Allocation!U11</f>
        <v>7.8137571258920735E-2</v>
      </c>
      <c r="I11" s="25">
        <f>+$B11*[32]Allocation!V11</f>
        <v>7.5176666447161189</v>
      </c>
      <c r="J11" s="25">
        <f>+$B11*[32]Allocation!W11</f>
        <v>0</v>
      </c>
      <c r="K11" s="25">
        <f>+$B11*[32]Allocation!X11</f>
        <v>0</v>
      </c>
      <c r="L11" s="25">
        <f>+$B11*[32]Allocation!Y11</f>
        <v>53.501023912594626</v>
      </c>
      <c r="M11" s="26">
        <f t="shared" si="1"/>
        <v>0</v>
      </c>
    </row>
    <row r="12" spans="1:13" x14ac:dyDescent="0.25">
      <c r="A12" s="23">
        <f>+[30]Summary!A15</f>
        <v>44774</v>
      </c>
      <c r="B12" s="24">
        <f>+[30]Summary!H15</f>
        <v>1818.863938857452</v>
      </c>
      <c r="C12" s="25">
        <f>+$B12*[32]Allocation!P12</f>
        <v>57.788020980146733</v>
      </c>
      <c r="D12" s="25">
        <f>+$B12*[32]Allocation!Q12</f>
        <v>0</v>
      </c>
      <c r="E12" s="25">
        <f>+$B12*[32]Allocation!R12</f>
        <v>1674.0367537518568</v>
      </c>
      <c r="F12" s="25">
        <f>+$B12*[32]Allocation!S12</f>
        <v>2.8289595944563781</v>
      </c>
      <c r="G12" s="25">
        <f>+$B12*[32]Allocation!T12</f>
        <v>0</v>
      </c>
      <c r="H12" s="25">
        <f>+$B12*[32]Allocation!U12</f>
        <v>0.11191796920486839</v>
      </c>
      <c r="I12" s="25">
        <f>+$B12*[32]Allocation!V12</f>
        <v>18.802759667416041</v>
      </c>
      <c r="J12" s="25">
        <f>+$B12*[32]Allocation!W12</f>
        <v>0</v>
      </c>
      <c r="K12" s="25">
        <f>+$B12*[32]Allocation!X12</f>
        <v>0</v>
      </c>
      <c r="L12" s="25">
        <f>+$B12*[32]Allocation!Y12</f>
        <v>65.295526894371278</v>
      </c>
      <c r="M12" s="26">
        <f t="shared" si="1"/>
        <v>0</v>
      </c>
    </row>
    <row r="13" spans="1:13" x14ac:dyDescent="0.25">
      <c r="A13" s="23">
        <f>+[30]Summary!A16</f>
        <v>44805</v>
      </c>
      <c r="B13" s="24">
        <f>+[30]Summary!H16</f>
        <v>1519.2586687734292</v>
      </c>
      <c r="C13" s="25">
        <f>+$B13*[32]Allocation!P13</f>
        <v>-0.91893206804542826</v>
      </c>
      <c r="D13" s="25">
        <f>+$B13*[32]Allocation!Q13</f>
        <v>-0.3101157504015104</v>
      </c>
      <c r="E13" s="25">
        <f>+$B13*[32]Allocation!R13</f>
        <v>1419.2723167678569</v>
      </c>
      <c r="F13" s="25">
        <f>+$B13*[32]Allocation!S13</f>
        <v>31.433720694809352</v>
      </c>
      <c r="G13" s="25">
        <f>+$B13*[32]Allocation!T13</f>
        <v>0</v>
      </c>
      <c r="H13" s="25">
        <f>+$B13*[32]Allocation!U13</f>
        <v>9.5584967416583108E-2</v>
      </c>
      <c r="I13" s="25">
        <f>+$B13*[32]Allocation!V13</f>
        <v>22.53491760460275</v>
      </c>
      <c r="J13" s="25">
        <f>+$B13*[32]Allocation!W13</f>
        <v>0</v>
      </c>
      <c r="K13" s="25">
        <f>+$B13*[32]Allocation!X13</f>
        <v>0</v>
      </c>
      <c r="L13" s="25">
        <f>+$B13*[32]Allocation!Y13</f>
        <v>47.15117655719088</v>
      </c>
      <c r="M13" s="26">
        <f t="shared" si="1"/>
        <v>0</v>
      </c>
    </row>
    <row r="14" spans="1:13" x14ac:dyDescent="0.25">
      <c r="A14" s="23">
        <f>+[30]Summary!A17</f>
        <v>44835</v>
      </c>
      <c r="B14" s="24">
        <f>+[30]Summary!H17</f>
        <v>1536.784330858005</v>
      </c>
      <c r="C14" s="25">
        <f>+$B14*[32]Allocation!P14</f>
        <v>0</v>
      </c>
      <c r="D14" s="25">
        <f>+$B14*[32]Allocation!Q14</f>
        <v>0</v>
      </c>
      <c r="E14" s="25">
        <f>+$B14*[32]Allocation!R14</f>
        <v>1249.6251774377117</v>
      </c>
      <c r="F14" s="25">
        <f>+$B14*[32]Allocation!S14</f>
        <v>220.04869687807405</v>
      </c>
      <c r="G14" s="25">
        <f>+$B14*[32]Allocation!T14</f>
        <v>0</v>
      </c>
      <c r="H14" s="25">
        <f>+$B14*[32]Allocation!U14</f>
        <v>9.5832981030900863E-2</v>
      </c>
      <c r="I14" s="25">
        <f>+$B14*[32]Allocation!V14</f>
        <v>28.400616285308416</v>
      </c>
      <c r="J14" s="25">
        <f>+$B14*[32]Allocation!W14</f>
        <v>0</v>
      </c>
      <c r="K14" s="25">
        <f>+$B14*[32]Allocation!X14</f>
        <v>0</v>
      </c>
      <c r="L14" s="25">
        <f>+$B14*[32]Allocation!Y14</f>
        <v>38.614007275879885</v>
      </c>
      <c r="M14" s="26">
        <f t="shared" si="1"/>
        <v>0</v>
      </c>
    </row>
    <row r="15" spans="1:13" x14ac:dyDescent="0.25">
      <c r="A15" s="23">
        <f>+[30]Summary!A18</f>
        <v>44866</v>
      </c>
      <c r="B15" s="24">
        <f>+[30]Summary!H18</f>
        <v>1923.5619905709464</v>
      </c>
      <c r="C15" s="25">
        <f>+$B15*[32]Allocation!P15</f>
        <v>0</v>
      </c>
      <c r="D15" s="25">
        <f>+$B15*[32]Allocation!Q15</f>
        <v>0</v>
      </c>
      <c r="E15" s="25">
        <f>+$B15*[32]Allocation!R15</f>
        <v>1258.0800122116775</v>
      </c>
      <c r="F15" s="25">
        <f>+$B15*[32]Allocation!S15</f>
        <v>583.49988207224999</v>
      </c>
      <c r="G15" s="25">
        <f>+$B15*[32]Allocation!T15</f>
        <v>0</v>
      </c>
      <c r="H15" s="25">
        <f>+$B15*[32]Allocation!U15</f>
        <v>0.11902729397309632</v>
      </c>
      <c r="I15" s="25">
        <f>+$B15*[32]Allocation!V15</f>
        <v>41.670662186241344</v>
      </c>
      <c r="J15" s="25">
        <f>+$B15*[32]Allocation!W15</f>
        <v>0</v>
      </c>
      <c r="K15" s="25">
        <f>+$B15*[32]Allocation!X15</f>
        <v>0</v>
      </c>
      <c r="L15" s="25">
        <f>+$B15*[32]Allocation!Y15</f>
        <v>40.192406806804485</v>
      </c>
      <c r="M15" s="26">
        <f t="shared" si="1"/>
        <v>0</v>
      </c>
    </row>
    <row r="16" spans="1:13" x14ac:dyDescent="0.25">
      <c r="A16" s="23">
        <f>+[30]Summary!A19</f>
        <v>44896</v>
      </c>
      <c r="B16" s="24">
        <f>+[30]Summary!H19</f>
        <v>2072.4077692975989</v>
      </c>
      <c r="C16" s="25">
        <f>+$B16*[32]Allocation!P16</f>
        <v>0</v>
      </c>
      <c r="D16" s="25">
        <f>+$B16*[32]Allocation!Q16</f>
        <v>0</v>
      </c>
      <c r="E16" s="25">
        <f>+$B16*[32]Allocation!R16</f>
        <v>1053.5810878646312</v>
      </c>
      <c r="F16" s="25">
        <f>+$B16*[32]Allocation!S16</f>
        <v>936.65814842347538</v>
      </c>
      <c r="G16" s="25">
        <f>+$B16*[32]Allocation!T16</f>
        <v>0</v>
      </c>
      <c r="H16" s="25">
        <f>+$B16*[32]Allocation!U16</f>
        <v>0.12481058349617086</v>
      </c>
      <c r="I16" s="25">
        <f>+$B16*[32]Allocation!V16</f>
        <v>46.85261851418749</v>
      </c>
      <c r="J16" s="25">
        <f>+$B16*[32]Allocation!W16</f>
        <v>0</v>
      </c>
      <c r="K16" s="25">
        <f>+$B16*[32]Allocation!X16</f>
        <v>0</v>
      </c>
      <c r="L16" s="25">
        <f>+$B16*[32]Allocation!Y16</f>
        <v>35.19110391180871</v>
      </c>
      <c r="M16" s="26">
        <f t="shared" si="1"/>
        <v>0</v>
      </c>
    </row>
    <row r="17" spans="1:13" x14ac:dyDescent="0.25">
      <c r="A17" s="23">
        <f>+[30]Summary!A20</f>
        <v>44927</v>
      </c>
      <c r="B17" s="24">
        <f>+[30]Summary!H20</f>
        <v>6604.7908196079661</v>
      </c>
      <c r="C17" s="25">
        <f>+$B17*[32]Allocation!P17</f>
        <v>-3.9933793679560283</v>
      </c>
      <c r="D17" s="25">
        <f>+$B17*[32]Allocation!Q17</f>
        <v>-1.9966896839780142</v>
      </c>
      <c r="E17" s="25">
        <f>+$B17*[32]Allocation!R17</f>
        <v>2364.668735574397</v>
      </c>
      <c r="F17" s="25">
        <f>+$B17*[32]Allocation!S17</f>
        <v>4004.5741286021539</v>
      </c>
      <c r="G17" s="25">
        <f>+$B17*[32]Allocation!T17</f>
        <v>0</v>
      </c>
      <c r="H17" s="25">
        <f>+$B17*[32]Allocation!U17</f>
        <v>0.3906811177828603</v>
      </c>
      <c r="I17" s="25">
        <f>+$B17*[32]Allocation!V17</f>
        <v>152.007398615764</v>
      </c>
      <c r="J17" s="25">
        <f>+$B17*[32]Allocation!W17</f>
        <v>0</v>
      </c>
      <c r="K17" s="25">
        <f>+$B17*[32]Allocation!X17</f>
        <v>0</v>
      </c>
      <c r="L17" s="25">
        <f>+$B17*[32]Allocation!Y17</f>
        <v>89.13994474980197</v>
      </c>
      <c r="M17" s="26">
        <f t="shared" si="1"/>
        <v>0</v>
      </c>
    </row>
    <row r="18" spans="1:13" x14ac:dyDescent="0.25">
      <c r="A18" s="23">
        <f>+[30]Summary!A21</f>
        <v>44958</v>
      </c>
      <c r="B18" s="24">
        <f>+[30]Summary!H21</f>
        <v>6785.6578054954298</v>
      </c>
      <c r="C18" s="25">
        <f>+$B18*[32]Allocation!P18</f>
        <v>0</v>
      </c>
      <c r="D18" s="25">
        <f>+$B18*[32]Allocation!Q18</f>
        <v>0</v>
      </c>
      <c r="E18" s="25">
        <f>+$B18*[32]Allocation!R18</f>
        <v>1918.2746895439468</v>
      </c>
      <c r="F18" s="25">
        <f>+$B18*[32]Allocation!S18</f>
        <v>4624.745310512807</v>
      </c>
      <c r="G18" s="25">
        <f>+$B18*[32]Allocation!T18</f>
        <v>0</v>
      </c>
      <c r="H18" s="25">
        <f>+$B18*[32]Allocation!U18</f>
        <v>0.40767054580267897</v>
      </c>
      <c r="I18" s="25">
        <f>+$B18*[32]Allocation!V18</f>
        <v>180.98619856239841</v>
      </c>
      <c r="J18" s="25">
        <f>+$B18*[32]Allocation!W18</f>
        <v>0</v>
      </c>
      <c r="K18" s="25">
        <f>+$B18*[32]Allocation!X18</f>
        <v>0</v>
      </c>
      <c r="L18" s="25">
        <f>+$B18*[32]Allocation!Y18</f>
        <v>61.243936330475215</v>
      </c>
      <c r="M18" s="26">
        <f t="shared" si="1"/>
        <v>0</v>
      </c>
    </row>
    <row r="19" spans="1:13" x14ac:dyDescent="0.25">
      <c r="A19" s="23">
        <f>+[30]Summary!A22</f>
        <v>44986</v>
      </c>
      <c r="B19" s="24">
        <f>+[30]Summary!H22</f>
        <v>12965.702941107971</v>
      </c>
      <c r="C19" s="25">
        <f>+$B19*[32]Allocation!P19</f>
        <v>0</v>
      </c>
      <c r="D19" s="25">
        <f>+$B19*[32]Allocation!Q19</f>
        <v>0</v>
      </c>
      <c r="E19" s="25">
        <f>+$B19*[32]Allocation!R19</f>
        <v>2934.1589338191347</v>
      </c>
      <c r="F19" s="25">
        <f>+$B19*[32]Allocation!S19</f>
        <v>9596.0770830338388</v>
      </c>
      <c r="G19" s="25">
        <f>+$B19*[32]Allocation!T19</f>
        <v>0</v>
      </c>
      <c r="H19" s="25">
        <f>+$B19*[32]Allocation!U19</f>
        <v>0.76015577138406054</v>
      </c>
      <c r="I19" s="25">
        <f>+$B19*[32]Allocation!V19</f>
        <v>368.73430533427472</v>
      </c>
      <c r="J19" s="25">
        <f>+$B19*[32]Allocation!W19</f>
        <v>0</v>
      </c>
      <c r="K19" s="25">
        <f>+$B19*[32]Allocation!X19</f>
        <v>0</v>
      </c>
      <c r="L19" s="25">
        <f>+$B19*[32]Allocation!Y19</f>
        <v>65.972463149339518</v>
      </c>
      <c r="M19" s="26">
        <f t="shared" si="1"/>
        <v>0</v>
      </c>
    </row>
    <row r="20" spans="1:13" x14ac:dyDescent="0.25">
      <c r="A20" s="23">
        <f>+[30]Summary!A23</f>
        <v>45017</v>
      </c>
      <c r="B20" s="24">
        <f>+[30]Summary!H23</f>
        <v>9396.2410424276604</v>
      </c>
      <c r="C20" s="25">
        <f>+$B20*[32]Allocation!P20</f>
        <v>-0.28375545423407994</v>
      </c>
      <c r="D20" s="25">
        <f>+$B20*[32]Allocation!Q20</f>
        <v>0</v>
      </c>
      <c r="E20" s="25">
        <f>+$B20*[32]Allocation!R20</f>
        <v>1713.7948572366427</v>
      </c>
      <c r="F20" s="25">
        <f>+$B20*[32]Allocation!S20</f>
        <v>7382.0588113786416</v>
      </c>
      <c r="G20" s="25">
        <f>+$B20*[32]Allocation!T20</f>
        <v>0</v>
      </c>
      <c r="H20" s="25">
        <f>+$B20*[32]Allocation!U20</f>
        <v>0.57138670730496643</v>
      </c>
      <c r="I20" s="25">
        <f>+$B20*[32]Allocation!V20</f>
        <v>276.30758294907093</v>
      </c>
      <c r="J20" s="25">
        <f>+$B20*[32]Allocation!W20</f>
        <v>0</v>
      </c>
      <c r="K20" s="25">
        <f>+$B20*[32]Allocation!X20</f>
        <v>0</v>
      </c>
      <c r="L20" s="25">
        <f>+$B20*[32]Allocation!Y20</f>
        <v>23.792159610233107</v>
      </c>
      <c r="M20" s="26">
        <f t="shared" si="1"/>
        <v>0</v>
      </c>
    </row>
    <row r="21" spans="1:13" x14ac:dyDescent="0.25">
      <c r="A21" s="23">
        <f>+[30]Summary!A24</f>
        <v>45047</v>
      </c>
      <c r="B21" s="24">
        <f>+[30]Summary!H24</f>
        <v>12539.15501869694</v>
      </c>
      <c r="C21" s="25">
        <f>+$B21*[32]Allocation!P21</f>
        <v>0</v>
      </c>
      <c r="D21" s="25">
        <f>+$B21*[32]Allocation!Q21</f>
        <v>0</v>
      </c>
      <c r="E21" s="25">
        <f>+$B21*[32]Allocation!R21</f>
        <v>1713.6641775496353</v>
      </c>
      <c r="F21" s="25">
        <f>+$B21*[32]Allocation!S21</f>
        <v>10434.345489988293</v>
      </c>
      <c r="G21" s="25">
        <f>+$B21*[32]Allocation!T21</f>
        <v>0</v>
      </c>
      <c r="H21" s="25">
        <f>+$B21*[32]Allocation!U21</f>
        <v>0.75377630381466654</v>
      </c>
      <c r="I21" s="25">
        <f>+$B21*[32]Allocation!V21</f>
        <v>383.5002156689543</v>
      </c>
      <c r="J21" s="25">
        <f>+$B21*[32]Allocation!W21</f>
        <v>0</v>
      </c>
      <c r="K21" s="25">
        <f>+$B21*[32]Allocation!X21</f>
        <v>0</v>
      </c>
      <c r="L21" s="25">
        <f>+$B21*[32]Allocation!Y21</f>
        <v>6.8913591862422896</v>
      </c>
      <c r="M21" s="26">
        <f t="shared" si="1"/>
        <v>0</v>
      </c>
    </row>
    <row r="22" spans="1:13" x14ac:dyDescent="0.25">
      <c r="A22" s="23">
        <f>+[30]Summary!A25</f>
        <v>45078</v>
      </c>
      <c r="B22" s="24">
        <f>+[30]Summary!H25</f>
        <v>33029.077235356788</v>
      </c>
      <c r="C22" s="25">
        <f>+$B22*[32]Allocation!P22</f>
        <v>-15.392819686072501</v>
      </c>
      <c r="D22" s="25">
        <f>+$B22*[32]Allocation!Q22</f>
        <v>-12.827349738393751</v>
      </c>
      <c r="E22" s="25">
        <f>+$B22*[32]Allocation!R22</f>
        <v>3422.1672821229358</v>
      </c>
      <c r="F22" s="25">
        <f>+$B22*[32]Allocation!S22</f>
        <v>28604.710092193269</v>
      </c>
      <c r="G22" s="25">
        <f>+$B22*[32]Allocation!T22</f>
        <v>0</v>
      </c>
      <c r="H22" s="25">
        <f>+$B22*[32]Allocation!U22</f>
        <v>2.0078847000413642</v>
      </c>
      <c r="I22" s="25">
        <f>+$B22*[32]Allocation!V22</f>
        <v>984.05308613166915</v>
      </c>
      <c r="J22" s="25">
        <f>+$B22*[32]Allocation!W22</f>
        <v>44.359059633337893</v>
      </c>
      <c r="K22" s="25">
        <f>+$B22*[32]Allocation!X22</f>
        <v>0</v>
      </c>
      <c r="L22" s="25">
        <f>+$B22*[32]Allocation!Y22</f>
        <v>0</v>
      </c>
      <c r="M22" s="26">
        <f t="shared" si="1"/>
        <v>0</v>
      </c>
    </row>
    <row r="23" spans="1:13" x14ac:dyDescent="0.25">
      <c r="A23" s="23">
        <f>+[30]Summary!A26</f>
        <v>45108</v>
      </c>
      <c r="B23" s="24">
        <f>+[30]Summary!H26</f>
        <v>33002.028660252865</v>
      </c>
      <c r="C23" s="25">
        <f>+$B23*[32]Allocation!P23</f>
        <v>0</v>
      </c>
      <c r="D23" s="25">
        <f>+$B23*[32]Allocation!Q23</f>
        <v>0</v>
      </c>
      <c r="E23" s="25">
        <f>+$B23*[32]Allocation!R23</f>
        <v>2262.210405891999</v>
      </c>
      <c r="F23" s="25">
        <f>+$B23*[32]Allocation!S23</f>
        <v>29751.946953956991</v>
      </c>
      <c r="G23" s="25">
        <f>+$B23*[32]Allocation!T23</f>
        <v>0</v>
      </c>
      <c r="H23" s="25">
        <f>+$B23*[32]Allocation!U23</f>
        <v>0</v>
      </c>
      <c r="I23" s="25">
        <f>+$B23*[32]Allocation!V23</f>
        <v>893.6924608156678</v>
      </c>
      <c r="J23" s="25">
        <f>+$B23*[32]Allocation!W23</f>
        <v>94.178839588205193</v>
      </c>
      <c r="K23" s="25">
        <f>+$B23*[32]Allocation!X23</f>
        <v>0</v>
      </c>
      <c r="L23" s="25">
        <f>+$B23*[32]Allocation!Y23</f>
        <v>0</v>
      </c>
      <c r="M23" s="26">
        <f t="shared" si="1"/>
        <v>0</v>
      </c>
    </row>
    <row r="24" spans="1:13" x14ac:dyDescent="0.25">
      <c r="A24" s="23">
        <f>+[30]Summary!A27</f>
        <v>45139</v>
      </c>
      <c r="B24" s="24">
        <f>+[30]Summary!H27</f>
        <v>37193.032603071508</v>
      </c>
      <c r="C24" s="25">
        <f>+$B24*[32]Allocation!P24</f>
        <v>0</v>
      </c>
      <c r="D24" s="25">
        <f>+$B24*[32]Allocation!Q24</f>
        <v>0</v>
      </c>
      <c r="E24" s="25">
        <f>+$B24*[32]Allocation!R24</f>
        <v>1247.2151496471256</v>
      </c>
      <c r="F24" s="25">
        <f>+$B24*[32]Allocation!S24</f>
        <v>34865.295430039077</v>
      </c>
      <c r="G24" s="25">
        <f>+$B24*[32]Allocation!T24</f>
        <v>5.0568003747992201</v>
      </c>
      <c r="H24" s="25">
        <f>+$B24*[32]Allocation!U24</f>
        <v>2.2728505010530493</v>
      </c>
      <c r="I24" s="25">
        <f>+$B24*[32]Allocation!V24</f>
        <v>854.4749783628987</v>
      </c>
      <c r="J24" s="25">
        <f>+$B24*[32]Allocation!W24</f>
        <v>218.71739414656358</v>
      </c>
      <c r="K24" s="25">
        <f>+$B24*[32]Allocation!X24</f>
        <v>0</v>
      </c>
      <c r="L24" s="25">
        <f>+$B24*[32]Allocation!Y24</f>
        <v>0</v>
      </c>
      <c r="M24" s="26">
        <f t="shared" si="1"/>
        <v>0</v>
      </c>
    </row>
    <row r="25" spans="1:13" x14ac:dyDescent="0.25">
      <c r="A25" s="23">
        <f>+[30]Summary!A28</f>
        <v>45170</v>
      </c>
      <c r="B25" s="24">
        <f>+[30]Summary!H28</f>
        <v>46398.324669063208</v>
      </c>
      <c r="C25" s="25">
        <f>+$B25*[32]Allocation!P25</f>
        <v>0</v>
      </c>
      <c r="D25" s="25">
        <f>+$B25*[32]Allocation!Q25</f>
        <v>0</v>
      </c>
      <c r="E25" s="25">
        <f>+$B25*[32]Allocation!R25</f>
        <v>-62.604365413931909</v>
      </c>
      <c r="F25" s="25">
        <f>+$B25*[32]Allocation!S25</f>
        <v>44277.180302541085</v>
      </c>
      <c r="G25" s="25">
        <f>+$B25*[32]Allocation!T25</f>
        <v>884.60815042498268</v>
      </c>
      <c r="H25" s="25">
        <f>+$B25*[32]Allocation!U25</f>
        <v>2.8625829463121963</v>
      </c>
      <c r="I25" s="25">
        <f>+$B25*[32]Allocation!V25</f>
        <v>898.34244682315932</v>
      </c>
      <c r="J25" s="25">
        <f>+$B25*[32]Allocation!W25</f>
        <v>397.93555174160446</v>
      </c>
      <c r="K25" s="25">
        <f>+$B25*[32]Allocation!X25</f>
        <v>0</v>
      </c>
      <c r="L25" s="25">
        <f>+$B25*[32]Allocation!Y25</f>
        <v>0</v>
      </c>
      <c r="M25" s="26">
        <f t="shared" si="1"/>
        <v>0</v>
      </c>
    </row>
    <row r="26" spans="1:13" x14ac:dyDescent="0.25">
      <c r="A26" s="23">
        <f>+[30]Summary!A29</f>
        <v>45200</v>
      </c>
      <c r="B26" s="24">
        <f>+[30]Summary!H29</f>
        <v>93337.540000000008</v>
      </c>
      <c r="C26" s="25">
        <f>+$B26*[32]Allocation!P26</f>
        <v>0</v>
      </c>
      <c r="D26" s="25">
        <f>+$B26*[32]Allocation!Q26</f>
        <v>0</v>
      </c>
      <c r="E26" s="25">
        <f>+$B26*[32]Allocation!R26</f>
        <v>-71.663372940123622</v>
      </c>
      <c r="F26" s="25">
        <f>+$B26*[32]Allocation!S26</f>
        <v>73439.92982946866</v>
      </c>
      <c r="G26" s="25">
        <f>+$B26*[32]Allocation!T26</f>
        <v>17565.887286069319</v>
      </c>
      <c r="H26" s="25">
        <f>+$B26*[32]Allocation!U26</f>
        <v>5.5138748909331232</v>
      </c>
      <c r="I26" s="25">
        <f>+$B26*[32]Allocation!V26</f>
        <v>1469.1626483373109</v>
      </c>
      <c r="J26" s="25">
        <f>+$B26*[32]Allocation!W26</f>
        <v>928.70973417390519</v>
      </c>
      <c r="K26" s="25">
        <f>+$B26*[32]Allocation!X26</f>
        <v>0</v>
      </c>
      <c r="L26" s="25">
        <f>+$B26*[32]Allocation!Y26</f>
        <v>0</v>
      </c>
      <c r="M26" s="26">
        <f t="shared" si="1"/>
        <v>0</v>
      </c>
    </row>
    <row r="27" spans="1:13" x14ac:dyDescent="0.25">
      <c r="A27" s="23">
        <f>+[30]Summary!A30</f>
        <v>45231</v>
      </c>
      <c r="B27" s="24">
        <f>+[30]Summary!H30</f>
        <v>150706.82</v>
      </c>
      <c r="C27" s="25">
        <f>+$B27*[32]Allocation!P27</f>
        <v>0</v>
      </c>
      <c r="D27" s="25">
        <f>+$B27*[32]Allocation!Q27</f>
        <v>0</v>
      </c>
      <c r="E27" s="25">
        <f>+$B27*[32]Allocation!R27</f>
        <v>-10.675018520978975</v>
      </c>
      <c r="F27" s="25">
        <f>+$B27*[32]Allocation!S27</f>
        <v>92209.714317901045</v>
      </c>
      <c r="G27" s="25">
        <f>+$B27*[32]Allocation!T27</f>
        <v>55034.879380993647</v>
      </c>
      <c r="H27" s="25">
        <f>+$B27*[32]Allocation!U27</f>
        <v>8.3548849910815193</v>
      </c>
      <c r="I27" s="25">
        <f>+$B27*[32]Allocation!V27</f>
        <v>1831.4561006876613</v>
      </c>
      <c r="J27" s="25">
        <f>+$B27*[32]Allocation!W27</f>
        <v>1633.0903339475374</v>
      </c>
      <c r="K27" s="25">
        <f>+$B27*[32]Allocation!X27</f>
        <v>0</v>
      </c>
      <c r="L27" s="25">
        <f>+$B27*[32]Allocation!Y27</f>
        <v>0</v>
      </c>
      <c r="M27" s="26">
        <f t="shared" si="1"/>
        <v>0</v>
      </c>
    </row>
    <row r="28" spans="1:13" x14ac:dyDescent="0.25">
      <c r="A28" s="23">
        <f>+[30]Summary!A31</f>
        <v>45261</v>
      </c>
      <c r="B28" s="24">
        <f>+[30]Summary!H31</f>
        <v>273782</v>
      </c>
      <c r="C28" s="25">
        <f>+$B28*[32]Allocation!P28</f>
        <v>0</v>
      </c>
      <c r="D28" s="25">
        <f>+$B28*[32]Allocation!Q28</f>
        <v>0</v>
      </c>
      <c r="E28" s="25">
        <f>+$B28*[32]Allocation!R28</f>
        <v>-45.876132119607732</v>
      </c>
      <c r="F28" s="25">
        <f>+$B28*[32]Allocation!S28</f>
        <v>127447.35960053398</v>
      </c>
      <c r="G28" s="25">
        <f>+$B28*[32]Allocation!T28</f>
        <v>140376.14348623256</v>
      </c>
      <c r="H28" s="25">
        <f>+$B28*[32]Allocation!U28</f>
        <v>14.694981746239902</v>
      </c>
      <c r="I28" s="25">
        <f>+$B28*[32]Allocation!V28</f>
        <v>2748.4781914241603</v>
      </c>
      <c r="J28" s="25">
        <f>+$B28*[32]Allocation!W28</f>
        <v>3241.1998721826531</v>
      </c>
      <c r="K28" s="25">
        <f>+$B28*[32]Allocation!X28</f>
        <v>0</v>
      </c>
      <c r="L28" s="25">
        <f>+$B28*[32]Allocation!Y28</f>
        <v>0</v>
      </c>
      <c r="M28" s="26">
        <f t="shared" si="1"/>
        <v>0</v>
      </c>
    </row>
    <row r="29" spans="1:13" x14ac:dyDescent="0.25">
      <c r="A29"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XCH 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Oranias</dc:creator>
  <cp:lastModifiedBy>Julia Oranias</cp:lastModifiedBy>
  <dcterms:created xsi:type="dcterms:W3CDTF">2024-08-16T11:17:23Z</dcterms:created>
  <dcterms:modified xsi:type="dcterms:W3CDTF">2024-10-16T18:28:41Z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{49AD73FB-2191-42B3-A351-5598DE080B02}</vt:lpwstr>
  </property>
</Properties>
</file>