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Moretti\OneDrive - ARM\Documents\GitHub\DMI_IBNP\Process Results\"/>
    </mc:Choice>
  </mc:AlternateContent>
  <xr:revisionPtr revIDLastSave="0" documentId="13_ncr:1_{0A434581-9810-4B99-A2FA-0E9C7D02B64A}" xr6:coauthVersionLast="47" xr6:coauthVersionMax="47" xr10:uidLastSave="{00000000-0000-0000-0000-000000000000}"/>
  <bookViews>
    <workbookView xWindow="-108" yWindow="-108" windowWidth="23256" windowHeight="12576" xr2:uid="{9B94C235-4B85-4887-832D-FBC296CFB081}"/>
  </bookViews>
  <sheets>
    <sheet name="Claims Liabilit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6" i="1" l="1"/>
  <c r="B19" i="1"/>
  <c r="B12" i="1"/>
  <c r="B9" i="1" l="1"/>
  <c r="B8" i="1" l="1"/>
  <c r="D16" i="1" l="1"/>
  <c r="D6" i="1"/>
  <c r="D17" i="1" l="1"/>
  <c r="D7" i="1"/>
  <c r="D8" i="1" l="1"/>
  <c r="D18" i="1"/>
  <c r="D9" i="1" l="1"/>
  <c r="D10" i="1" s="1"/>
  <c r="D11" i="1" s="1"/>
  <c r="D12" i="1" s="1"/>
  <c r="D13" i="1" s="1"/>
  <c r="D19" i="1"/>
  <c r="C18" i="1"/>
  <c r="B15" i="1" l="1"/>
  <c r="B14" i="1"/>
  <c r="B17" i="1"/>
  <c r="E18" i="1"/>
  <c r="F18" i="1" s="1"/>
  <c r="C15" i="1" l="1"/>
  <c r="E15" i="1"/>
  <c r="F15" i="1"/>
  <c r="C14" i="1"/>
  <c r="E14" i="1"/>
  <c r="F14" i="1"/>
  <c r="C17" i="1"/>
  <c r="E17" i="1"/>
  <c r="F17" i="1" s="1"/>
  <c r="B10" i="1"/>
  <c r="C10" i="1" s="1"/>
  <c r="C9" i="1"/>
  <c r="B7" i="1"/>
  <c r="C7" i="1" s="1"/>
  <c r="B5" i="1"/>
  <c r="C5" i="1" s="1"/>
  <c r="B13" i="1" l="1"/>
  <c r="C13" i="1" s="1"/>
  <c r="B16" i="1"/>
  <c r="C16" i="1" s="1"/>
  <c r="C12" i="1"/>
  <c r="B11" i="1"/>
  <c r="C11" i="1" s="1"/>
  <c r="C8" i="1"/>
  <c r="C6" i="1"/>
  <c r="C19" i="1"/>
  <c r="E10" i="1"/>
  <c r="F10" i="1" s="1"/>
  <c r="E9" i="1"/>
  <c r="F9" i="1" s="1"/>
  <c r="E7" i="1"/>
  <c r="F7" i="1" s="1"/>
  <c r="B21" i="1"/>
  <c r="E5" i="1"/>
  <c r="F5" i="1" s="1"/>
  <c r="C21" i="1" l="1"/>
  <c r="E19" i="1"/>
  <c r="E6" i="1"/>
  <c r="F6" i="1" s="1"/>
  <c r="E8" i="1"/>
  <c r="F8" i="1" s="1"/>
  <c r="E11" i="1"/>
  <c r="F11" i="1" s="1"/>
  <c r="E12" i="1"/>
  <c r="F12" i="1" s="1"/>
  <c r="E16" i="1"/>
  <c r="F16" i="1" s="1"/>
  <c r="E13" i="1"/>
  <c r="F13" i="1" s="1"/>
  <c r="E21" i="1"/>
  <c r="F19" i="1" l="1"/>
  <c r="F21" i="1"/>
  <c r="F26" i="1" l="1"/>
  <c r="K26" i="1" l="1"/>
  <c r="J26" i="1"/>
  <c r="I26" i="1"/>
  <c r="H26" i="1"/>
  <c r="G26" i="1"/>
  <c r="E26" i="1"/>
  <c r="D26" i="1"/>
  <c r="C26" i="1"/>
  <c r="B26" i="1"/>
  <c r="L26" i="1" s="1"/>
  <c r="A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tc={FEE7276F-F39D-4233-9473-6D1FFD4DFD91}</author>
  </authors>
  <commentList>
    <comment ref="C22" authorId="0" shapeId="0" xr:uid="{FEE7276F-F39D-4233-9473-6D1FFD4DFD9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defined by Karl</t>
      </text>
    </comment>
  </commentList>
</comments>
</file>

<file path=xl/sharedStrings.xml><?xml version="1.0" encoding="utf-8"?>
<sst xmlns="http://schemas.openxmlformats.org/spreadsheetml/2006/main" count="43" uniqueCount="39">
  <si>
    <t>Company_Code</t>
  </si>
  <si>
    <t>Claim Liability</t>
  </si>
  <si>
    <t>LAE Percentage</t>
  </si>
  <si>
    <t>LAE Liability</t>
  </si>
  <si>
    <t>Claim_Liability_Total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</si>
  <si>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</si>
  <si>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</si>
  <si>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</si>
  <si>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</si>
  <si>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</si>
  <si>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</si>
  <si>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</si>
  <si>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</si>
  <si>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</si>
  <si>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</si>
  <si>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</si>
  <si>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</si>
  <si>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</si>
  <si>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</si>
  <si>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</si>
  <si>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</si>
  <si>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Load</t>
  </si>
  <si>
    <t>Valuation Month</t>
  </si>
  <si>
    <t>XCH Allocation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</si>
  <si>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</si>
  <si>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</si>
  <si>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</si>
  <si>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</si>
  <si>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</si>
  <si>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</si>
  <si>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</si>
  <si>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</si>
  <si>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</si>
  <si>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</si>
  <si>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Check</t>
  </si>
  <si>
    <t>TY 2024</t>
  </si>
  <si>
    <t>Claims Liability Reserves - Apr 2025</t>
  </si>
  <si>
    <t>* Claims are not fully uploaded for this block. These are March numbers</t>
  </si>
  <si>
    <t>* We don’t yet have premium data for this block. These are March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</si>
</sst>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  <font>
      <b/>
      <sz val="10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0" fillId="0" borderId="0" xfId="2" applyNumberFormat="1" applyFon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0" fontId="0" fillId="3" borderId="0" xfId="0" applyNumberFormat="1" applyFill="1"/>
    <xf numFmtId="164" fontId="0" fillId="3" borderId="0" xfId="2" applyNumberFormat="1" applyFont="1" applyFill="1"/>
    <xf numFmtId="17" fontId="0" fillId="0" borderId="0" xfId="0" applyNumberFormat="1"/>
    <xf numFmtId="9" fontId="3" fillId="0" borderId="0" xfId="1" applyFont="1"/>
    <xf numFmtId="0" fontId="3" fillId="0" borderId="2" xfId="0" applyFont="1" applyBorder="1"/>
    <xf numFmtId="0" fontId="2" fillId="0" borderId="0" xfId="0" applyFont="1"/>
    <xf numFmtId="164" fontId="2" fillId="0" borderId="0" xfId="2" applyNumberFormat="1" applyFont="1"/>
    <xf numFmtId="164" fontId="0" fillId="0" borderId="0" xfId="2" applyNumberFormat="1" applyFont="1" applyFill="1"/>
    <xf numFmtId="17" fontId="0" fillId="3" borderId="0" xfId="0" applyNumberFormat="1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64" fontId="0" fillId="6" borderId="0" xfId="2" applyNumberFormat="1" applyFont="1" applyFill="1"/>
    <xf numFmtId="17" fontId="0" fillId="6" borderId="0" xfId="0" applyNumberFormat="1" applyFill="1"/>
    <xf numFmtId="0" fontId="6" fillId="4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MS_PLICA.xlsx" TargetMode="External"/><Relationship Id="rId1" Type="http://schemas.openxmlformats.org/officeDocument/2006/relationships/externalLinkPath" Target="Unified_IBNP_MS_PLIC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ULI.xlsx" TargetMode="External"/><Relationship Id="rId1" Type="http://schemas.openxmlformats.org/officeDocument/2006/relationships/externalLinkPath" Target="Unified_IBNP_UL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Claims_Liability_Summary_0.xlsx" TargetMode="External"/><Relationship Id="rId1" Type="http://schemas.openxmlformats.org/officeDocument/2006/relationships/externalLinkPath" Target="Unified_Claims_Liability_Summary_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NFL.xlsx" TargetMode="External"/><Relationship Id="rId1" Type="http://schemas.openxmlformats.org/officeDocument/2006/relationships/externalLinkPath" Target="Unified_IBNP_NFL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Unified_IBNP_NMS_PLICA.xlsx" TargetMode="External"/><Relationship Id="rId1" Type="http://schemas.openxmlformats.org/officeDocument/2006/relationships/externalLinkPath" Target="Unified_IBNP_NMS_PL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6819.6606046780089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8038.5832069200278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160017.84869688915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104358.8845024562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XCH Allocation"/>
    </sheetNames>
    <sheetDataSet>
      <sheetData sheetId="0">
        <row r="3">
          <cell r="B3">
            <v>1891.6515663455048</v>
          </cell>
        </row>
        <row r="9">
          <cell r="B9">
            <v>98752.846041394805</v>
          </cell>
        </row>
        <row r="15">
          <cell r="B15">
            <v>33631.555074797754</v>
          </cell>
        </row>
        <row r="16">
          <cell r="B16">
            <v>290107.76076621248</v>
          </cell>
        </row>
      </sheetData>
      <sheetData sheetId="1">
        <row r="4">
          <cell r="C4">
            <v>-2.671487169057732E-3</v>
          </cell>
          <cell r="D4">
            <v>-2.2262393075481103E-3</v>
          </cell>
          <cell r="E4">
            <v>1.7922857673679862</v>
          </cell>
          <cell r="F4">
            <v>6422.6958842002614</v>
          </cell>
          <cell r="G4">
            <v>105509.02285811254</v>
          </cell>
          <cell r="H4">
            <v>4773.3096471743111</v>
          </cell>
          <cell r="I4">
            <v>9.7615252036797138</v>
          </cell>
          <cell r="J4">
            <v>77.610011878868875</v>
          </cell>
          <cell r="K4">
            <v>0</v>
          </cell>
          <cell r="L4">
            <v>0</v>
          </cell>
          <cell r="M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37695.16915278833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Summary - vol all BF"/>
    </sheetNames>
    <sheetDataSet>
      <sheetData sheetId="0" refreshError="1"/>
      <sheetData sheetId="1" refreshError="1"/>
      <sheetData sheetId="2" refreshError="1"/>
      <sheetData sheetId="3">
        <row r="33">
          <cell r="H33">
            <v>261411.10482706933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Summary - BF"/>
    </sheetNames>
    <sheetDataSet>
      <sheetData sheetId="0" refreshError="1"/>
      <sheetData sheetId="1" refreshError="1"/>
      <sheetData sheetId="2" refreshError="1"/>
      <sheetData sheetId="3">
        <row r="33">
          <cell r="H33">
            <v>42793.317773003218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55479.008808480314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85842.862185714243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68560.459281530522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172951.22963087389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Oranias" id="{FC6D6499-D49C-4EF0-B72D-3446266526EE}" userId="S::joranias@actrisk.com::f83fb233-9eca-431f-9d3a-a35e583d3cea" providerId="AD"/>
</personList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4-10-10T15:17:37.29" personId="{FC6D6499-D49C-4EF0-B72D-3446266526EE}" id="{FEE7276F-F39D-4233-9473-6D1FFD4DFD91}">
    <text>To be defined by Karl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2:M26"/>
  <sheetViews>
    <sheetView tabSelected="1" workbookViewId="0">
      <selection activeCell="I18" sqref="I18"/>
    </sheetView>
  </sheetViews>
  <sheetFormatPr defaultColWidth="9.140625" defaultRowHeight="13.2" x14ac:dyDescent="0.3"/>
  <cols>
    <col min="1" max="1" width="16.140625" bestFit="1" customWidth="1"/>
    <col min="2" max="2" width="15.85546875" customWidth="1"/>
    <col min="3" max="3" width="16.85546875" bestFit="1" customWidth="1"/>
    <col min="4" max="4" width="12.140625" customWidth="1"/>
    <col min="5" max="5" width="19.42578125" bestFit="1" customWidth="1"/>
    <col min="6" max="6" width="21.42578125" bestFit="1" customWidth="1"/>
    <col min="7" max="7" width="12.5703125" bestFit="1" customWidth="1"/>
    <col min="8" max="8" width="16.5703125" bestFit="1" customWidth="1"/>
    <col min="9" max="10" width="12.5703125" bestFit="1" customWidth="1"/>
    <col min="11" max="11" width="19.42578125" bestFit="1" customWidth="1"/>
    <col min="12" max="13" width="9.5703125" customWidth="1"/>
  </cols>
  <sheetData>
    <row r="2" spans="1:13" ht="13.8" x14ac:dyDescent="0.3">
      <c r="A2" s="26" t="s">
        <v>36</v>
      </c>
      <c r="B2" s="26"/>
      <c r="C2" s="26"/>
      <c r="D2" s="26"/>
      <c r="E2" s="26"/>
      <c r="F2" s="26"/>
      <c r="G2" s="26"/>
      <c r="H2" s="26"/>
    </row>
    <row r="4" spans="1:13" x14ac:dyDescent="0.3">
      <c r="A4" s="1" t="s">
        <v>0</v>
      </c>
      <c r="B4" s="1" t="s">
        <v>1</v>
      </c>
      <c r="C4" s="1" t="s">
        <v>21</v>
      </c>
      <c r="D4" s="1" t="s">
        <v>2</v>
      </c>
      <c r="E4" s="1" t="s">
        <v>3</v>
      </c>
      <c r="F4" s="1" t="s">
        <v>4</v>
      </c>
      <c r="H4" s="2" t="s">
        <v>22</v>
      </c>
    </row>
    <row r="5" spans="1:13" x14ac:dyDescent="0.3">
      <c r="A5" t="s">
        <v>5</v>
      </c>
      <c r="B5" s="8">
        <f>+[1]Summary!$H$33</f>
        <v>6819.6606046780089</v>
      </c>
      <c r="C5" s="8">
        <f t="shared" ref="C5:C19" si="0">+B5*$C$22</f>
        <v>340.98303023390048</v>
      </c>
      <c r="D5" s="4">
        <v>7.4999999999999997E-2</v>
      </c>
      <c r="E5" s="7">
        <f>+B5*D5</f>
        <v>511.47454535085063</v>
      </c>
      <c r="F5" s="7">
        <f>+B5+C5+E5</f>
        <v>7672.1181802627598</v>
      </c>
      <c r="H5" s="13">
        <v>45748</v>
      </c>
    </row>
    <row r="6" spans="1:13" x14ac:dyDescent="0.3">
      <c r="A6" s="21" t="s">
        <v>6</v>
      </c>
      <c r="B6" s="22">
        <f>+[2]Summary!$B$3</f>
        <v>1891.6515663455048</v>
      </c>
      <c r="C6" s="22">
        <f t="shared" si="0"/>
        <v>94.582578317275249</v>
      </c>
      <c r="D6" s="23">
        <f>+D5</f>
        <v>7.4999999999999997E-2</v>
      </c>
      <c r="E6" s="24">
        <f t="shared" ref="E6:E19" si="1">+B6*D6</f>
        <v>141.87386747591285</v>
      </c>
      <c r="F6" s="24">
        <f t="shared" ref="F6:F19" si="2">+B6+C6+E6</f>
        <v>2128.1080121386926</v>
      </c>
      <c r="G6" s="21"/>
      <c r="H6" s="25">
        <v>45717</v>
      </c>
      <c r="I6" s="21" t="s">
        <v>37</v>
      </c>
      <c r="J6" s="21"/>
      <c r="K6" s="21"/>
      <c r="L6" s="21"/>
      <c r="M6" s="21"/>
    </row>
    <row r="7" spans="1:13" x14ac:dyDescent="0.3">
      <c r="A7" t="s">
        <v>15</v>
      </c>
      <c r="B7" s="8">
        <f>+[3]Summary!$H$33</f>
        <v>37695.16915278833</v>
      </c>
      <c r="C7" s="8">
        <f t="shared" si="0"/>
        <v>1884.7584576394165</v>
      </c>
      <c r="D7" s="3">
        <f t="shared" ref="D7:D13" si="3">+D6</f>
        <v>7.4999999999999997E-2</v>
      </c>
      <c r="E7" s="7">
        <f t="shared" si="1"/>
        <v>2827.1376864591248</v>
      </c>
      <c r="F7" s="7">
        <f t="shared" si="2"/>
        <v>42407.065296886867</v>
      </c>
      <c r="H7" s="13">
        <v>45748</v>
      </c>
    </row>
    <row r="8" spans="1:13" x14ac:dyDescent="0.3">
      <c r="A8" t="s">
        <v>7</v>
      </c>
      <c r="B8" s="20" t="e">
        <f>+#REF!</f>
        <v>#REF!</v>
      </c>
      <c r="C8" s="8" t="e">
        <f t="shared" si="0"/>
        <v>#REF!</v>
      </c>
      <c r="D8" s="3">
        <f t="shared" si="3"/>
        <v>7.4999999999999997E-2</v>
      </c>
      <c r="E8" s="7" t="e">
        <f t="shared" si="1"/>
        <v>#REF!</v>
      </c>
      <c r="F8" s="7" t="e">
        <f t="shared" si="2"/>
        <v>#REF!</v>
      </c>
      <c r="H8" s="13">
        <v>45748</v>
      </c>
    </row>
    <row r="9" spans="1:13" x14ac:dyDescent="0.3">
      <c r="A9" t="s">
        <v>8</v>
      </c>
      <c r="B9" s="20" t="e">
        <f>+#REF!</f>
        <v>#REF!</v>
      </c>
      <c r="C9" s="8" t="e">
        <f t="shared" si="0"/>
        <v>#REF!</v>
      </c>
      <c r="D9" s="3">
        <f t="shared" si="3"/>
        <v>7.4999999999999997E-2</v>
      </c>
      <c r="E9" s="7" t="e">
        <f t="shared" si="1"/>
        <v>#REF!</v>
      </c>
      <c r="F9" s="7" t="e">
        <f t="shared" si="2"/>
        <v>#REF!</v>
      </c>
      <c r="H9" s="13">
        <v>45748</v>
      </c>
    </row>
    <row r="10" spans="1:13" x14ac:dyDescent="0.3">
      <c r="A10" t="s">
        <v>9</v>
      </c>
      <c r="B10" s="8">
        <f>+[6]Summary!$H$33</f>
        <v>55479.008808480314</v>
      </c>
      <c r="C10" s="8">
        <f t="shared" si="0"/>
        <v>2773.9504404240161</v>
      </c>
      <c r="D10" s="3">
        <f t="shared" si="3"/>
        <v>7.4999999999999997E-2</v>
      </c>
      <c r="E10" s="7">
        <f t="shared" si="1"/>
        <v>4160.9256606360232</v>
      </c>
      <c r="F10" s="7">
        <f t="shared" si="2"/>
        <v>62413.884909540349</v>
      </c>
      <c r="H10" s="13">
        <v>45748</v>
      </c>
    </row>
    <row r="11" spans="1:13" x14ac:dyDescent="0.3">
      <c r="A11" t="s">
        <v>10</v>
      </c>
      <c r="B11" s="8">
        <f>+[7]Summary!$H$33</f>
        <v>85842.862185714243</v>
      </c>
      <c r="C11" s="8">
        <f t="shared" si="0"/>
        <v>4292.1431092857119</v>
      </c>
      <c r="D11" s="3">
        <f t="shared" si="3"/>
        <v>7.4999999999999997E-2</v>
      </c>
      <c r="E11" s="7">
        <f t="shared" si="1"/>
        <v>6438.2146639285684</v>
      </c>
      <c r="F11" s="7">
        <f t="shared" si="2"/>
        <v>96573.219958928516</v>
      </c>
      <c r="H11" s="13">
        <v>45748</v>
      </c>
    </row>
    <row r="12" spans="1:13" x14ac:dyDescent="0.3">
      <c r="A12" s="9" t="s">
        <v>11</v>
      </c>
      <c r="B12" s="10">
        <f>+[2]Summary!$B$9</f>
        <v>98752.846041394805</v>
      </c>
      <c r="C12" s="10">
        <f t="shared" si="0"/>
        <v>4937.6423020697403</v>
      </c>
      <c r="D12" s="11">
        <f t="shared" si="3"/>
        <v>7.4999999999999997E-2</v>
      </c>
      <c r="E12" s="12">
        <f t="shared" si="1"/>
        <v>7406.4634531046104</v>
      </c>
      <c r="F12" s="12">
        <f t="shared" si="2"/>
        <v>111096.95179656916</v>
      </c>
      <c r="G12" s="9"/>
      <c r="H12" s="19">
        <v>45717</v>
      </c>
      <c r="I12" s="9" t="s">
        <v>38</v>
      </c>
      <c r="J12" s="9"/>
      <c r="K12" s="9"/>
      <c r="L12" s="9"/>
      <c r="M12" s="9"/>
    </row>
    <row r="13" spans="1:13" x14ac:dyDescent="0.3">
      <c r="A13" t="s">
        <v>12</v>
      </c>
      <c r="B13" s="8">
        <f>+[8]Summary!$H$33</f>
        <v>68560.459281530522</v>
      </c>
      <c r="C13" s="8">
        <f t="shared" si="0"/>
        <v>3428.0229640765265</v>
      </c>
      <c r="D13" s="3">
        <f t="shared" si="3"/>
        <v>7.4999999999999997E-2</v>
      </c>
      <c r="E13" s="18">
        <f t="shared" si="1"/>
        <v>5142.0344461147888</v>
      </c>
      <c r="F13" s="18">
        <f t="shared" si="2"/>
        <v>77130.516691721845</v>
      </c>
      <c r="H13" s="13">
        <v>45748</v>
      </c>
    </row>
    <row r="14" spans="1:13" x14ac:dyDescent="0.3">
      <c r="A14" s="9" t="s">
        <v>19</v>
      </c>
      <c r="B14" s="10">
        <f>+[9]Summary!$H$33</f>
        <v>172951.22963087389</v>
      </c>
      <c r="C14" s="10">
        <f t="shared" si="0"/>
        <v>8647.5614815436948</v>
      </c>
      <c r="D14" s="11">
        <v>0.05</v>
      </c>
      <c r="E14" s="12">
        <f t="shared" si="1"/>
        <v>8647.5614815436948</v>
      </c>
      <c r="F14" s="12">
        <f t="shared" si="2"/>
        <v>190246.35259396129</v>
      </c>
      <c r="G14" s="9"/>
      <c r="H14" s="19">
        <v>45717</v>
      </c>
      <c r="I14" s="9" t="s">
        <v>38</v>
      </c>
      <c r="J14" s="9"/>
      <c r="K14" s="9"/>
      <c r="L14" s="9"/>
      <c r="M14" s="9"/>
    </row>
    <row r="15" spans="1:13" x14ac:dyDescent="0.3">
      <c r="A15" s="9" t="s">
        <v>20</v>
      </c>
      <c r="B15" s="10">
        <f>+[10]Summary!$H$33</f>
        <v>8038.5832069200278</v>
      </c>
      <c r="C15" s="10">
        <f t="shared" si="0"/>
        <v>401.92916034600142</v>
      </c>
      <c r="D15" s="11">
        <v>0.05</v>
      </c>
      <c r="E15" s="12">
        <f t="shared" si="1"/>
        <v>401.92916034600142</v>
      </c>
      <c r="F15" s="12">
        <f t="shared" si="2"/>
        <v>8842.4415276120289</v>
      </c>
      <c r="G15" s="9"/>
      <c r="H15" s="19">
        <v>45717</v>
      </c>
      <c r="I15" s="9" t="s">
        <v>38</v>
      </c>
      <c r="J15" s="9"/>
      <c r="K15" s="9"/>
      <c r="L15" s="9"/>
      <c r="M15" s="9"/>
    </row>
    <row r="16" spans="1:13" x14ac:dyDescent="0.3">
      <c r="A16" t="s">
        <v>17</v>
      </c>
      <c r="B16" s="8">
        <f>+[11]Summary!$H$33</f>
        <v>160017.84869688915</v>
      </c>
      <c r="C16" s="8">
        <f t="shared" si="0"/>
        <v>8000.892434844458</v>
      </c>
      <c r="D16" s="3">
        <f>+D5</f>
        <v>7.4999999999999997E-2</v>
      </c>
      <c r="E16" s="18">
        <f t="shared" si="1"/>
        <v>12001.338652266686</v>
      </c>
      <c r="F16" s="18">
        <f t="shared" si="2"/>
        <v>180020.07978400029</v>
      </c>
      <c r="H16" s="13">
        <v>45748</v>
      </c>
    </row>
    <row r="17" spans="1:13" x14ac:dyDescent="0.3">
      <c r="A17" t="s">
        <v>18</v>
      </c>
      <c r="B17" s="8">
        <f>+[12]Summary!$H$33</f>
        <v>104358.8845024562</v>
      </c>
      <c r="C17" s="8">
        <f t="shared" si="0"/>
        <v>5217.9442251228102</v>
      </c>
      <c r="D17" s="3">
        <f t="shared" ref="D17:D19" si="4">+D6</f>
        <v>7.4999999999999997E-2</v>
      </c>
      <c r="E17" s="18">
        <f t="shared" si="1"/>
        <v>7826.9163376842153</v>
      </c>
      <c r="F17" s="18">
        <f t="shared" si="2"/>
        <v>117403.74506526323</v>
      </c>
      <c r="H17" s="13">
        <v>45748</v>
      </c>
    </row>
    <row r="18" spans="1:13" x14ac:dyDescent="0.3">
      <c r="A18" s="21" t="s">
        <v>13</v>
      </c>
      <c r="B18" s="22">
        <f>+[2]Summary!$B$15</f>
        <v>33631.555074797754</v>
      </c>
      <c r="C18" s="22">
        <f t="shared" si="0"/>
        <v>1681.5777537398878</v>
      </c>
      <c r="D18" s="23">
        <f t="shared" si="4"/>
        <v>7.4999999999999997E-2</v>
      </c>
      <c r="E18" s="24">
        <f t="shared" si="1"/>
        <v>2522.3666306098316</v>
      </c>
      <c r="F18" s="24">
        <f t="shared" si="2"/>
        <v>37835.499459147475</v>
      </c>
      <c r="G18" s="21"/>
      <c r="H18" s="25">
        <v>45717</v>
      </c>
      <c r="I18" s="21" t="s">
        <v>37</v>
      </c>
      <c r="J18" s="21"/>
      <c r="K18" s="21"/>
      <c r="L18" s="21"/>
      <c r="M18" s="21"/>
    </row>
    <row r="19" spans="1:13" x14ac:dyDescent="0.3">
      <c r="A19" s="9" t="s">
        <v>16</v>
      </c>
      <c r="B19" s="10">
        <f>+[2]Summary!$B$16</f>
        <v>290107.76076621248</v>
      </c>
      <c r="C19" s="10">
        <f t="shared" si="0"/>
        <v>14505.388038310624</v>
      </c>
      <c r="D19" s="11">
        <f t="shared" si="4"/>
        <v>7.4999999999999997E-2</v>
      </c>
      <c r="E19" s="12">
        <f t="shared" si="1"/>
        <v>21758.082057465934</v>
      </c>
      <c r="F19" s="12">
        <f t="shared" si="2"/>
        <v>326371.23086198902</v>
      </c>
      <c r="G19" s="9"/>
      <c r="H19" s="19">
        <v>45717</v>
      </c>
      <c r="I19" s="9" t="s">
        <v>38</v>
      </c>
      <c r="J19" s="9"/>
      <c r="K19" s="9"/>
      <c r="L19" s="9"/>
      <c r="M19" s="9"/>
    </row>
    <row r="20" spans="1:13" x14ac:dyDescent="0.3">
      <c r="B20" s="8"/>
      <c r="C20" s="8"/>
    </row>
    <row r="21" spans="1:13" x14ac:dyDescent="0.3">
      <c r="A21" s="5" t="s">
        <v>14</v>
      </c>
      <c r="B21" s="6" t="e">
        <f>+SUM(B5:B20)</f>
        <v>#REF!</v>
      </c>
      <c r="C21" s="6" t="e">
        <f>+SUM(C5:C20)</f>
        <v>#REF!</v>
      </c>
      <c r="D21" s="5"/>
      <c r="E21" s="6" t="e">
        <f>+SUM(E5:E20)</f>
        <v>#REF!</v>
      </c>
      <c r="F21" s="6" t="e">
        <f>+SUM(F5:F20)</f>
        <v>#REF!</v>
      </c>
    </row>
    <row r="22" spans="1:13" x14ac:dyDescent="0.3">
      <c r="C22" s="14">
        <v>0.05</v>
      </c>
    </row>
    <row r="24" spans="1:13" x14ac:dyDescent="0.3">
      <c r="A24" s="5" t="s">
        <v>23</v>
      </c>
    </row>
    <row r="25" spans="1:13" x14ac:dyDescent="0.3">
      <c r="A25" s="5" t="s">
        <v>24</v>
      </c>
      <c r="B25" s="5" t="s">
        <v>25</v>
      </c>
      <c r="C25" s="5" t="s">
        <v>26</v>
      </c>
      <c r="D25" s="5" t="s">
        <v>27</v>
      </c>
      <c r="E25" s="5" t="s">
        <v>28</v>
      </c>
      <c r="F25" s="5" t="s">
        <v>35</v>
      </c>
      <c r="G25" s="5" t="s">
        <v>29</v>
      </c>
      <c r="H25" s="5" t="s">
        <v>30</v>
      </c>
      <c r="I25" s="5" t="s">
        <v>31</v>
      </c>
      <c r="J25" s="5" t="s">
        <v>32</v>
      </c>
      <c r="K25" s="15" t="s">
        <v>33</v>
      </c>
      <c r="L25" s="16" t="s">
        <v>34</v>
      </c>
    </row>
    <row r="26" spans="1:13" x14ac:dyDescent="0.3">
      <c r="A26" s="7">
        <f>+'[2]XCH Allocation'!C4*(1+$D$19)+'[2]XCH Allocation'!C4*$C$22</f>
        <v>-3.0054230651899486E-3</v>
      </c>
      <c r="B26" s="7">
        <f>+'[2]XCH Allocation'!D4*(1+$D$19)+'[2]XCH Allocation'!D4*$C$22</f>
        <v>-2.5045192209916241E-3</v>
      </c>
      <c r="C26" s="7">
        <f>+'[2]XCH Allocation'!E4*(1+$D$19)+'[2]XCH Allocation'!E4*$C$22</f>
        <v>2.0163214882889844</v>
      </c>
      <c r="D26" s="7">
        <f>+'[2]XCH Allocation'!F4*(1+$D$19)+'[2]XCH Allocation'!F4*$C$22</f>
        <v>7225.5328697252935</v>
      </c>
      <c r="E26" s="7">
        <f>+'[2]XCH Allocation'!G4*(1+$D$19)+'[2]XCH Allocation'!G4*$C$22</f>
        <v>118697.6507153766</v>
      </c>
      <c r="F26" s="7">
        <f>+'[2]XCH Allocation'!H4*(1+$D$19)+'[2]XCH Allocation'!H4*$C$22</f>
        <v>5369.9733530711001</v>
      </c>
      <c r="G26" s="7">
        <f>+'[2]XCH Allocation'!I4*(1+$D$19)+'[2]XCH Allocation'!I4*$C$22</f>
        <v>10.981715854139678</v>
      </c>
      <c r="H26" s="7">
        <f>+'[2]XCH Allocation'!J4*(1+$D$19)+'[2]XCH Allocation'!J4*$C$22</f>
        <v>87.311263363727477</v>
      </c>
      <c r="I26" s="7">
        <f>+'[2]XCH Allocation'!K4*(1+$D$19)+'[2]XCH Allocation'!K4*$C$22</f>
        <v>0</v>
      </c>
      <c r="J26" s="7">
        <f>+'[2]XCH Allocation'!L4*(1+$D$19)+'[2]XCH Allocation'!L4*$C$22</f>
        <v>0</v>
      </c>
      <c r="K26" s="7">
        <f>+'[2]XCH Allocation'!M4*(1+$D$19)+'[2]XCH Allocation'!M4*$C$22</f>
        <v>0</v>
      </c>
      <c r="L26" s="17">
        <f>+SUM(B26:K26)-F19</f>
        <v>-194977.76712762911</v>
      </c>
    </row>
  </sheetData>
  <mergeCells count="1">
    <mergeCell ref="A2:H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Claims Liability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2024-08-16T11:17:23Z</dcterms:created>
  <dcterms:modified xsi:type="dcterms:W3CDTF">2025-06-09T12:43:39Z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