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Moretti\OneDrive - ARM\Documents\GitHub\DMI_IBNP\Process Results\"/>
    </mc:Choice>
  </mc:AlternateContent>
  <xr:revisionPtr revIDLastSave="0" documentId="13_ncr:1_{E09F6006-63E3-45A1-9C91-60264E8E535D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Summary" sheetId="1" r:id="rId1"/>
    <sheet name="XCH Alloc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6" i="1"/>
  <c r="B3" i="1"/>
  <c r="B5" i="1"/>
  <c r="B16" i="1"/>
  <c r="B12" i="1"/>
  <c r="B11" i="1"/>
  <c r="B9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8" i="1" l="1"/>
  <c r="B28" i="2" l="1"/>
  <c r="B27" i="2"/>
  <c r="B26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M26" i="2" l="1"/>
  <c r="L26" i="2"/>
  <c r="K26" i="2"/>
  <c r="J26" i="2"/>
  <c r="I26" i="2"/>
  <c r="H26" i="2"/>
  <c r="G26" i="2"/>
  <c r="F26" i="2"/>
  <c r="E26" i="2"/>
  <c r="D26" i="2"/>
  <c r="C26" i="2"/>
  <c r="N26" i="2" s="1"/>
  <c r="M27" i="2"/>
  <c r="L27" i="2"/>
  <c r="K27" i="2"/>
  <c r="J27" i="2"/>
  <c r="I27" i="2"/>
  <c r="H27" i="2"/>
  <c r="G27" i="2"/>
  <c r="F27" i="2"/>
  <c r="E27" i="2"/>
  <c r="D27" i="2"/>
  <c r="C27" i="2"/>
  <c r="N27" i="2" s="1"/>
  <c r="M28" i="2"/>
  <c r="L28" i="2"/>
  <c r="K28" i="2"/>
  <c r="J28" i="2"/>
  <c r="I28" i="2"/>
  <c r="H28" i="2"/>
  <c r="G28" i="2"/>
  <c r="F28" i="2"/>
  <c r="E28" i="2"/>
  <c r="D28" i="2"/>
  <c r="C28" i="2"/>
  <c r="N28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M25" i="2" l="1"/>
  <c r="L25" i="2"/>
  <c r="K25" i="2"/>
  <c r="J25" i="2"/>
  <c r="I25" i="2"/>
  <c r="H25" i="2"/>
  <c r="G25" i="2"/>
  <c r="F25" i="2"/>
  <c r="E25" i="2"/>
  <c r="D25" i="2"/>
  <c r="C25" i="2"/>
  <c r="N25" i="2" s="1"/>
  <c r="M24" i="2"/>
  <c r="L24" i="2"/>
  <c r="K24" i="2"/>
  <c r="J24" i="2"/>
  <c r="I24" i="2"/>
  <c r="H24" i="2"/>
  <c r="G24" i="2"/>
  <c r="F24" i="2"/>
  <c r="E24" i="2"/>
  <c r="D24" i="2"/>
  <c r="C24" i="2"/>
  <c r="N24" i="2" s="1"/>
  <c r="M23" i="2"/>
  <c r="L23" i="2"/>
  <c r="K23" i="2"/>
  <c r="J23" i="2"/>
  <c r="I23" i="2"/>
  <c r="H23" i="2"/>
  <c r="G23" i="2"/>
  <c r="F23" i="2"/>
  <c r="E23" i="2"/>
  <c r="D23" i="2"/>
  <c r="C23" i="2"/>
  <c r="N23" i="2" s="1"/>
  <c r="M22" i="2"/>
  <c r="L22" i="2"/>
  <c r="K22" i="2"/>
  <c r="J22" i="2"/>
  <c r="I22" i="2"/>
  <c r="H22" i="2"/>
  <c r="G22" i="2"/>
  <c r="F22" i="2"/>
  <c r="E22" i="2"/>
  <c r="D22" i="2"/>
  <c r="C22" i="2"/>
  <c r="N22" i="2" s="1"/>
  <c r="M21" i="2"/>
  <c r="L21" i="2"/>
  <c r="K21" i="2"/>
  <c r="J21" i="2"/>
  <c r="I21" i="2"/>
  <c r="H21" i="2"/>
  <c r="G21" i="2"/>
  <c r="F21" i="2"/>
  <c r="E21" i="2"/>
  <c r="D21" i="2"/>
  <c r="C21" i="2"/>
  <c r="N21" i="2" s="1"/>
  <c r="M20" i="2"/>
  <c r="L20" i="2"/>
  <c r="K20" i="2"/>
  <c r="J20" i="2"/>
  <c r="I20" i="2"/>
  <c r="H20" i="2"/>
  <c r="G20" i="2"/>
  <c r="F20" i="2"/>
  <c r="E20" i="2"/>
  <c r="D20" i="2"/>
  <c r="C20" i="2"/>
  <c r="N20" i="2" s="1"/>
  <c r="M19" i="2"/>
  <c r="L19" i="2"/>
  <c r="K19" i="2"/>
  <c r="J19" i="2"/>
  <c r="I19" i="2"/>
  <c r="H19" i="2"/>
  <c r="G19" i="2"/>
  <c r="F19" i="2"/>
  <c r="E19" i="2"/>
  <c r="D19" i="2"/>
  <c r="C19" i="2"/>
  <c r="N19" i="2" s="1"/>
  <c r="M18" i="2"/>
  <c r="L18" i="2"/>
  <c r="K18" i="2"/>
  <c r="J18" i="2"/>
  <c r="I18" i="2"/>
  <c r="H18" i="2"/>
  <c r="G18" i="2"/>
  <c r="F18" i="2"/>
  <c r="E18" i="2"/>
  <c r="D18" i="2"/>
  <c r="C18" i="2"/>
  <c r="N18" i="2" s="1"/>
  <c r="M17" i="2"/>
  <c r="L17" i="2"/>
  <c r="K17" i="2"/>
  <c r="J17" i="2"/>
  <c r="I17" i="2"/>
  <c r="H17" i="2"/>
  <c r="G17" i="2"/>
  <c r="F17" i="2"/>
  <c r="E17" i="2"/>
  <c r="D17" i="2"/>
  <c r="C17" i="2"/>
  <c r="N17" i="2" s="1"/>
  <c r="M16" i="2"/>
  <c r="L16" i="2"/>
  <c r="K16" i="2"/>
  <c r="J16" i="2"/>
  <c r="I16" i="2"/>
  <c r="H16" i="2"/>
  <c r="G16" i="2"/>
  <c r="F16" i="2"/>
  <c r="E16" i="2"/>
  <c r="D16" i="2"/>
  <c r="C16" i="2"/>
  <c r="N16" i="2" s="1"/>
  <c r="M15" i="2"/>
  <c r="L15" i="2"/>
  <c r="K15" i="2"/>
  <c r="J15" i="2"/>
  <c r="I15" i="2"/>
  <c r="H15" i="2"/>
  <c r="G15" i="2"/>
  <c r="F15" i="2"/>
  <c r="E15" i="2"/>
  <c r="D15" i="2"/>
  <c r="C15" i="2"/>
  <c r="N15" i="2" s="1"/>
  <c r="M14" i="2"/>
  <c r="L14" i="2"/>
  <c r="K14" i="2"/>
  <c r="J14" i="2"/>
  <c r="I14" i="2"/>
  <c r="H14" i="2"/>
  <c r="G14" i="2"/>
  <c r="F14" i="2"/>
  <c r="E14" i="2"/>
  <c r="D14" i="2"/>
  <c r="C14" i="2"/>
  <c r="N14" i="2" s="1"/>
  <c r="M13" i="2"/>
  <c r="L13" i="2"/>
  <c r="K13" i="2"/>
  <c r="J13" i="2"/>
  <c r="I13" i="2"/>
  <c r="H13" i="2"/>
  <c r="G13" i="2"/>
  <c r="F13" i="2"/>
  <c r="E13" i="2"/>
  <c r="D13" i="2"/>
  <c r="C13" i="2"/>
  <c r="N13" i="2" s="1"/>
  <c r="M12" i="2"/>
  <c r="L12" i="2"/>
  <c r="K12" i="2"/>
  <c r="J12" i="2"/>
  <c r="I12" i="2"/>
  <c r="H12" i="2"/>
  <c r="G12" i="2"/>
  <c r="F12" i="2"/>
  <c r="E12" i="2"/>
  <c r="D12" i="2"/>
  <c r="C12" i="2"/>
  <c r="N12" i="2" s="1"/>
  <c r="M11" i="2"/>
  <c r="L11" i="2"/>
  <c r="K11" i="2"/>
  <c r="J11" i="2"/>
  <c r="I11" i="2"/>
  <c r="H11" i="2"/>
  <c r="G11" i="2"/>
  <c r="F11" i="2"/>
  <c r="E11" i="2"/>
  <c r="D11" i="2"/>
  <c r="C11" i="2"/>
  <c r="N11" i="2" s="1"/>
  <c r="M10" i="2"/>
  <c r="L10" i="2"/>
  <c r="K10" i="2"/>
  <c r="J10" i="2"/>
  <c r="I10" i="2"/>
  <c r="H10" i="2"/>
  <c r="G10" i="2"/>
  <c r="F10" i="2"/>
  <c r="E10" i="2"/>
  <c r="D10" i="2"/>
  <c r="C10" i="2"/>
  <c r="N10" i="2" s="1"/>
  <c r="M9" i="2"/>
  <c r="L9" i="2"/>
  <c r="K9" i="2"/>
  <c r="J9" i="2"/>
  <c r="I9" i="2"/>
  <c r="H9" i="2"/>
  <c r="G9" i="2"/>
  <c r="F9" i="2"/>
  <c r="E9" i="2"/>
  <c r="D9" i="2"/>
  <c r="C9" i="2"/>
  <c r="N9" i="2" s="1"/>
  <c r="M8" i="2"/>
  <c r="L8" i="2"/>
  <c r="K8" i="2"/>
  <c r="J8" i="2"/>
  <c r="I8" i="2"/>
  <c r="H8" i="2"/>
  <c r="G8" i="2"/>
  <c r="F8" i="2"/>
  <c r="E8" i="2"/>
  <c r="D8" i="2"/>
  <c r="C8" i="2"/>
  <c r="N8" i="2" s="1"/>
  <c r="M7" i="2"/>
  <c r="L7" i="2"/>
  <c r="K7" i="2"/>
  <c r="J7" i="2"/>
  <c r="I7" i="2"/>
  <c r="H7" i="2"/>
  <c r="G7" i="2"/>
  <c r="F7" i="2"/>
  <c r="E7" i="2"/>
  <c r="D7" i="2"/>
  <c r="C7" i="2"/>
  <c r="N7" i="2" s="1"/>
  <c r="M6" i="2"/>
  <c r="L6" i="2"/>
  <c r="K6" i="2"/>
  <c r="J6" i="2"/>
  <c r="I6" i="2"/>
  <c r="H6" i="2"/>
  <c r="G6" i="2"/>
  <c r="F6" i="2"/>
  <c r="E6" i="2"/>
  <c r="D6" i="2"/>
  <c r="C6" i="2"/>
  <c r="B5" i="2"/>
  <c r="B4" i="2" s="1"/>
  <c r="H4" i="2" l="1"/>
  <c r="J11" i="1"/>
  <c r="J14" i="1"/>
  <c r="J12" i="1" l="1"/>
  <c r="J16" i="1" l="1"/>
  <c r="C16" i="1"/>
  <c r="J15" i="1"/>
  <c r="C15" i="1"/>
  <c r="C14" i="1"/>
  <c r="D14" i="1" s="1"/>
  <c r="E14" i="1" s="1"/>
  <c r="J13" i="1"/>
  <c r="C13" i="1"/>
  <c r="D11" i="1"/>
  <c r="E11" i="1" s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J3" i="1"/>
  <c r="C3" i="1"/>
  <c r="J2" i="1"/>
  <c r="C2" i="1"/>
  <c r="K14" i="1" l="1"/>
  <c r="L14" i="1" s="1"/>
  <c r="H14" i="1"/>
  <c r="I14" i="1" s="1"/>
  <c r="K11" i="1"/>
  <c r="L11" i="1" s="1"/>
  <c r="H11" i="1"/>
  <c r="I11" i="1" s="1"/>
  <c r="J18" i="1"/>
  <c r="D15" i="1" l="1"/>
  <c r="E15" i="1" s="1"/>
  <c r="K15" i="1" l="1"/>
  <c r="L15" i="1" s="1"/>
  <c r="H15" i="1"/>
  <c r="I15" i="1" s="1"/>
  <c r="B7" i="1"/>
  <c r="B2" i="1"/>
  <c r="B10" i="1" l="1"/>
  <c r="B13" i="1"/>
  <c r="B8" i="1"/>
  <c r="D7" i="1"/>
  <c r="E7" i="1" s="1"/>
  <c r="D6" i="1"/>
  <c r="E6" i="1" s="1"/>
  <c r="D2" i="1"/>
  <c r="K7" i="1" l="1"/>
  <c r="L7" i="1" s="1"/>
  <c r="H7" i="1"/>
  <c r="I7" i="1" s="1"/>
  <c r="K6" i="1"/>
  <c r="L6" i="1" s="1"/>
  <c r="H6" i="1"/>
  <c r="I6" i="1" s="1"/>
  <c r="D16" i="1"/>
  <c r="E16" i="1" s="1"/>
  <c r="D3" i="1"/>
  <c r="E3" i="1" s="1"/>
  <c r="D5" i="1"/>
  <c r="E5" i="1" s="1"/>
  <c r="D8" i="1"/>
  <c r="E8" i="1" s="1"/>
  <c r="D9" i="1"/>
  <c r="E9" i="1" s="1"/>
  <c r="D13" i="1"/>
  <c r="E13" i="1" s="1"/>
  <c r="D10" i="1"/>
  <c r="E10" i="1" s="1"/>
  <c r="E2" i="1"/>
  <c r="H2" i="1" s="1"/>
  <c r="I2" i="1" s="1"/>
  <c r="K13" i="1" l="1"/>
  <c r="L13" i="1" s="1"/>
  <c r="H13" i="1"/>
  <c r="I13" i="1" s="1"/>
  <c r="K10" i="1"/>
  <c r="L10" i="1" s="1"/>
  <c r="H10" i="1"/>
  <c r="I10" i="1" s="1"/>
  <c r="K9" i="1"/>
  <c r="L9" i="1" s="1"/>
  <c r="H9" i="1"/>
  <c r="I9" i="1" s="1"/>
  <c r="K8" i="1"/>
  <c r="L8" i="1" s="1"/>
  <c r="H8" i="1"/>
  <c r="I8" i="1" s="1"/>
  <c r="K5" i="1"/>
  <c r="L5" i="1" s="1"/>
  <c r="H5" i="1"/>
  <c r="I5" i="1" s="1"/>
  <c r="K16" i="1"/>
  <c r="L16" i="1" s="1"/>
  <c r="H16" i="1"/>
  <c r="I16" i="1" s="1"/>
  <c r="K3" i="1"/>
  <c r="L3" i="1" s="1"/>
  <c r="H3" i="1"/>
  <c r="I3" i="1"/>
  <c r="K2" i="1"/>
  <c r="L2" i="1" l="1"/>
  <c r="D12" i="1" l="1"/>
  <c r="E12" i="1"/>
  <c r="K12" i="1" l="1"/>
  <c r="H12" i="1"/>
  <c r="I12" i="1" l="1"/>
  <c r="L12" i="1"/>
  <c r="B4" i="1" l="1"/>
  <c r="D4" i="1" l="1"/>
  <c r="D18" i="1" s="1"/>
  <c r="E4" i="1"/>
  <c r="B18" i="1"/>
  <c r="K4" i="1" l="1"/>
  <c r="H4" i="1"/>
  <c r="E18" i="1"/>
  <c r="H18" i="1" l="1"/>
  <c r="I18" i="1" s="1"/>
  <c r="I4" i="1"/>
  <c r="K18" i="1"/>
  <c r="L18" i="1" s="1"/>
  <c r="L4" i="1"/>
  <c r="N6" i="2" l="1"/>
  <c r="M4" i="2" l="1"/>
  <c r="L4" i="2"/>
  <c r="K4" i="2"/>
  <c r="J4" i="2"/>
  <c r="I4" i="2"/>
  <c r="G4" i="2"/>
  <c r="F4" i="2"/>
  <c r="E4" i="2"/>
  <c r="D4" i="2"/>
  <c r="C4" i="2"/>
  <c r="N5" i="2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tc={4EA062A0-BE3E-4ACB-98F3-2F60190870C5}</author>
  </authors>
  <commentList>
    <comment ref="J11" authorId="0" shapeId="0" xr:uid="{4EA062A0-BE3E-4ACB-98F3-2F6019087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Unified has not booked the 507k reserve for LL according to Kevin’s email</t>
      </text>
    </comment>
  </commentList>
</comments>
</file>

<file path=xl/sharedStrings.xml><?xml version="1.0" encoding="utf-8"?>
<sst xmlns="http://schemas.openxmlformats.org/spreadsheetml/2006/main" count="83" uniqueCount="56">
  <si>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</si>
  <si>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</si>
  <si>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</si>
  <si>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</si>
  <si>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</si>
  <si>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</si>
  <si>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</si>
  <si>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</si>
  <si>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</si>
  <si>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</si>
  <si>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</si>
  <si>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</si>
  <si>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</si>
  <si>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</si>
  <si>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</si>
  <si>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</si>
  <si>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</si>
  <si>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</si>
  <si>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</si>
  <si>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</si>
  <si>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</si>
  <si>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</si>
  <si>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</si>
  <si>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</si>
  <si>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</si>
  <si>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</si>
  <si>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</si>
  <si>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Prior From Unified Files</t>
  </si>
  <si>
    <t>Average Simple12 &amp; Simple6</t>
  </si>
  <si>
    <t>Average Simple3 &amp; Simple6</t>
  </si>
  <si>
    <t>Average Simple12</t>
  </si>
  <si>
    <t>Simple12MS and Avergae 3, 6 and 12 NMS</t>
  </si>
  <si>
    <t>Prior From ARM Scen 6</t>
  </si>
  <si>
    <t>Incurral</t>
  </si>
  <si>
    <t>Month</t>
  </si>
  <si>
    <t>Claim</t>
  </si>
  <si>
    <t>Liability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</si>
  <si>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</si>
  <si>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</si>
  <si>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</si>
  <si>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</si>
  <si>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</si>
  <si>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</si>
  <si>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</si>
  <si>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</si>
  <si>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</si>
  <si>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</si>
  <si>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</si>
  <si>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TOTAL</t>
  </si>
  <si>
    <t>TY 2024</t>
  </si>
  <si>
    <t>Changed to: Average Simple6 &amp; Simple12</t>
  </si>
  <si>
    <t>We continue using:  Volume All + Change in methodology for the last 3 months (form IELR to BF)</t>
  </si>
  <si>
    <t>We continue using: Change in methodology for the last 3 months (form IELR to BF)</t>
  </si>
  <si>
    <t>IBNR is lower because April payments fell out of the moving triangle, reducing the tail</t>
  </si>
  <si>
    <t>We have deleted some big movements from the calculation of the completion factors</t>
  </si>
  <si>
    <t>Lower IBNR due to high payments for incurral month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</si>
</sst>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5" fillId="0" borderId="0" xfId="0" applyNumberFormat="1" applyFont="1"/>
    <xf numFmtId="0" fontId="3" fillId="0" borderId="0" xfId="0" applyFont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165" fontId="0" fillId="0" borderId="0" xfId="0" applyNumberFormat="1"/>
    <xf numFmtId="43" fontId="0" fillId="0" borderId="0" xfId="0" applyNumberFormat="1"/>
    <xf numFmtId="43" fontId="0" fillId="0" borderId="0" xfId="2" applyFont="1"/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Fill="1" applyAlignment="1">
      <alignment wrapText="1"/>
    </xf>
    <xf numFmtId="9" fontId="6" fillId="0" borderId="0" xfId="1" applyFont="1" applyFill="1" applyAlignment="1">
      <alignment wrapText="1"/>
    </xf>
    <xf numFmtId="164" fontId="0" fillId="3" borderId="0" xfId="0" applyNumberFormat="1" applyFill="1"/>
    <xf numFmtId="9" fontId="0" fillId="3" borderId="0" xfId="1" applyFont="1" applyFill="1"/>
    <xf numFmtId="164" fontId="0" fillId="0" borderId="0" xfId="2" applyNumberFormat="1" applyFont="1" applyFill="1"/>
    <xf numFmtId="9" fontId="0" fillId="0" borderId="0" xfId="1" applyFont="1" applyFill="1"/>
    <xf numFmtId="0" fontId="0" fillId="4" borderId="0" xfId="0" applyFill="1"/>
    <xf numFmtId="164" fontId="0" fillId="4" borderId="0" xfId="0" applyNumberFormat="1" applyFill="1"/>
    <xf numFmtId="10" fontId="0" fillId="4" borderId="0" xfId="0" applyNumberFormat="1" applyFill="1"/>
    <xf numFmtId="164" fontId="0" fillId="4" borderId="0" xfId="2" applyNumberFormat="1" applyFont="1" applyFill="1"/>
    <xf numFmtId="9" fontId="0" fillId="4" borderId="0" xfId="1" applyFont="1" applyFill="1"/>
    <xf numFmtId="9" fontId="0" fillId="4" borderId="0" xfId="1" applyFont="1" applyFill="1" applyAlignment="1">
      <alignment wrapText="1"/>
    </xf>
    <xf numFmtId="0" fontId="0" fillId="0" borderId="0" xfId="0" applyAlignment="1">
      <alignment wrapText="1"/>
    </xf>
    <xf numFmtId="164" fontId="3" fillId="0" borderId="0" xfId="0" applyNumberFormat="1" applyFont="1"/>
    <xf numFmtId="0" fontId="0" fillId="0" borderId="0" xfId="0" applyFill="1"/>
    <xf numFmtId="164" fontId="0" fillId="0" borderId="0" xfId="0" applyNumberFormat="1" applyFill="1"/>
    <xf numFmtId="10" fontId="0" fillId="0" borderId="0" xfId="0" applyNumberFormat="1" applyFill="1"/>
    <xf numFmtId="0" fontId="6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microsoft.com/office/2017/10/relationships/person" Target="persons/perso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Allocation_XCH.xlsx" TargetMode="External"/><Relationship Id="rId1" Type="http://schemas.openxmlformats.org/officeDocument/2006/relationships/externalLinkPath" Target="Allocation_XCH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S02\Unified$\01_Financial_Reporting\03_Stat\99_ARM_IBNP_Process\2025.04\Unified_Claims_Liability_Summary_0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6819.6606046780089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85842.862185714243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/>
      <sheetData sheetId="1"/>
      <sheetData sheetId="2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68560.459281530522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5">
          <cell r="E35">
            <v>507000</v>
          </cell>
        </row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160017.84869688915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/>
      <sheetData sheetId="1">
        <row r="35">
          <cell r="H35">
            <v>7.4999999999999997E-2</v>
          </cell>
        </row>
        <row r="36">
          <cell r="H36">
            <v>60621.568508703676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/>
      <sheetData sheetId="1"/>
      <sheetData sheetId="2"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8">
          <cell r="A8">
            <v>45047</v>
          </cell>
          <cell r="H8">
            <v>0</v>
          </cell>
        </row>
        <row r="9">
          <cell r="A9">
            <v>45078</v>
          </cell>
          <cell r="H9">
            <v>0</v>
          </cell>
        </row>
        <row r="10">
          <cell r="A10">
            <v>45108</v>
          </cell>
          <cell r="H10">
            <v>0</v>
          </cell>
        </row>
        <row r="11">
          <cell r="A11">
            <v>45139</v>
          </cell>
          <cell r="H11">
            <v>0</v>
          </cell>
        </row>
        <row r="12">
          <cell r="A12">
            <v>45170</v>
          </cell>
          <cell r="H12">
            <v>5.7246335095551331</v>
          </cell>
        </row>
        <row r="13">
          <cell r="A13">
            <v>45200</v>
          </cell>
          <cell r="H13">
            <v>9.8752139325661119</v>
          </cell>
        </row>
        <row r="14">
          <cell r="A14">
            <v>45231</v>
          </cell>
          <cell r="H14">
            <v>87.641531743080122</v>
          </cell>
        </row>
        <row r="15">
          <cell r="A15">
            <v>45261</v>
          </cell>
          <cell r="H15">
            <v>186.94398931981414</v>
          </cell>
        </row>
        <row r="16">
          <cell r="A16">
            <v>45292</v>
          </cell>
          <cell r="H16">
            <v>329.47577156301122</v>
          </cell>
        </row>
        <row r="17">
          <cell r="A17">
            <v>45323</v>
          </cell>
          <cell r="H17">
            <v>476.93558834749274</v>
          </cell>
        </row>
        <row r="18">
          <cell r="A18">
            <v>45352</v>
          </cell>
          <cell r="H18">
            <v>880.01448790368158</v>
          </cell>
        </row>
        <row r="19">
          <cell r="A19">
            <v>45383</v>
          </cell>
          <cell r="H19">
            <v>1828.9400653282064</v>
          </cell>
        </row>
        <row r="20">
          <cell r="A20">
            <v>45413</v>
          </cell>
          <cell r="H20">
            <v>3124.8082136861049</v>
          </cell>
        </row>
        <row r="21">
          <cell r="A21">
            <v>45444</v>
          </cell>
          <cell r="H21">
            <v>3244.6645041573502</v>
          </cell>
        </row>
        <row r="22">
          <cell r="A22">
            <v>45474</v>
          </cell>
          <cell r="H22">
            <v>4000.2785609582206</v>
          </cell>
        </row>
        <row r="23">
          <cell r="A23">
            <v>45505</v>
          </cell>
          <cell r="H23">
            <v>7044.7817021331866</v>
          </cell>
        </row>
        <row r="24">
          <cell r="A24">
            <v>45536</v>
          </cell>
          <cell r="H24">
            <v>6569.9906270338834</v>
          </cell>
        </row>
        <row r="25">
          <cell r="A25">
            <v>45566</v>
          </cell>
          <cell r="H25">
            <v>10089.44521042108</v>
          </cell>
        </row>
        <row r="26">
          <cell r="A26">
            <v>45597</v>
          </cell>
          <cell r="H26">
            <v>9346.6062436414068</v>
          </cell>
        </row>
        <row r="27">
          <cell r="A27">
            <v>45627</v>
          </cell>
          <cell r="H27">
            <v>16293.447032806085</v>
          </cell>
        </row>
        <row r="28">
          <cell r="A28">
            <v>45658</v>
          </cell>
          <cell r="H28">
            <v>25448.703938125851</v>
          </cell>
        </row>
        <row r="29">
          <cell r="A29">
            <v>45689</v>
          </cell>
          <cell r="H29">
            <v>27864.690000000002</v>
          </cell>
        </row>
        <row r="30">
          <cell r="A30">
            <v>45717</v>
          </cell>
          <cell r="H30">
            <v>9786.2199999999866</v>
          </cell>
        </row>
        <row r="31">
          <cell r="A31">
            <v>45748</v>
          </cell>
          <cell r="H31">
            <v>-9825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</sheetNames>
    <sheetDataSet>
      <sheetData sheetId="0">
        <row r="5">
          <cell r="U5">
            <v>0</v>
          </cell>
          <cell r="V5">
            <v>0</v>
          </cell>
          <cell r="W5">
            <v>0.22745893325698865</v>
          </cell>
          <cell r="AB5">
            <v>0</v>
          </cell>
          <cell r="AC5">
            <v>5.8928035177394996E-5</v>
          </cell>
          <cell r="AD5">
            <v>2.8584651901395895E-2</v>
          </cell>
          <cell r="AE5">
            <v>0</v>
          </cell>
          <cell r="AF5">
            <v>0</v>
          </cell>
          <cell r="AG5">
            <v>0</v>
          </cell>
          <cell r="AH5">
            <v>0.74389748680643808</v>
          </cell>
          <cell r="AI5">
            <v>0</v>
          </cell>
        </row>
        <row r="6">
          <cell r="U6">
            <v>-3.0275486991909947E-5</v>
          </cell>
          <cell r="V6">
            <v>0</v>
          </cell>
          <cell r="W6">
            <v>0.1828545429976742</v>
          </cell>
          <cell r="AB6">
            <v>0</v>
          </cell>
          <cell r="AC6">
            <v>6.0964505056143169E-5</v>
          </cell>
          <cell r="AD6">
            <v>2.9480831147089794E-2</v>
          </cell>
          <cell r="AE6">
            <v>0</v>
          </cell>
          <cell r="AF6">
            <v>0</v>
          </cell>
          <cell r="AG6">
            <v>0</v>
          </cell>
          <cell r="AH6">
            <v>0.78763393683717176</v>
          </cell>
          <cell r="AI6">
            <v>0</v>
          </cell>
        </row>
        <row r="7">
          <cell r="U7">
            <v>0</v>
          </cell>
          <cell r="V7">
            <v>0</v>
          </cell>
          <cell r="W7">
            <v>0.13674019507634128</v>
          </cell>
          <cell r="AB7">
            <v>0</v>
          </cell>
          <cell r="AC7">
            <v>6.0146859681062323E-5</v>
          </cell>
          <cell r="AD7">
            <v>3.0601033148382344E-2</v>
          </cell>
          <cell r="AE7">
            <v>0</v>
          </cell>
          <cell r="AF7">
            <v>0</v>
          </cell>
          <cell r="AG7">
            <v>0</v>
          </cell>
          <cell r="AH7">
            <v>0.83259862491559533</v>
          </cell>
          <cell r="AI7">
            <v>0</v>
          </cell>
        </row>
        <row r="8">
          <cell r="U8">
            <v>-4.6666518731700187E-4</v>
          </cell>
          <cell r="V8">
            <v>-3.8888765609750161E-4</v>
          </cell>
          <cell r="W8">
            <v>0.10375008402047314</v>
          </cell>
          <cell r="AB8">
            <v>0</v>
          </cell>
          <cell r="AC8">
            <v>6.0873180402649462E-5</v>
          </cell>
          <cell r="AD8">
            <v>2.9833606001700694E-2</v>
          </cell>
          <cell r="AE8">
            <v>0</v>
          </cell>
          <cell r="AF8">
            <v>0</v>
          </cell>
          <cell r="AG8">
            <v>0</v>
          </cell>
          <cell r="AH8">
            <v>0.86721098964083798</v>
          </cell>
          <cell r="AI8">
            <v>0</v>
          </cell>
        </row>
        <row r="9">
          <cell r="U9">
            <v>0</v>
          </cell>
          <cell r="V9">
            <v>0</v>
          </cell>
          <cell r="W9">
            <v>6.8743792688376493E-2</v>
          </cell>
          <cell r="AB9">
            <v>0</v>
          </cell>
          <cell r="AC9">
            <v>0</v>
          </cell>
          <cell r="AD9">
            <v>2.7157424920982495E-2</v>
          </cell>
          <cell r="AE9">
            <v>0</v>
          </cell>
          <cell r="AF9">
            <v>0</v>
          </cell>
          <cell r="AG9">
            <v>0</v>
          </cell>
          <cell r="AH9">
            <v>0.90409878239064101</v>
          </cell>
          <cell r="AI9">
            <v>0</v>
          </cell>
        </row>
        <row r="10">
          <cell r="U10">
            <v>0</v>
          </cell>
          <cell r="V10">
            <v>0</v>
          </cell>
          <cell r="W10">
            <v>3.3731933711271818E-2</v>
          </cell>
          <cell r="AB10">
            <v>0</v>
          </cell>
          <cell r="AC10">
            <v>6.1471064121409959E-5</v>
          </cell>
          <cell r="AD10">
            <v>2.3109960888650711E-2</v>
          </cell>
          <cell r="AE10">
            <v>0</v>
          </cell>
          <cell r="AF10">
            <v>0</v>
          </cell>
          <cell r="AG10">
            <v>0</v>
          </cell>
          <cell r="AH10">
            <v>0.94295986911539076</v>
          </cell>
          <cell r="AI10">
            <v>1.3676522056529114E-4</v>
          </cell>
        </row>
        <row r="11">
          <cell r="U11">
            <v>0</v>
          </cell>
          <cell r="V11">
            <v>0</v>
          </cell>
          <cell r="W11">
            <v>-1.3609529531209555E-3</v>
          </cell>
          <cell r="AB11">
            <v>0</v>
          </cell>
          <cell r="AC11">
            <v>6.2229537646112665E-5</v>
          </cell>
          <cell r="AD11">
            <v>1.9529018429213358E-2</v>
          </cell>
          <cell r="AE11">
            <v>0</v>
          </cell>
          <cell r="AF11">
            <v>0</v>
          </cell>
          <cell r="AG11">
            <v>0</v>
          </cell>
          <cell r="AH11">
            <v>0.96253925569226007</v>
          </cell>
          <cell r="AI11">
            <v>1.923044929400131E-2</v>
          </cell>
        </row>
        <row r="12">
          <cell r="U12">
            <v>0</v>
          </cell>
          <cell r="V12">
            <v>0</v>
          </cell>
          <cell r="W12">
            <v>-7.7550351772633129E-4</v>
          </cell>
          <cell r="AB12">
            <v>0</v>
          </cell>
          <cell r="AC12">
            <v>5.9668268444387181E-5</v>
          </cell>
          <cell r="AD12">
            <v>1.5898509310323182E-2</v>
          </cell>
          <cell r="AE12">
            <v>0</v>
          </cell>
          <cell r="AF12">
            <v>0</v>
          </cell>
          <cell r="AG12">
            <v>0</v>
          </cell>
          <cell r="AH12">
            <v>0.79472848664147222</v>
          </cell>
          <cell r="AI12">
            <v>0.19008883929748643</v>
          </cell>
        </row>
        <row r="13">
          <cell r="U13">
            <v>0</v>
          </cell>
          <cell r="V13">
            <v>0</v>
          </cell>
          <cell r="W13">
            <v>-7.1608985331571309E-5</v>
          </cell>
          <cell r="AB13">
            <v>0</v>
          </cell>
          <cell r="AC13">
            <v>5.6045320726849162E-5</v>
          </cell>
          <cell r="AD13">
            <v>1.2285572412995891E-2</v>
          </cell>
          <cell r="AE13">
            <v>0</v>
          </cell>
          <cell r="AF13">
            <v>0</v>
          </cell>
          <cell r="AG13">
            <v>0</v>
          </cell>
          <cell r="AH13">
            <v>0.6185510654658245</v>
          </cell>
          <cell r="AI13">
            <v>0.36917892578578421</v>
          </cell>
        </row>
        <row r="14">
          <cell r="U14">
            <v>0</v>
          </cell>
          <cell r="V14">
            <v>0</v>
          </cell>
          <cell r="W14">
            <v>-1.6957195401925884E-4</v>
          </cell>
          <cell r="AB14">
            <v>0</v>
          </cell>
          <cell r="AC14">
            <v>5.4317063227791297E-5</v>
          </cell>
          <cell r="AD14">
            <v>1.0159200350282244E-2</v>
          </cell>
          <cell r="AE14">
            <v>0</v>
          </cell>
          <cell r="AF14">
            <v>0</v>
          </cell>
          <cell r="AG14">
            <v>0</v>
          </cell>
          <cell r="AH14">
            <v>0.47108369436447789</v>
          </cell>
          <cell r="AI14">
            <v>0.51887236017603144</v>
          </cell>
        </row>
        <row r="15">
          <cell r="U15">
            <v>0</v>
          </cell>
          <cell r="V15">
            <v>0</v>
          </cell>
          <cell r="W15">
            <v>0</v>
          </cell>
          <cell r="AB15">
            <v>0</v>
          </cell>
          <cell r="AC15">
            <v>5.1879187314968443E-5</v>
          </cell>
          <cell r="AD15">
            <v>7.8257384577390138E-3</v>
          </cell>
          <cell r="AE15">
            <v>0</v>
          </cell>
          <cell r="AF15">
            <v>0</v>
          </cell>
          <cell r="AG15">
            <v>0</v>
          </cell>
          <cell r="AH15">
            <v>0.31427239728298756</v>
          </cell>
          <cell r="AI15">
            <v>0.67784998507195837</v>
          </cell>
        </row>
        <row r="16">
          <cell r="U16">
            <v>0</v>
          </cell>
          <cell r="V16">
            <v>0</v>
          </cell>
          <cell r="W16">
            <v>-4.3847889195047763E-4</v>
          </cell>
          <cell r="AB16">
            <v>0</v>
          </cell>
          <cell r="AC16">
            <v>5.406528308341123E-5</v>
          </cell>
          <cell r="AD16">
            <v>5.590939599079997E-3</v>
          </cell>
          <cell r="AE16">
            <v>0</v>
          </cell>
          <cell r="AF16">
            <v>0</v>
          </cell>
          <cell r="AG16">
            <v>0</v>
          </cell>
          <cell r="AH16">
            <v>0.24671313353744417</v>
          </cell>
          <cell r="AI16">
            <v>0.74808034047234295</v>
          </cell>
        </row>
        <row r="17">
          <cell r="U17">
            <v>0</v>
          </cell>
          <cell r="V17">
            <v>0</v>
          </cell>
          <cell r="W17">
            <v>0</v>
          </cell>
          <cell r="AB17">
            <v>0</v>
          </cell>
          <cell r="AC17">
            <v>5.2748455149190415E-5</v>
          </cell>
          <cell r="AD17">
            <v>3.2009804215382726E-3</v>
          </cell>
          <cell r="AE17">
            <v>0</v>
          </cell>
          <cell r="AF17">
            <v>0</v>
          </cell>
          <cell r="AG17">
            <v>0</v>
          </cell>
          <cell r="AH17">
            <v>0.1966215428093403</v>
          </cell>
          <cell r="AI17">
            <v>0.8001247283139723</v>
          </cell>
        </row>
        <row r="18">
          <cell r="U18">
            <v>0</v>
          </cell>
          <cell r="V18">
            <v>0</v>
          </cell>
          <cell r="W18">
            <v>-9.3331188286351156E-5</v>
          </cell>
          <cell r="AB18">
            <v>0</v>
          </cell>
          <cell r="AC18">
            <v>5.410584258974003E-5</v>
          </cell>
          <cell r="AD18">
            <v>1.574352456357426E-3</v>
          </cell>
          <cell r="AE18">
            <v>0</v>
          </cell>
          <cell r="AF18">
            <v>0</v>
          </cell>
          <cell r="AG18">
            <v>0</v>
          </cell>
          <cell r="AH18">
            <v>0.14878105893108692</v>
          </cell>
          <cell r="AI18">
            <v>0.84968381395825232</v>
          </cell>
        </row>
        <row r="19">
          <cell r="U19">
            <v>0</v>
          </cell>
          <cell r="V19">
            <v>0</v>
          </cell>
          <cell r="W19">
            <v>0</v>
          </cell>
          <cell r="AB19">
            <v>0</v>
          </cell>
          <cell r="AC19">
            <v>6.1423317113352258E-5</v>
          </cell>
          <cell r="AD19">
            <v>4.2437009965344221E-4</v>
          </cell>
          <cell r="AE19">
            <v>0</v>
          </cell>
          <cell r="AF19">
            <v>0</v>
          </cell>
          <cell r="AG19">
            <v>0</v>
          </cell>
          <cell r="AH19">
            <v>0.12609982394776884</v>
          </cell>
          <cell r="AI19">
            <v>0.87341438263546434</v>
          </cell>
        </row>
        <row r="20">
          <cell r="U20">
            <v>0</v>
          </cell>
          <cell r="V20">
            <v>0</v>
          </cell>
          <cell r="W20">
            <v>0</v>
          </cell>
          <cell r="AB20">
            <v>0</v>
          </cell>
          <cell r="AC20">
            <v>6.6843867997460431E-5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0.10274334076655466</v>
          </cell>
          <cell r="AI20">
            <v>0.89718981536544784</v>
          </cell>
        </row>
        <row r="21">
          <cell r="U21">
            <v>0</v>
          </cell>
          <cell r="V21">
            <v>0</v>
          </cell>
          <cell r="W21">
            <v>0</v>
          </cell>
          <cell r="AB21">
            <v>0</v>
          </cell>
          <cell r="AC21">
            <v>7.3160893563363531E-5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7.1468824206331161E-2</v>
          </cell>
          <cell r="AI21">
            <v>0.92845801490010549</v>
          </cell>
        </row>
        <row r="22">
          <cell r="U22">
            <v>0</v>
          </cell>
          <cell r="V22">
            <v>0</v>
          </cell>
          <cell r="W22">
            <v>0</v>
          </cell>
          <cell r="AB22">
            <v>0</v>
          </cell>
          <cell r="AC22">
            <v>8.0234016155321185E-5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3.5718040020694279E-2</v>
          </cell>
          <cell r="AI22">
            <v>0.96420172596315046</v>
          </cell>
        </row>
        <row r="23">
          <cell r="U23">
            <v>0</v>
          </cell>
          <cell r="V23">
            <v>0</v>
          </cell>
          <cell r="W23">
            <v>0</v>
          </cell>
          <cell r="AB23">
            <v>5.4619733207480143E-3</v>
          </cell>
          <cell r="AC23">
            <v>8.8663664349146118E-5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-8.6460285722257777E-4</v>
          </cell>
          <cell r="AI23">
            <v>0.99531396587212539</v>
          </cell>
        </row>
        <row r="24">
          <cell r="U24">
            <v>0</v>
          </cell>
          <cell r="V24">
            <v>0</v>
          </cell>
          <cell r="W24">
            <v>0</v>
          </cell>
          <cell r="AB24">
            <v>6.8708907182364609E-2</v>
          </cell>
          <cell r="AC24">
            <v>9.6129038721270779E-5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-1.661362708259907E-4</v>
          </cell>
          <cell r="AI24">
            <v>0.93136110004974015</v>
          </cell>
        </row>
        <row r="25">
          <cell r="U25">
            <v>0</v>
          </cell>
          <cell r="V25">
            <v>0</v>
          </cell>
          <cell r="W25">
            <v>0</v>
          </cell>
          <cell r="AB25">
            <v>0.16769798082274415</v>
          </cell>
          <cell r="AC25">
            <v>1.0603754919303136E-4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-6.3190968678404223E-4</v>
          </cell>
          <cell r="AI25">
            <v>0.8328278913148468</v>
          </cell>
        </row>
        <row r="26">
          <cell r="U26">
            <v>0</v>
          </cell>
          <cell r="V26">
            <v>0</v>
          </cell>
          <cell r="W26">
            <v>0</v>
          </cell>
          <cell r="AB26">
            <v>0.3382459735055553</v>
          </cell>
          <cell r="AC26">
            <v>1.1616977205699821E-4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0.66163785672238762</v>
          </cell>
        </row>
        <row r="27">
          <cell r="U27">
            <v>0</v>
          </cell>
          <cell r="V27">
            <v>0</v>
          </cell>
          <cell r="W27">
            <v>0</v>
          </cell>
          <cell r="AB27">
            <v>0.51371390561926755</v>
          </cell>
          <cell r="AC27">
            <v>1.3678970120040062E-4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-1.3826866076528061E-3</v>
          </cell>
          <cell r="AI27">
            <v>0.48753199128718488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XCH Allocation"/>
    </sheetNames>
    <sheetDataSet>
      <sheetData sheetId="0">
        <row r="2">
          <cell r="E2">
            <v>7331.1351500288592</v>
          </cell>
        </row>
        <row r="3">
          <cell r="E3">
            <v>2702.4369041885366</v>
          </cell>
        </row>
        <row r="4">
          <cell r="E4">
            <v>40522.306839247452</v>
          </cell>
        </row>
        <row r="5">
          <cell r="E5">
            <v>313245.33722539881</v>
          </cell>
        </row>
        <row r="6">
          <cell r="E6">
            <v>48773.56793067939</v>
          </cell>
        </row>
        <row r="7">
          <cell r="E7">
            <v>59639.934469116335</v>
          </cell>
        </row>
        <row r="8">
          <cell r="E8">
            <v>92281.076849642806</v>
          </cell>
        </row>
        <row r="9">
          <cell r="B9">
            <v>98752.846041394805</v>
          </cell>
          <cell r="E9">
            <v>106159.30949449941</v>
          </cell>
        </row>
        <row r="10">
          <cell r="E10">
            <v>73702.493727645313</v>
          </cell>
        </row>
        <row r="11">
          <cell r="B11">
            <v>235149.26040499116</v>
          </cell>
          <cell r="E11">
            <v>246906.72342524072</v>
          </cell>
        </row>
        <row r="12">
          <cell r="B12">
            <v>10505.619791504278</v>
          </cell>
          <cell r="E12">
            <v>11030.900781079492</v>
          </cell>
        </row>
        <row r="13">
          <cell r="E13">
            <v>17276.979617531899</v>
          </cell>
        </row>
        <row r="14">
          <cell r="B14">
            <v>135428.50541240559</v>
          </cell>
          <cell r="E14">
            <v>145585.64331833602</v>
          </cell>
        </row>
        <row r="15">
          <cell r="E15">
            <v>40676.348266277222</v>
          </cell>
        </row>
        <row r="16">
          <cell r="B16">
            <v>290107.76076621248</v>
          </cell>
          <cell r="E16">
            <v>311865.84282367839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vol all BF"/>
    </sheetNames>
    <sheetDataSet>
      <sheetData sheetId="0" refreshError="1"/>
      <sheetData sheetId="1" refreshError="1"/>
      <sheetData sheetId="2" refreshError="1"/>
      <sheetData sheetId="3">
        <row r="33">
          <cell r="H33">
            <v>261411.10482706933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 refreshError="1"/>
      <sheetData sheetId="1" refreshError="1"/>
      <sheetData sheetId="2" refreshError="1"/>
      <sheetData sheetId="3">
        <row r="33">
          <cell r="H33">
            <v>1891.6515663455048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 refreshError="1"/>
      <sheetData sheetId="1" refreshError="1"/>
      <sheetData sheetId="2" refreshError="1"/>
      <sheetData sheetId="3">
        <row r="33">
          <cell r="H33">
            <v>42793.317773003218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33631.555074797754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37695.16915278833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55479.008808480314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H35">
            <v>7.4999999999999997E-2</v>
          </cell>
        </row>
        <row r="36">
          <cell r="H36">
            <v>43941.36</v>
          </cell>
        </row>
      </sheetData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10-08T17:48:23.40" personId="{FC6D6499-D49C-4EF0-B72D-3446266526EE}" id="{4EA062A0-BE3E-4ACB-98F3-2F60190870C5}">
    <text>Unified has not booked the 507k reserve for LL according to Kevin’s email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P18"/>
  <sheetViews>
    <sheetView tabSelected="1" zoomScaleNormal="100" workbookViewId="0">
      <selection activeCell="B16" sqref="B16"/>
    </sheetView>
  </sheetViews>
  <sheetFormatPr defaultRowHeight="13.2" x14ac:dyDescent="0.3"/>
  <cols>
    <col min="1" max="1" width="15.85546875" bestFit="1" customWidth="1"/>
    <col min="2" max="2" width="14.85546875" bestFit="1" customWidth="1"/>
    <col min="3" max="3" width="15.42578125" bestFit="1" customWidth="1"/>
    <col min="4" max="4" width="12.42578125" bestFit="1" customWidth="1"/>
    <col min="5" max="5" width="21" bestFit="1" customWidth="1"/>
    <col min="7" max="7" width="23.140625" bestFit="1" customWidth="1"/>
    <col min="8" max="9" width="18.140625" customWidth="1"/>
    <col min="10" max="10" width="23.140625" hidden="1" customWidth="1"/>
    <col min="11" max="12" width="18.140625" hidden="1" customWidth="1"/>
    <col min="13" max="13" width="70.5703125" customWidth="1"/>
    <col min="14" max="14" width="3.85546875" customWidth="1"/>
    <col min="15" max="15" width="40.140625" bestFit="1" customWidth="1"/>
    <col min="16" max="16" width="13.57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32</v>
      </c>
      <c r="H1" s="2" t="s">
        <v>22</v>
      </c>
      <c r="I1" s="2" t="s">
        <v>23</v>
      </c>
      <c r="J1" s="2" t="s">
        <v>27</v>
      </c>
      <c r="K1" s="2" t="s">
        <v>22</v>
      </c>
      <c r="L1" s="2" t="s">
        <v>23</v>
      </c>
      <c r="M1" s="2" t="s">
        <v>24</v>
      </c>
      <c r="O1" s="2" t="s">
        <v>21</v>
      </c>
      <c r="P1" s="2" t="s">
        <v>26</v>
      </c>
    </row>
    <row r="2" spans="1:16" x14ac:dyDescent="0.3">
      <c r="A2" t="s">
        <v>5</v>
      </c>
      <c r="B2" s="6">
        <f>+[1]Summary!$H$33</f>
        <v>6819.6606046780089</v>
      </c>
      <c r="C2" s="3">
        <f>+[2]Summary!$H$35</f>
        <v>7.4999999999999997E-2</v>
      </c>
      <c r="D2" s="5">
        <f>+B2*C2</f>
        <v>511.47454535085063</v>
      </c>
      <c r="E2" s="5">
        <f>+B2+D2</f>
        <v>7331.1351500288592</v>
      </c>
      <c r="G2" s="6">
        <f>[24]Summary!E2</f>
        <v>7331.1351500288592</v>
      </c>
      <c r="H2" s="6">
        <f>+E2-G2</f>
        <v>0</v>
      </c>
      <c r="I2" s="7">
        <f>+H2/G2</f>
        <v>0</v>
      </c>
      <c r="J2" s="26">
        <f>+[2]Summary!$H$36</f>
        <v>10194.181693825194</v>
      </c>
      <c r="K2" s="26">
        <f>+E2-J2</f>
        <v>-2863.0465437963348</v>
      </c>
      <c r="L2" s="27">
        <f>+K2/J2</f>
        <v>-0.28085104128863386</v>
      </c>
      <c r="M2" s="8"/>
      <c r="O2" t="s">
        <v>28</v>
      </c>
      <c r="P2" s="6" t="s">
        <v>25</v>
      </c>
    </row>
    <row r="3" spans="1:16" s="38" customFormat="1" x14ac:dyDescent="0.3">
      <c r="A3" s="38" t="s">
        <v>6</v>
      </c>
      <c r="B3" s="39">
        <f>+'[26]Summary - BF'!$H$33</f>
        <v>1891.6515663455048</v>
      </c>
      <c r="C3" s="40">
        <f>+[3]Summary!$H$35</f>
        <v>7.4999999999999997E-2</v>
      </c>
      <c r="D3" s="28">
        <f t="shared" ref="D3:D16" si="0">+B3*C3</f>
        <v>141.87386747591285</v>
      </c>
      <c r="E3" s="28">
        <f t="shared" ref="E3:E16" si="1">+B3+D3</f>
        <v>2033.5254338214177</v>
      </c>
      <c r="G3" s="39">
        <f>[24]Summary!E3</f>
        <v>2702.4369041885366</v>
      </c>
      <c r="H3" s="39">
        <f t="shared" ref="H3:H16" si="2">+E3-G3</f>
        <v>-668.91147036711891</v>
      </c>
      <c r="I3" s="29">
        <f t="shared" ref="I3:I16" si="3">+H3/G3</f>
        <v>-0.24752158665771834</v>
      </c>
      <c r="J3" s="39">
        <f>+[3]Summary!$H$36</f>
        <v>2852.8990141421973</v>
      </c>
      <c r="K3" s="39">
        <f t="shared" ref="K3:K16" si="4">+E3-J3</f>
        <v>-819.37358032077964</v>
      </c>
      <c r="L3" s="29">
        <f t="shared" ref="L3:L16" si="5">+K3/J3</f>
        <v>-0.28720735513561346</v>
      </c>
      <c r="M3" s="25" t="s">
        <v>52</v>
      </c>
      <c r="O3" s="38" t="s">
        <v>29</v>
      </c>
      <c r="P3" s="39" t="s">
        <v>25</v>
      </c>
    </row>
    <row r="4" spans="1:16" s="38" customFormat="1" x14ac:dyDescent="0.3">
      <c r="A4" s="38" t="s">
        <v>15</v>
      </c>
      <c r="B4" s="39">
        <f>+[4]Summary!$H$33</f>
        <v>37695.16915278833</v>
      </c>
      <c r="C4" s="40">
        <f>+[5]Summary!$H$35</f>
        <v>7.4999999999999997E-2</v>
      </c>
      <c r="D4" s="28">
        <f t="shared" si="0"/>
        <v>2827.1376864591248</v>
      </c>
      <c r="E4" s="28">
        <f t="shared" si="1"/>
        <v>40522.306839247452</v>
      </c>
      <c r="G4" s="39">
        <f>[24]Summary!E4</f>
        <v>40522.306839247452</v>
      </c>
      <c r="H4" s="39">
        <f t="shared" si="2"/>
        <v>0</v>
      </c>
      <c r="I4" s="29">
        <f t="shared" si="3"/>
        <v>0</v>
      </c>
      <c r="J4" s="39">
        <f>+[5]Summary!$H$36</f>
        <v>46527.596958871203</v>
      </c>
      <c r="K4" s="39">
        <f t="shared" si="4"/>
        <v>-6005.2901196237508</v>
      </c>
      <c r="L4" s="29">
        <f t="shared" si="5"/>
        <v>-0.12906942357096629</v>
      </c>
      <c r="M4" s="24" t="s">
        <v>55</v>
      </c>
      <c r="O4" s="38" t="s">
        <v>29</v>
      </c>
      <c r="P4" s="39" t="s">
        <v>25</v>
      </c>
    </row>
    <row r="5" spans="1:16" s="38" customFormat="1" ht="26.4" x14ac:dyDescent="0.3">
      <c r="A5" s="38" t="s">
        <v>7</v>
      </c>
      <c r="B5" s="39">
        <f>+'[25]Summary - vol all BF'!$H$33</f>
        <v>261411.10482706933</v>
      </c>
      <c r="C5" s="40">
        <f>+[6]Summary!$H$35</f>
        <v>7.4999999999999997E-2</v>
      </c>
      <c r="D5" s="28">
        <f t="shared" si="0"/>
        <v>19605.832862030198</v>
      </c>
      <c r="E5" s="28">
        <f>+B5+D5</f>
        <v>281016.93768909952</v>
      </c>
      <c r="G5" s="39">
        <f>[24]Summary!E5</f>
        <v>313245.33722539881</v>
      </c>
      <c r="H5" s="39">
        <f t="shared" si="2"/>
        <v>-32228.399536299286</v>
      </c>
      <c r="I5" s="29">
        <f>+H5/G5</f>
        <v>-0.1028854884856882</v>
      </c>
      <c r="J5" s="39">
        <f>+[6]Summary!$H$36</f>
        <v>88593.393911147272</v>
      </c>
      <c r="K5" s="39">
        <f t="shared" si="4"/>
        <v>192423.54377795226</v>
      </c>
      <c r="L5" s="29">
        <f t="shared" si="5"/>
        <v>2.1719852382101883</v>
      </c>
      <c r="M5" s="41" t="s">
        <v>51</v>
      </c>
      <c r="O5" s="38" t="s">
        <v>50</v>
      </c>
      <c r="P5" s="39" t="s">
        <v>25</v>
      </c>
    </row>
    <row r="6" spans="1:16" s="38" customFormat="1" x14ac:dyDescent="0.3">
      <c r="A6" s="38" t="s">
        <v>8</v>
      </c>
      <c r="B6" s="39">
        <f>+'[27]Summary - BF'!$H$33</f>
        <v>42793.317773003218</v>
      </c>
      <c r="C6" s="40">
        <f>+[7]Summary!$H$35</f>
        <v>7.4999999999999997E-2</v>
      </c>
      <c r="D6" s="28">
        <f t="shared" si="0"/>
        <v>3209.4988329752414</v>
      </c>
      <c r="E6" s="28">
        <f t="shared" si="1"/>
        <v>46002.816605978456</v>
      </c>
      <c r="G6" s="39">
        <f>[24]Summary!E6</f>
        <v>48773.56793067939</v>
      </c>
      <c r="H6" s="39">
        <f t="shared" si="2"/>
        <v>-2770.7513247009338</v>
      </c>
      <c r="I6" s="29">
        <f t="shared" si="3"/>
        <v>-5.6808460858121572E-2</v>
      </c>
      <c r="J6" s="39">
        <f>+[7]Summary!$H$36</f>
        <v>32709.246771985087</v>
      </c>
      <c r="K6" s="39">
        <f t="shared" si="4"/>
        <v>13293.56983399337</v>
      </c>
      <c r="L6" s="29">
        <f t="shared" si="5"/>
        <v>0.40641626285870597</v>
      </c>
      <c r="M6" s="25" t="s">
        <v>52</v>
      </c>
      <c r="O6" s="38" t="s">
        <v>29</v>
      </c>
      <c r="P6" s="39" t="s">
        <v>25</v>
      </c>
    </row>
    <row r="7" spans="1:16" s="38" customFormat="1" x14ac:dyDescent="0.3">
      <c r="A7" s="38" t="s">
        <v>9</v>
      </c>
      <c r="B7" s="39">
        <f>+[8]Summary!$H$33</f>
        <v>55479.008808480314</v>
      </c>
      <c r="C7" s="40">
        <f>+[9]Summary!$H$35</f>
        <v>7.4999999999999997E-2</v>
      </c>
      <c r="D7" s="28">
        <f t="shared" si="0"/>
        <v>4160.9256606360232</v>
      </c>
      <c r="E7" s="28">
        <f t="shared" si="1"/>
        <v>59639.934469116335</v>
      </c>
      <c r="G7" s="39">
        <f>[24]Summary!E7</f>
        <v>59639.934469116335</v>
      </c>
      <c r="H7" s="39">
        <f t="shared" si="2"/>
        <v>0</v>
      </c>
      <c r="I7" s="29">
        <f t="shared" si="3"/>
        <v>0</v>
      </c>
      <c r="J7" s="39">
        <f>+[9]Summary!$H$36</f>
        <v>43941.36</v>
      </c>
      <c r="K7" s="39">
        <f t="shared" si="4"/>
        <v>15698.574469116335</v>
      </c>
      <c r="L7" s="29">
        <f t="shared" si="5"/>
        <v>0.357261916088085</v>
      </c>
      <c r="M7" s="24"/>
      <c r="O7" s="38" t="s">
        <v>29</v>
      </c>
      <c r="P7" s="39" t="s">
        <v>25</v>
      </c>
    </row>
    <row r="8" spans="1:16" s="38" customFormat="1" x14ac:dyDescent="0.3">
      <c r="A8" s="38" t="s">
        <v>10</v>
      </c>
      <c r="B8" s="39">
        <f>+[10]Summary!$H$33</f>
        <v>85842.862185714243</v>
      </c>
      <c r="C8" s="40">
        <f>+[11]Summary!$H$35</f>
        <v>7.4999999999999997E-2</v>
      </c>
      <c r="D8" s="28">
        <f t="shared" si="0"/>
        <v>6438.2146639285684</v>
      </c>
      <c r="E8" s="28">
        <f t="shared" si="1"/>
        <v>92281.076849642806</v>
      </c>
      <c r="G8" s="39">
        <f>[24]Summary!E8</f>
        <v>92281.076849642806</v>
      </c>
      <c r="H8" s="39">
        <f t="shared" si="2"/>
        <v>0</v>
      </c>
      <c r="I8" s="29">
        <f t="shared" si="3"/>
        <v>0</v>
      </c>
      <c r="J8" s="39">
        <f>+[11]Summary!$H$36</f>
        <v>158653.1571364796</v>
      </c>
      <c r="K8" s="39">
        <f t="shared" si="4"/>
        <v>-66372.08028683679</v>
      </c>
      <c r="L8" s="29">
        <f t="shared" si="5"/>
        <v>-0.41834705016138413</v>
      </c>
      <c r="M8" s="25"/>
      <c r="O8" s="38" t="s">
        <v>29</v>
      </c>
      <c r="P8" s="39" t="s">
        <v>25</v>
      </c>
    </row>
    <row r="9" spans="1:16" s="30" customFormat="1" x14ac:dyDescent="0.3">
      <c r="A9" s="30" t="s">
        <v>11</v>
      </c>
      <c r="B9" s="31">
        <f>[24]Summary!B9</f>
        <v>98752.846041394805</v>
      </c>
      <c r="C9" s="32">
        <f>+[12]Summary!$H$35</f>
        <v>7.4999999999999997E-2</v>
      </c>
      <c r="D9" s="33">
        <f t="shared" si="0"/>
        <v>7406.4634531046104</v>
      </c>
      <c r="E9" s="33">
        <f t="shared" si="1"/>
        <v>106159.30949449941</v>
      </c>
      <c r="G9" s="31">
        <f>[24]Summary!E9</f>
        <v>106159.30949449941</v>
      </c>
      <c r="H9" s="31">
        <f t="shared" si="2"/>
        <v>0</v>
      </c>
      <c r="I9" s="34">
        <f t="shared" si="3"/>
        <v>0</v>
      </c>
      <c r="J9" s="31">
        <f>+[12]Summary!$H$36</f>
        <v>167515.8389747378</v>
      </c>
      <c r="K9" s="31">
        <f t="shared" si="4"/>
        <v>-61356.529480238387</v>
      </c>
      <c r="L9" s="34">
        <f t="shared" si="5"/>
        <v>-0.3662730035306766</v>
      </c>
      <c r="M9" s="35"/>
      <c r="O9" s="30" t="s">
        <v>29</v>
      </c>
      <c r="P9" s="31" t="s">
        <v>25</v>
      </c>
    </row>
    <row r="10" spans="1:16" s="38" customFormat="1" x14ac:dyDescent="0.3">
      <c r="A10" s="38" t="s">
        <v>12</v>
      </c>
      <c r="B10" s="39">
        <f>+[13]Summary!$H$33</f>
        <v>68560.459281530522</v>
      </c>
      <c r="C10" s="40">
        <f>+[14]Summary!$H$35</f>
        <v>7.4999999999999997E-2</v>
      </c>
      <c r="D10" s="28">
        <f t="shared" si="0"/>
        <v>5142.0344461147888</v>
      </c>
      <c r="E10" s="28">
        <f t="shared" si="1"/>
        <v>73702.493727645313</v>
      </c>
      <c r="G10" s="39">
        <f>[24]Summary!E10</f>
        <v>73702.493727645313</v>
      </c>
      <c r="H10" s="39">
        <f t="shared" si="2"/>
        <v>0</v>
      </c>
      <c r="I10" s="29">
        <f t="shared" si="3"/>
        <v>0</v>
      </c>
      <c r="J10" s="39">
        <f>+[14]Summary!$H$36</f>
        <v>61403.00276625227</v>
      </c>
      <c r="K10" s="39">
        <f t="shared" si="4"/>
        <v>12299.490961393043</v>
      </c>
      <c r="L10" s="29">
        <f t="shared" si="5"/>
        <v>0.2003076463249607</v>
      </c>
      <c r="M10" s="24"/>
      <c r="O10" s="38" t="s">
        <v>29</v>
      </c>
      <c r="P10" s="39" t="s">
        <v>25</v>
      </c>
    </row>
    <row r="11" spans="1:16" s="30" customFormat="1" x14ac:dyDescent="0.3">
      <c r="A11" s="30" t="s">
        <v>19</v>
      </c>
      <c r="B11" s="31">
        <f>[24]Summary!B11</f>
        <v>235149.26040499116</v>
      </c>
      <c r="C11" s="32">
        <v>0.05</v>
      </c>
      <c r="D11" s="33">
        <f t="shared" si="0"/>
        <v>11757.463020249559</v>
      </c>
      <c r="E11" s="33">
        <f t="shared" si="1"/>
        <v>246906.72342524072</v>
      </c>
      <c r="G11" s="31">
        <f>[24]Summary!E11</f>
        <v>246906.72342524072</v>
      </c>
      <c r="H11" s="31">
        <f t="shared" si="2"/>
        <v>0</v>
      </c>
      <c r="I11" s="34">
        <f t="shared" si="3"/>
        <v>0</v>
      </c>
      <c r="J11" s="31">
        <f>+[15]Summary!$E$36-[15]Summary!$E$35</f>
        <v>121236.15000000002</v>
      </c>
      <c r="K11" s="31">
        <f t="shared" ref="K11" si="6">+E11-J11</f>
        <v>125670.5734252407</v>
      </c>
      <c r="L11" s="34">
        <f t="shared" ref="L11" si="7">+K11/J11</f>
        <v>1.0365767423762688</v>
      </c>
      <c r="M11" s="35"/>
      <c r="O11" s="30" t="s">
        <v>30</v>
      </c>
      <c r="P11" s="31" t="s">
        <v>25</v>
      </c>
    </row>
    <row r="12" spans="1:16" s="30" customFormat="1" x14ac:dyDescent="0.3">
      <c r="A12" s="30" t="s">
        <v>20</v>
      </c>
      <c r="B12" s="31">
        <f>[24]Summary!B12</f>
        <v>10505.619791504278</v>
      </c>
      <c r="C12" s="32">
        <v>0.05</v>
      </c>
      <c r="D12" s="33">
        <f t="shared" si="0"/>
        <v>525.28098957521388</v>
      </c>
      <c r="E12" s="33">
        <f t="shared" si="1"/>
        <v>11030.900781079492</v>
      </c>
      <c r="G12" s="31">
        <f>[24]Summary!E12</f>
        <v>11030.900781079492</v>
      </c>
      <c r="H12" s="31">
        <f t="shared" si="2"/>
        <v>0</v>
      </c>
      <c r="I12" s="34">
        <f t="shared" si="3"/>
        <v>0</v>
      </c>
      <c r="J12" s="31">
        <f>+[16]Summary!$E$36</f>
        <v>21308.7</v>
      </c>
      <c r="K12" s="31">
        <f t="shared" ref="K12" si="8">+E12-J12</f>
        <v>-10277.799218920509</v>
      </c>
      <c r="L12" s="34">
        <f t="shared" ref="L12" si="9">+K12/J12</f>
        <v>-0.48232877739704949</v>
      </c>
      <c r="M12" s="35"/>
      <c r="O12" s="30" t="s">
        <v>30</v>
      </c>
      <c r="P12" s="31" t="s">
        <v>25</v>
      </c>
    </row>
    <row r="13" spans="1:16" s="38" customFormat="1" x14ac:dyDescent="0.3">
      <c r="A13" s="38" t="s">
        <v>17</v>
      </c>
      <c r="B13" s="39">
        <f>+[17]Summary!$H$33</f>
        <v>160017.84869688915</v>
      </c>
      <c r="C13" s="40">
        <f>+[18]Summary!$H$35</f>
        <v>7.4999999999999997E-2</v>
      </c>
      <c r="D13" s="28">
        <f t="shared" si="0"/>
        <v>12001.338652266686</v>
      </c>
      <c r="E13" s="28">
        <f t="shared" si="1"/>
        <v>172019.18734915584</v>
      </c>
      <c r="G13" s="39">
        <f>[24]Summary!E13</f>
        <v>17276.979617531899</v>
      </c>
      <c r="H13" s="39">
        <f t="shared" si="2"/>
        <v>154742.20773162393</v>
      </c>
      <c r="I13" s="29">
        <f t="shared" si="3"/>
        <v>8.9565543953411009</v>
      </c>
      <c r="J13" s="39">
        <f>+[18]Summary!$H$36</f>
        <v>22925.112714356808</v>
      </c>
      <c r="K13" s="39">
        <f t="shared" si="4"/>
        <v>149094.07463479904</v>
      </c>
      <c r="L13" s="29">
        <f t="shared" si="5"/>
        <v>6.5035263508837255</v>
      </c>
      <c r="M13" s="25" t="s">
        <v>54</v>
      </c>
      <c r="O13" s="38" t="s">
        <v>29</v>
      </c>
      <c r="P13" s="39" t="s">
        <v>25</v>
      </c>
    </row>
    <row r="14" spans="1:16" s="30" customFormat="1" x14ac:dyDescent="0.3">
      <c r="A14" s="30" t="s">
        <v>18</v>
      </c>
      <c r="B14" s="31">
        <f>[24]Summary!B14</f>
        <v>135428.50541240559</v>
      </c>
      <c r="C14" s="32">
        <f>+[19]Summary!$H$35</f>
        <v>7.4999999999999997E-2</v>
      </c>
      <c r="D14" s="33">
        <f t="shared" si="0"/>
        <v>10157.137905930418</v>
      </c>
      <c r="E14" s="33">
        <f t="shared" si="1"/>
        <v>145585.64331833602</v>
      </c>
      <c r="G14" s="31">
        <f>[24]Summary!E14</f>
        <v>145585.64331833602</v>
      </c>
      <c r="H14" s="31">
        <f t="shared" si="2"/>
        <v>0</v>
      </c>
      <c r="I14" s="34">
        <f t="shared" si="3"/>
        <v>0</v>
      </c>
      <c r="J14" s="31">
        <f>+[19]Summary!$H$36</f>
        <v>60621.568508703676</v>
      </c>
      <c r="K14" s="31">
        <f t="shared" si="4"/>
        <v>84964.074809632351</v>
      </c>
      <c r="L14" s="34">
        <f t="shared" si="5"/>
        <v>1.4015486055500812</v>
      </c>
      <c r="M14" s="35"/>
      <c r="O14" s="30" t="s">
        <v>29</v>
      </c>
      <c r="P14" s="31" t="s">
        <v>25</v>
      </c>
    </row>
    <row r="15" spans="1:16" s="38" customFormat="1" x14ac:dyDescent="0.3">
      <c r="A15" s="38" t="s">
        <v>13</v>
      </c>
      <c r="B15" s="39">
        <f>+[28]Summary!$L$33</f>
        <v>33631.555074797754</v>
      </c>
      <c r="C15" s="40">
        <f>+[20]Summary!$L$35</f>
        <v>7.4999999999999997E-2</v>
      </c>
      <c r="D15" s="28">
        <f t="shared" si="0"/>
        <v>2522.3666306098316</v>
      </c>
      <c r="E15" s="28">
        <f t="shared" si="1"/>
        <v>36153.921705407585</v>
      </c>
      <c r="G15" s="39">
        <f>[24]Summary!E15</f>
        <v>40676.348266277222</v>
      </c>
      <c r="H15" s="39">
        <f t="shared" si="2"/>
        <v>-4522.4265608696369</v>
      </c>
      <c r="I15" s="29">
        <f t="shared" si="3"/>
        <v>-0.11118074147818624</v>
      </c>
      <c r="J15" s="39">
        <f>+[20]Summary!$L$36</f>
        <v>70721.566596096614</v>
      </c>
      <c r="K15" s="39">
        <f t="shared" si="4"/>
        <v>-34567.644890689029</v>
      </c>
      <c r="L15" s="29">
        <f t="shared" si="5"/>
        <v>-0.48878505602274008</v>
      </c>
      <c r="M15" s="24" t="s">
        <v>53</v>
      </c>
      <c r="O15" s="38" t="s">
        <v>31</v>
      </c>
      <c r="P15" s="39" t="s">
        <v>25</v>
      </c>
    </row>
    <row r="16" spans="1:16" s="30" customFormat="1" x14ac:dyDescent="0.3">
      <c r="A16" s="30" t="s">
        <v>16</v>
      </c>
      <c r="B16" s="31">
        <f>[24]Summary!B16</f>
        <v>290107.76076621248</v>
      </c>
      <c r="C16" s="32">
        <f>+[21]Summary!$H$35</f>
        <v>7.4999999999999997E-2</v>
      </c>
      <c r="D16" s="33">
        <f t="shared" si="0"/>
        <v>21758.082057465934</v>
      </c>
      <c r="E16" s="33">
        <f t="shared" si="1"/>
        <v>311865.84282367839</v>
      </c>
      <c r="G16" s="31">
        <f>[24]Summary!E16</f>
        <v>311865.84282367839</v>
      </c>
      <c r="H16" s="31">
        <f t="shared" si="2"/>
        <v>0</v>
      </c>
      <c r="I16" s="34">
        <f t="shared" si="3"/>
        <v>0</v>
      </c>
      <c r="J16" s="31">
        <f>+[21]Summary!$H$36</f>
        <v>777303.67606529</v>
      </c>
      <c r="K16" s="31">
        <f t="shared" si="4"/>
        <v>-465437.8332416116</v>
      </c>
      <c r="L16" s="34">
        <f t="shared" si="5"/>
        <v>-0.59878506634325623</v>
      </c>
      <c r="M16" s="35"/>
      <c r="O16" s="30" t="s">
        <v>29</v>
      </c>
      <c r="P16" s="31" t="s">
        <v>25</v>
      </c>
    </row>
    <row r="17" spans="1:13" x14ac:dyDescent="0.3">
      <c r="B17" s="6"/>
      <c r="M17" s="36"/>
    </row>
    <row r="18" spans="1:13" x14ac:dyDescent="0.3">
      <c r="A18" s="4" t="s">
        <v>14</v>
      </c>
      <c r="B18" s="37">
        <f>+SUM(B2:B17)</f>
        <v>1524086.6303878045</v>
      </c>
      <c r="C18" s="4"/>
      <c r="D18" s="37">
        <f>+SUM(D2:D17)</f>
        <v>108165.12527417297</v>
      </c>
      <c r="E18" s="37">
        <f>+SUM(E2:E17)</f>
        <v>1632251.7556619777</v>
      </c>
      <c r="F18" s="4"/>
      <c r="G18" s="37">
        <f>+SUM(G2:G17)</f>
        <v>1517700.036822591</v>
      </c>
      <c r="H18" s="37">
        <f>+SUM(H2:H17)</f>
        <v>114551.71883938694</v>
      </c>
      <c r="I18" s="29">
        <f>+H18/G18</f>
        <v>7.547717998294895E-2</v>
      </c>
      <c r="J18" s="37">
        <f>+SUM(J2:J17)</f>
        <v>1686507.4511118878</v>
      </c>
      <c r="K18" s="37">
        <f>+SUM(K2:K17)</f>
        <v>-54255.695449910127</v>
      </c>
      <c r="L18" s="29">
        <f>+K18/J18</f>
        <v>-3.2170445149317425E-2</v>
      </c>
      <c r="M18" s="2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08F-CC6D-4C08-B206-EDDC0B61AD88}">
  <dimension ref="A1:N29"/>
  <sheetViews>
    <sheetView workbookViewId="0">
      <selection activeCell="B5" sqref="B5"/>
    </sheetView>
  </sheetViews>
  <sheetFormatPr defaultRowHeight="13.2" x14ac:dyDescent="0.3"/>
  <cols>
    <col min="2" max="2" width="11.85546875" bestFit="1" customWidth="1"/>
    <col min="3" max="4" width="18.42578125" bestFit="1" customWidth="1"/>
    <col min="5" max="5" width="8.85546875" bestFit="1" customWidth="1"/>
    <col min="6" max="6" width="17.140625" bestFit="1" customWidth="1"/>
    <col min="7" max="8" width="10.85546875" bestFit="1" customWidth="1"/>
    <col min="9" max="9" width="17" bestFit="1" customWidth="1"/>
    <col min="10" max="13" width="13" bestFit="1" customWidth="1"/>
    <col min="14" max="14" width="19" bestFit="1" customWidth="1"/>
  </cols>
  <sheetData>
    <row r="1" spans="1:14" x14ac:dyDescent="0.3">
      <c r="C1" s="10"/>
    </row>
    <row r="2" spans="1:14" x14ac:dyDescent="0.3">
      <c r="A2" s="14" t="s">
        <v>33</v>
      </c>
      <c r="B2" s="15" t="s">
        <v>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4" x14ac:dyDescent="0.3">
      <c r="A3" s="18" t="s">
        <v>34</v>
      </c>
      <c r="B3" s="13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49</v>
      </c>
      <c r="I3" s="4" t="s">
        <v>42</v>
      </c>
      <c r="J3" s="4" t="s">
        <v>43</v>
      </c>
      <c r="K3" s="4" t="s">
        <v>44</v>
      </c>
      <c r="L3" s="4" t="s">
        <v>45</v>
      </c>
      <c r="M3" s="19" t="s">
        <v>46</v>
      </c>
      <c r="N3" t="s">
        <v>47</v>
      </c>
    </row>
    <row r="4" spans="1:14" x14ac:dyDescent="0.3">
      <c r="A4" s="20" t="s">
        <v>48</v>
      </c>
      <c r="B4" s="21">
        <f>+SUM(B5:B28)</f>
        <v>116794.18731461056</v>
      </c>
      <c r="C4" s="21">
        <f>+SUM(C5:C28)</f>
        <v>-2.671487169057732E-3</v>
      </c>
      <c r="D4" s="21">
        <f t="shared" ref="D4:N4" si="0">+SUM(D5:D28)</f>
        <v>-2.2262393075481103E-3</v>
      </c>
      <c r="E4" s="21">
        <f t="shared" si="0"/>
        <v>1.7922857673679862</v>
      </c>
      <c r="F4" s="21">
        <f t="shared" si="0"/>
        <v>6422.6958842002614</v>
      </c>
      <c r="G4" s="21">
        <f t="shared" si="0"/>
        <v>105509.02285811254</v>
      </c>
      <c r="H4" s="21">
        <f t="shared" si="0"/>
        <v>4773.3096471743111</v>
      </c>
      <c r="I4" s="21">
        <f t="shared" si="0"/>
        <v>9.7615252036797138</v>
      </c>
      <c r="J4" s="21">
        <f t="shared" si="0"/>
        <v>77.610011878868875</v>
      </c>
      <c r="K4" s="21">
        <f t="shared" si="0"/>
        <v>0</v>
      </c>
      <c r="L4" s="21">
        <f t="shared" si="0"/>
        <v>0</v>
      </c>
      <c r="M4" s="22">
        <f t="shared" si="0"/>
        <v>0</v>
      </c>
      <c r="N4" s="23">
        <f t="shared" si="0"/>
        <v>0</v>
      </c>
    </row>
    <row r="5" spans="1:14" x14ac:dyDescent="0.3">
      <c r="A5" s="9">
        <f>+[22]Summary!A8</f>
        <v>45047</v>
      </c>
      <c r="B5" s="10">
        <f>+[22]Summary!H8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f t="shared" ref="N5:N6" si="1">+B5-SUM(C5:M5)</f>
        <v>0</v>
      </c>
    </row>
    <row r="6" spans="1:14" x14ac:dyDescent="0.3">
      <c r="A6" s="9">
        <f>+[22]Summary!A9</f>
        <v>45078</v>
      </c>
      <c r="B6" s="10">
        <f>+[22]Summary!H9</f>
        <v>0</v>
      </c>
      <c r="C6" s="11">
        <f>+$B6*[23]Allocation!U5</f>
        <v>0</v>
      </c>
      <c r="D6" s="11">
        <f>+$B6*[23]Allocation!V5</f>
        <v>0</v>
      </c>
      <c r="E6" s="11">
        <f>+$B6*[23]Allocation!W5</f>
        <v>0</v>
      </c>
      <c r="F6" s="11">
        <f>+$B6*[23]Allocation!AH5</f>
        <v>0</v>
      </c>
      <c r="G6" s="11">
        <f>+$B6*[23]Allocation!AI5</f>
        <v>0</v>
      </c>
      <c r="H6" s="11">
        <f>+$B6*[23]Allocation!AB5</f>
        <v>0</v>
      </c>
      <c r="I6" s="11">
        <f>+$B6*[23]Allocation!AC5</f>
        <v>0</v>
      </c>
      <c r="J6" s="11">
        <f>+$B6*[23]Allocation!AD5</f>
        <v>0</v>
      </c>
      <c r="K6" s="11">
        <f>+$B6*[23]Allocation!AE5</f>
        <v>0</v>
      </c>
      <c r="L6" s="11">
        <f>+$B6*[23]Allocation!AF5</f>
        <v>0</v>
      </c>
      <c r="M6" s="11">
        <f>+$B6*[23]Allocation!AG5</f>
        <v>0</v>
      </c>
      <c r="N6" s="12">
        <f t="shared" si="1"/>
        <v>0</v>
      </c>
    </row>
    <row r="7" spans="1:14" x14ac:dyDescent="0.3">
      <c r="A7" s="9">
        <f>+[22]Summary!A10</f>
        <v>45108</v>
      </c>
      <c r="B7" s="10">
        <f>+[22]Summary!H10</f>
        <v>0</v>
      </c>
      <c r="C7" s="11">
        <f>+$B7*[23]Allocation!U6</f>
        <v>0</v>
      </c>
      <c r="D7" s="11">
        <f>+$B7*[23]Allocation!V6</f>
        <v>0</v>
      </c>
      <c r="E7" s="11">
        <f>+$B7*[23]Allocation!W6</f>
        <v>0</v>
      </c>
      <c r="F7" s="11">
        <f>+$B7*[23]Allocation!AH6</f>
        <v>0</v>
      </c>
      <c r="G7" s="11">
        <f>+$B7*[23]Allocation!AI6</f>
        <v>0</v>
      </c>
      <c r="H7" s="11">
        <f>+$B7*[23]Allocation!AB6</f>
        <v>0</v>
      </c>
      <c r="I7" s="11">
        <f>+$B7*[23]Allocation!AC6</f>
        <v>0</v>
      </c>
      <c r="J7" s="11">
        <f>+$B7*[23]Allocation!AD6</f>
        <v>0</v>
      </c>
      <c r="K7" s="11">
        <f>+$B7*[23]Allocation!AE6</f>
        <v>0</v>
      </c>
      <c r="L7" s="11">
        <f>+$B7*[23]Allocation!AF6</f>
        <v>0</v>
      </c>
      <c r="M7" s="11">
        <f>+$B7*[23]Allocation!AG6</f>
        <v>0</v>
      </c>
      <c r="N7" s="12">
        <f t="shared" ref="N7:N28" si="2">+B7-SUM(C7:M7)</f>
        <v>0</v>
      </c>
    </row>
    <row r="8" spans="1:14" x14ac:dyDescent="0.3">
      <c r="A8" s="9">
        <f>+[22]Summary!A11</f>
        <v>45139</v>
      </c>
      <c r="B8" s="10">
        <f>+[22]Summary!H11</f>
        <v>0</v>
      </c>
      <c r="C8" s="11">
        <f>+$B8*[23]Allocation!U7</f>
        <v>0</v>
      </c>
      <c r="D8" s="11">
        <f>+$B8*[23]Allocation!V7</f>
        <v>0</v>
      </c>
      <c r="E8" s="11">
        <f>+$B8*[23]Allocation!W7</f>
        <v>0</v>
      </c>
      <c r="F8" s="11">
        <f>+$B8*[23]Allocation!AH7</f>
        <v>0</v>
      </c>
      <c r="G8" s="11">
        <f>+$B8*[23]Allocation!AI7</f>
        <v>0</v>
      </c>
      <c r="H8" s="11">
        <f>+$B8*[23]Allocation!AB7</f>
        <v>0</v>
      </c>
      <c r="I8" s="11">
        <f>+$B8*[23]Allocation!AC7</f>
        <v>0</v>
      </c>
      <c r="J8" s="11">
        <f>+$B8*[23]Allocation!AD7</f>
        <v>0</v>
      </c>
      <c r="K8" s="11">
        <f>+$B8*[23]Allocation!AE7</f>
        <v>0</v>
      </c>
      <c r="L8" s="11">
        <f>+$B8*[23]Allocation!AF7</f>
        <v>0</v>
      </c>
      <c r="M8" s="11">
        <f>+$B8*[23]Allocation!AG7</f>
        <v>0</v>
      </c>
      <c r="N8" s="12">
        <f t="shared" si="2"/>
        <v>0</v>
      </c>
    </row>
    <row r="9" spans="1:14" x14ac:dyDescent="0.3">
      <c r="A9" s="9">
        <f>+[22]Summary!A12</f>
        <v>45170</v>
      </c>
      <c r="B9" s="10">
        <f>+[22]Summary!H12</f>
        <v>5.7246335095551331</v>
      </c>
      <c r="C9" s="11">
        <f>+$B9*[23]Allocation!U8</f>
        <v>-2.671487169057732E-3</v>
      </c>
      <c r="D9" s="11">
        <f>+$B9*[23]Allocation!V8</f>
        <v>-2.2262393075481103E-3</v>
      </c>
      <c r="E9" s="11">
        <f>+$B9*[23]Allocation!W8</f>
        <v>0.59393120760276108</v>
      </c>
      <c r="F9" s="11">
        <f>+$B9*[23]Allocation!AH8</f>
        <v>4.9644650911524106</v>
      </c>
      <c r="G9" s="11">
        <f>+$B9*[23]Allocation!AI8</f>
        <v>0</v>
      </c>
      <c r="H9" s="11">
        <f>+$B9*[23]Allocation!AB8</f>
        <v>0</v>
      </c>
      <c r="I9" s="11">
        <f>+$B9*[23]Allocation!AC8</f>
        <v>3.4847664836620194E-4</v>
      </c>
      <c r="J9" s="11">
        <f>+$B9*[23]Allocation!AD8</f>
        <v>0.17078646062820094</v>
      </c>
      <c r="K9" s="11">
        <f>+$B9*[23]Allocation!AE8</f>
        <v>0</v>
      </c>
      <c r="L9" s="11">
        <f>+$B9*[23]Allocation!AF8</f>
        <v>0</v>
      </c>
      <c r="M9" s="11">
        <f>+$B9*[23]Allocation!AG8</f>
        <v>0</v>
      </c>
      <c r="N9" s="12">
        <f t="shared" si="2"/>
        <v>0</v>
      </c>
    </row>
    <row r="10" spans="1:14" x14ac:dyDescent="0.3">
      <c r="A10" s="9">
        <f>+[22]Summary!A13</f>
        <v>45200</v>
      </c>
      <c r="B10" s="10">
        <f>+[22]Summary!H13</f>
        <v>9.8752139325661119</v>
      </c>
      <c r="C10" s="11">
        <f>+$B10*[23]Allocation!U9</f>
        <v>0</v>
      </c>
      <c r="D10" s="11">
        <f>+$B10*[23]Allocation!V9</f>
        <v>0</v>
      </c>
      <c r="E10" s="11">
        <f>+$B10*[23]Allocation!W9</f>
        <v>0.67885965933369197</v>
      </c>
      <c r="F10" s="11">
        <f>+$B10*[23]Allocation!AH9</f>
        <v>8.9281688922801159</v>
      </c>
      <c r="G10" s="11">
        <f>+$B10*[23]Allocation!AI9</f>
        <v>0</v>
      </c>
      <c r="H10" s="11">
        <f>+$B10*[23]Allocation!AB9</f>
        <v>0</v>
      </c>
      <c r="I10" s="11">
        <f>+$B10*[23]Allocation!AC9</f>
        <v>0</v>
      </c>
      <c r="J10" s="11">
        <f>+$B10*[23]Allocation!AD9</f>
        <v>0.26818538095230449</v>
      </c>
      <c r="K10" s="11">
        <f>+$B10*[23]Allocation!AE9</f>
        <v>0</v>
      </c>
      <c r="L10" s="11">
        <f>+$B10*[23]Allocation!AF9</f>
        <v>0</v>
      </c>
      <c r="M10" s="11">
        <f>+$B10*[23]Allocation!AG9</f>
        <v>0</v>
      </c>
      <c r="N10" s="12">
        <f t="shared" si="2"/>
        <v>0</v>
      </c>
    </row>
    <row r="11" spans="1:14" x14ac:dyDescent="0.3">
      <c r="A11" s="9">
        <f>+[22]Summary!A14</f>
        <v>45231</v>
      </c>
      <c r="B11" s="10">
        <f>+[22]Summary!H14</f>
        <v>87.641531743080122</v>
      </c>
      <c r="C11" s="11">
        <f>+$B11*[23]Allocation!U10</f>
        <v>0</v>
      </c>
      <c r="D11" s="11">
        <f>+$B11*[23]Allocation!V10</f>
        <v>0</v>
      </c>
      <c r="E11" s="11">
        <f>+$B11*[23]Allocation!W10</f>
        <v>2.9563183391119034</v>
      </c>
      <c r="F11" s="11">
        <f>+$B11*[23]Allocation!AH10</f>
        <v>82.642447301527199</v>
      </c>
      <c r="G11" s="11">
        <f>+$B11*[23]Allocation!AI10</f>
        <v>1.1986313419522318E-2</v>
      </c>
      <c r="H11" s="11">
        <f>+$B11*[23]Allocation!AB10</f>
        <v>0</v>
      </c>
      <c r="I11" s="11">
        <f>+$B11*[23]Allocation!AC10</f>
        <v>5.3874182174774646E-3</v>
      </c>
      <c r="J11" s="11">
        <f>+$B11*[23]Allocation!AD10</f>
        <v>2.0253923708040213</v>
      </c>
      <c r="K11" s="11">
        <f>+$B11*[23]Allocation!AE10</f>
        <v>0</v>
      </c>
      <c r="L11" s="11">
        <f>+$B11*[23]Allocation!AF10</f>
        <v>0</v>
      </c>
      <c r="M11" s="11">
        <f>+$B11*[23]Allocation!AG10</f>
        <v>0</v>
      </c>
      <c r="N11" s="12">
        <f t="shared" si="2"/>
        <v>0</v>
      </c>
    </row>
    <row r="12" spans="1:14" x14ac:dyDescent="0.3">
      <c r="A12" s="9">
        <f>+[22]Summary!A15</f>
        <v>45261</v>
      </c>
      <c r="B12" s="10">
        <f>+[22]Summary!H15</f>
        <v>186.94398931981414</v>
      </c>
      <c r="C12" s="11">
        <f>+$B12*[23]Allocation!U11</f>
        <v>0</v>
      </c>
      <c r="D12" s="11">
        <f>+$B12*[23]Allocation!V11</f>
        <v>0</v>
      </c>
      <c r="E12" s="11">
        <f>+$B12*[23]Allocation!W11</f>
        <v>-0.25442197433301345</v>
      </c>
      <c r="F12" s="11">
        <f>+$B12*[23]Allocation!AH11</f>
        <v>179.94092833603571</v>
      </c>
      <c r="G12" s="11">
        <f>+$B12*[23]Allocation!AI11</f>
        <v>3.5950169074330081</v>
      </c>
      <c r="H12" s="11">
        <f>+$B12*[23]Allocation!AB11</f>
        <v>0</v>
      </c>
      <c r="I12" s="11">
        <f>+$B12*[23]Allocation!AC11</f>
        <v>1.1633438021091859E-2</v>
      </c>
      <c r="J12" s="11">
        <f>+$B12*[23]Allocation!AD11</f>
        <v>3.6508326126573154</v>
      </c>
      <c r="K12" s="11">
        <f>+$B12*[23]Allocation!AE11</f>
        <v>0</v>
      </c>
      <c r="L12" s="11">
        <f>+$B12*[23]Allocation!AF11</f>
        <v>0</v>
      </c>
      <c r="M12" s="11">
        <f>+$B12*[23]Allocation!AG11</f>
        <v>0</v>
      </c>
      <c r="N12" s="12">
        <f t="shared" si="2"/>
        <v>0</v>
      </c>
    </row>
    <row r="13" spans="1:14" x14ac:dyDescent="0.3">
      <c r="A13" s="9">
        <f>+[22]Summary!A16</f>
        <v>45292</v>
      </c>
      <c r="B13" s="10">
        <f>+[22]Summary!H16</f>
        <v>329.47577156301122</v>
      </c>
      <c r="C13" s="11">
        <f>+$B13*[23]Allocation!U12</f>
        <v>0</v>
      </c>
      <c r="D13" s="11">
        <f>+$B13*[23]Allocation!V12</f>
        <v>0</v>
      </c>
      <c r="E13" s="11">
        <f>+$B13*[23]Allocation!W12</f>
        <v>-0.25550961985271237</v>
      </c>
      <c r="F13" s="11">
        <f>+$B13*[23]Allocation!AH12</f>
        <v>261.84378131930333</v>
      </c>
      <c r="G13" s="11">
        <f>+$B13*[23]Allocation!AI12</f>
        <v>62.629666993056588</v>
      </c>
      <c r="H13" s="11">
        <f>+$B13*[23]Allocation!AB12</f>
        <v>0</v>
      </c>
      <c r="I13" s="11">
        <f>+$B13*[23]Allocation!AC12</f>
        <v>1.9659248783543342E-2</v>
      </c>
      <c r="J13" s="11">
        <f>+$B13*[23]Allocation!AD12</f>
        <v>5.2381736217204482</v>
      </c>
      <c r="K13" s="11">
        <f>+$B13*[23]Allocation!AE12</f>
        <v>0</v>
      </c>
      <c r="L13" s="11">
        <f>+$B13*[23]Allocation!AF12</f>
        <v>0</v>
      </c>
      <c r="M13" s="11">
        <f>+$B13*[23]Allocation!AG12</f>
        <v>0</v>
      </c>
      <c r="N13" s="12">
        <f t="shared" si="2"/>
        <v>0</v>
      </c>
    </row>
    <row r="14" spans="1:14" x14ac:dyDescent="0.3">
      <c r="A14" s="9">
        <f>+[22]Summary!A17</f>
        <v>45323</v>
      </c>
      <c r="B14" s="10">
        <f>+[22]Summary!H17</f>
        <v>476.93558834749274</v>
      </c>
      <c r="C14" s="11">
        <f>+$B14*[23]Allocation!U13</f>
        <v>0</v>
      </c>
      <c r="D14" s="11">
        <f>+$B14*[23]Allocation!V13</f>
        <v>0</v>
      </c>
      <c r="E14" s="11">
        <f>+$B14*[23]Allocation!W13</f>
        <v>-3.415287355007994E-2</v>
      </c>
      <c r="F14" s="11">
        <f>+$B14*[23]Allocation!AH13</f>
        <v>295.00901633091149</v>
      </c>
      <c r="G14" s="11">
        <f>+$B14*[23]Allocation!AI13</f>
        <v>176.07456817513835</v>
      </c>
      <c r="H14" s="11">
        <f>+$B14*[23]Allocation!AB13</f>
        <v>0</v>
      </c>
      <c r="I14" s="11">
        <f>+$B14*[23]Allocation!AC13</f>
        <v>2.6730008014983736E-2</v>
      </c>
      <c r="J14" s="11">
        <f>+$B14*[23]Allocation!AD13</f>
        <v>5.8594267069779216</v>
      </c>
      <c r="K14" s="11">
        <f>+$B14*[23]Allocation!AE13</f>
        <v>0</v>
      </c>
      <c r="L14" s="11">
        <f>+$B14*[23]Allocation!AF13</f>
        <v>0</v>
      </c>
      <c r="M14" s="11">
        <f>+$B14*[23]Allocation!AG13</f>
        <v>0</v>
      </c>
      <c r="N14" s="12">
        <f t="shared" si="2"/>
        <v>0</v>
      </c>
    </row>
    <row r="15" spans="1:14" x14ac:dyDescent="0.3">
      <c r="A15" s="9">
        <f>+[22]Summary!A18</f>
        <v>45352</v>
      </c>
      <c r="B15" s="10">
        <f>+[22]Summary!H18</f>
        <v>880.01448790368158</v>
      </c>
      <c r="C15" s="11">
        <f>+$B15*[23]Allocation!U14</f>
        <v>0</v>
      </c>
      <c r="D15" s="11">
        <f>+$B15*[23]Allocation!V14</f>
        <v>0</v>
      </c>
      <c r="E15" s="11">
        <f>+$B15*[23]Allocation!W14</f>
        <v>-0.1492257762790847</v>
      </c>
      <c r="F15" s="11">
        <f>+$B15*[23]Allocation!AH14</f>
        <v>414.56047605593045</v>
      </c>
      <c r="G15" s="11">
        <f>+$B15*[23]Allocation!AI14</f>
        <v>456.61519432768495</v>
      </c>
      <c r="H15" s="11">
        <f>+$B15*[23]Allocation!AB14</f>
        <v>0</v>
      </c>
      <c r="I15" s="11">
        <f>+$B15*[23]Allocation!AC14</f>
        <v>4.7799802580836652E-2</v>
      </c>
      <c r="J15" s="11">
        <f>+$B15*[23]Allocation!AD14</f>
        <v>8.9402434937645321</v>
      </c>
      <c r="K15" s="11">
        <f>+$B15*[23]Allocation!AE14</f>
        <v>0</v>
      </c>
      <c r="L15" s="11">
        <f>+$B15*[23]Allocation!AF14</f>
        <v>0</v>
      </c>
      <c r="M15" s="11">
        <f>+$B15*[23]Allocation!AG14</f>
        <v>0</v>
      </c>
      <c r="N15" s="12">
        <f t="shared" si="2"/>
        <v>0</v>
      </c>
    </row>
    <row r="16" spans="1:14" x14ac:dyDescent="0.3">
      <c r="A16" s="9">
        <f>+[22]Summary!A19</f>
        <v>45383</v>
      </c>
      <c r="B16" s="10">
        <f>+[22]Summary!H19</f>
        <v>1828.9400653282064</v>
      </c>
      <c r="C16" s="11">
        <f>+$B16*[23]Allocation!U15</f>
        <v>0</v>
      </c>
      <c r="D16" s="11">
        <f>+$B16*[23]Allocation!V15</f>
        <v>0</v>
      </c>
      <c r="E16" s="11">
        <f>+$B16*[23]Allocation!W15</f>
        <v>0</v>
      </c>
      <c r="F16" s="11">
        <f>+$B16*[23]Allocation!AH15</f>
        <v>574.78537881759928</v>
      </c>
      <c r="G16" s="11">
        <f>+$B16*[23]Allocation!AI15</f>
        <v>1239.7469959802313</v>
      </c>
      <c r="H16" s="11">
        <f>+$B16*[23]Allocation!AB15</f>
        <v>0</v>
      </c>
      <c r="I16" s="11">
        <f>+$B16*[23]Allocation!AC15</f>
        <v>9.488392423701264E-2</v>
      </c>
      <c r="J16" s="11">
        <f>+$B16*[23]Allocation!AD15</f>
        <v>14.312806606138649</v>
      </c>
      <c r="K16" s="11">
        <f>+$B16*[23]Allocation!AE15</f>
        <v>0</v>
      </c>
      <c r="L16" s="11">
        <f>+$B16*[23]Allocation!AF15</f>
        <v>0</v>
      </c>
      <c r="M16" s="11">
        <f>+$B16*[23]Allocation!AG15</f>
        <v>0</v>
      </c>
      <c r="N16" s="12">
        <f t="shared" si="2"/>
        <v>0</v>
      </c>
    </row>
    <row r="17" spans="1:14" x14ac:dyDescent="0.3">
      <c r="A17" s="9">
        <f>+[22]Summary!A20</f>
        <v>45413</v>
      </c>
      <c r="B17" s="10">
        <f>+[22]Summary!H20</f>
        <v>3124.8082136861049</v>
      </c>
      <c r="C17" s="11">
        <f>+$B17*[23]Allocation!U16</f>
        <v>0</v>
      </c>
      <c r="D17" s="11">
        <f>+$B17*[23]Allocation!V16</f>
        <v>0</v>
      </c>
      <c r="E17" s="11">
        <f>+$B17*[23]Allocation!W16</f>
        <v>-1.3701624430948345</v>
      </c>
      <c r="F17" s="11">
        <f>+$B17*[23]Allocation!AH16</f>
        <v>770.93122610204239</v>
      </c>
      <c r="G17" s="11">
        <f>+$B17*[23]Allocation!AI16</f>
        <v>2337.6075924050751</v>
      </c>
      <c r="H17" s="11">
        <f>+$B17*[23]Allocation!AB16</f>
        <v>0</v>
      </c>
      <c r="I17" s="11">
        <f>+$B17*[23]Allocation!AC16</f>
        <v>0.16894364065430784</v>
      </c>
      <c r="J17" s="11">
        <f>+$B17*[23]Allocation!AD16</f>
        <v>17.470613981428073</v>
      </c>
      <c r="K17" s="11">
        <f>+$B17*[23]Allocation!AE16</f>
        <v>0</v>
      </c>
      <c r="L17" s="11">
        <f>+$B17*[23]Allocation!AF16</f>
        <v>0</v>
      </c>
      <c r="M17" s="11">
        <f>+$B17*[23]Allocation!AG16</f>
        <v>0</v>
      </c>
      <c r="N17" s="12">
        <f t="shared" si="2"/>
        <v>0</v>
      </c>
    </row>
    <row r="18" spans="1:14" x14ac:dyDescent="0.3">
      <c r="A18" s="9">
        <f>+[22]Summary!A21</f>
        <v>45444</v>
      </c>
      <c r="B18" s="10">
        <f>+[22]Summary!H21</f>
        <v>3244.6645041573502</v>
      </c>
      <c r="C18" s="11">
        <f>+$B18*[23]Allocation!U17</f>
        <v>0</v>
      </c>
      <c r="D18" s="11">
        <f>+$B18*[23]Allocation!V17</f>
        <v>0</v>
      </c>
      <c r="E18" s="11">
        <f>+$B18*[23]Allocation!W17</f>
        <v>0</v>
      </c>
      <c r="F18" s="11">
        <f>+$B18*[23]Allocation!AH17</f>
        <v>637.97094070612138</v>
      </c>
      <c r="G18" s="11">
        <f>+$B18*[23]Allocation!AI17</f>
        <v>2596.1363048588896</v>
      </c>
      <c r="H18" s="11">
        <f>+$B18*[23]Allocation!AB17</f>
        <v>0</v>
      </c>
      <c r="I18" s="11">
        <f>+$B18*[23]Allocation!AC17</f>
        <v>0.17115104007171414</v>
      </c>
      <c r="J18" s="11">
        <f>+$B18*[23]Allocation!AD17</f>
        <v>10.386107552267864</v>
      </c>
      <c r="K18" s="11">
        <f>+$B18*[23]Allocation!AE17</f>
        <v>0</v>
      </c>
      <c r="L18" s="11">
        <f>+$B18*[23]Allocation!AF17</f>
        <v>0</v>
      </c>
      <c r="M18" s="11">
        <f>+$B18*[23]Allocation!AG17</f>
        <v>0</v>
      </c>
      <c r="N18" s="12">
        <f t="shared" si="2"/>
        <v>0</v>
      </c>
    </row>
    <row r="19" spans="1:14" x14ac:dyDescent="0.3">
      <c r="A19" s="9">
        <f>+[22]Summary!A22</f>
        <v>45474</v>
      </c>
      <c r="B19" s="10">
        <f>+[22]Summary!H22</f>
        <v>4000.2785609582206</v>
      </c>
      <c r="C19" s="11">
        <f>+$B19*[23]Allocation!U18</f>
        <v>0</v>
      </c>
      <c r="D19" s="11">
        <f>+$B19*[23]Allocation!V18</f>
        <v>0</v>
      </c>
      <c r="E19" s="11">
        <f>+$B19*[23]Allocation!W18</f>
        <v>-0.37335075157064551</v>
      </c>
      <c r="F19" s="11">
        <f>+$B19*[23]Allocation!AH18</f>
        <v>595.1656803186886</v>
      </c>
      <c r="G19" s="11">
        <f>+$B19*[23]Allocation!AI18</f>
        <v>3398.97194457041</v>
      </c>
      <c r="H19" s="11">
        <f>+$B19*[23]Allocation!AB18</f>
        <v>0</v>
      </c>
      <c r="I19" s="11">
        <f>+$B19*[23]Allocation!AC18</f>
        <v>0.21643844213431726</v>
      </c>
      <c r="J19" s="11">
        <f>+$B19*[23]Allocation!AD18</f>
        <v>6.2978483785585242</v>
      </c>
      <c r="K19" s="11">
        <f>+$B19*[23]Allocation!AE18</f>
        <v>0</v>
      </c>
      <c r="L19" s="11">
        <f>+$B19*[23]Allocation!AF18</f>
        <v>0</v>
      </c>
      <c r="M19" s="11">
        <f>+$B19*[23]Allocation!AG18</f>
        <v>0</v>
      </c>
      <c r="N19" s="12">
        <f t="shared" si="2"/>
        <v>0</v>
      </c>
    </row>
    <row r="20" spans="1:14" x14ac:dyDescent="0.3">
      <c r="A20" s="9">
        <f>+[22]Summary!A23</f>
        <v>45505</v>
      </c>
      <c r="B20" s="10">
        <f>+[22]Summary!H23</f>
        <v>7044.7817021331866</v>
      </c>
      <c r="C20" s="11">
        <f>+$B20*[23]Allocation!U19</f>
        <v>0</v>
      </c>
      <c r="D20" s="11">
        <f>+$B20*[23]Allocation!V19</f>
        <v>0</v>
      </c>
      <c r="E20" s="11">
        <f>+$B20*[23]Allocation!W19</f>
        <v>0</v>
      </c>
      <c r="F20" s="11">
        <f>+$B20*[23]Allocation!AH19</f>
        <v>888.34573238945814</v>
      </c>
      <c r="G20" s="11">
        <f>+$B20*[23]Allocation!AI19</f>
        <v>6153.0136611702728</v>
      </c>
      <c r="H20" s="11">
        <f>+$B20*[23]Allocation!AB19</f>
        <v>0</v>
      </c>
      <c r="I20" s="11">
        <f>+$B20*[23]Allocation!AC19</f>
        <v>0.43271386048446819</v>
      </c>
      <c r="J20" s="11">
        <f>+$B20*[23]Allocation!AD19</f>
        <v>2.9895947129710065</v>
      </c>
      <c r="K20" s="11">
        <f>+$B20*[23]Allocation!AE19</f>
        <v>0</v>
      </c>
      <c r="L20" s="11">
        <f>+$B20*[23]Allocation!AF19</f>
        <v>0</v>
      </c>
      <c r="M20" s="11">
        <f>+$B20*[23]Allocation!AG19</f>
        <v>0</v>
      </c>
      <c r="N20" s="12">
        <f t="shared" si="2"/>
        <v>0</v>
      </c>
    </row>
    <row r="21" spans="1:14" x14ac:dyDescent="0.3">
      <c r="A21" s="9">
        <f>+[22]Summary!A24</f>
        <v>45536</v>
      </c>
      <c r="B21" s="10">
        <f>+[22]Summary!H24</f>
        <v>6569.9906270338834</v>
      </c>
      <c r="C21" s="11">
        <f>+$B21*[23]Allocation!U20</f>
        <v>0</v>
      </c>
      <c r="D21" s="11">
        <f>+$B21*[23]Allocation!V20</f>
        <v>0</v>
      </c>
      <c r="E21" s="11">
        <f>+$B21*[23]Allocation!W20</f>
        <v>0</v>
      </c>
      <c r="F21" s="11">
        <f>+$B21*[23]Allocation!AH20</f>
        <v>675.02278582641236</v>
      </c>
      <c r="G21" s="11">
        <f>+$B21*[23]Allocation!AI20</f>
        <v>5894.5286776212524</v>
      </c>
      <c r="H21" s="11">
        <f>+$B21*[23]Allocation!AB20</f>
        <v>0</v>
      </c>
      <c r="I21" s="11">
        <f>+$B21*[23]Allocation!AC20</f>
        <v>0.43916358621800516</v>
      </c>
      <c r="J21" s="11">
        <f>+$B21*[23]Allocation!AD20</f>
        <v>0</v>
      </c>
      <c r="K21" s="11">
        <f>+$B21*[23]Allocation!AE20</f>
        <v>0</v>
      </c>
      <c r="L21" s="11">
        <f>+$B21*[23]Allocation!AF20</f>
        <v>0</v>
      </c>
      <c r="M21" s="11">
        <f>+$B21*[23]Allocation!AG20</f>
        <v>0</v>
      </c>
      <c r="N21" s="12">
        <f t="shared" si="2"/>
        <v>0</v>
      </c>
    </row>
    <row r="22" spans="1:14" x14ac:dyDescent="0.3">
      <c r="A22" s="9">
        <f>+[22]Summary!A25</f>
        <v>45566</v>
      </c>
      <c r="B22" s="10">
        <f>+[22]Summary!H25</f>
        <v>10089.44521042108</v>
      </c>
      <c r="C22" s="11">
        <f>+$B22*[23]Allocation!U21</f>
        <v>0</v>
      </c>
      <c r="D22" s="11">
        <f>+$B22*[23]Allocation!V21</f>
        <v>0</v>
      </c>
      <c r="E22" s="11">
        <f>+$B22*[23]Allocation!W21</f>
        <v>0</v>
      </c>
      <c r="F22" s="11">
        <f>+$B22*[23]Allocation!AH21</f>
        <v>721.080786082994</v>
      </c>
      <c r="G22" s="11">
        <f>+$B22*[23]Allocation!AI21</f>
        <v>9367.6262715109333</v>
      </c>
      <c r="H22" s="11">
        <f>+$B22*[23]Allocation!AB21</f>
        <v>0</v>
      </c>
      <c r="I22" s="11">
        <f>+$B22*[23]Allocation!AC21</f>
        <v>0.73815282715300456</v>
      </c>
      <c r="J22" s="11">
        <f>+$B22*[23]Allocation!AD21</f>
        <v>0</v>
      </c>
      <c r="K22" s="11">
        <f>+$B22*[23]Allocation!AE21</f>
        <v>0</v>
      </c>
      <c r="L22" s="11">
        <f>+$B22*[23]Allocation!AF21</f>
        <v>0</v>
      </c>
      <c r="M22" s="11">
        <f>+$B22*[23]Allocation!AG21</f>
        <v>0</v>
      </c>
      <c r="N22" s="12">
        <f t="shared" si="2"/>
        <v>0</v>
      </c>
    </row>
    <row r="23" spans="1:14" x14ac:dyDescent="0.3">
      <c r="A23" s="9">
        <f>+[22]Summary!A26</f>
        <v>45597</v>
      </c>
      <c r="B23" s="10">
        <f>+[22]Summary!H26</f>
        <v>9346.6062436414068</v>
      </c>
      <c r="C23" s="11">
        <f>+$B23*[23]Allocation!U22</f>
        <v>0</v>
      </c>
      <c r="D23" s="11">
        <f>+$B23*[23]Allocation!V22</f>
        <v>0</v>
      </c>
      <c r="E23" s="11">
        <f>+$B23*[23]Allocation!W22</f>
        <v>0</v>
      </c>
      <c r="F23" s="11">
        <f>+$B23*[23]Allocation!AH22</f>
        <v>333.8424558680548</v>
      </c>
      <c r="G23" s="11">
        <f>+$B23*[23]Allocation!AI22</f>
        <v>9012.0138720170035</v>
      </c>
      <c r="H23" s="11">
        <f>+$B23*[23]Allocation!AB22</f>
        <v>0</v>
      </c>
      <c r="I23" s="11">
        <f>+$B23*[23]Allocation!AC22</f>
        <v>0.7499157563497505</v>
      </c>
      <c r="J23" s="11">
        <f>+$B23*[23]Allocation!AD22</f>
        <v>0</v>
      </c>
      <c r="K23" s="11">
        <f>+$B23*[23]Allocation!AE22</f>
        <v>0</v>
      </c>
      <c r="L23" s="11">
        <f>+$B23*[23]Allocation!AF22</f>
        <v>0</v>
      </c>
      <c r="M23" s="11">
        <f>+$B23*[23]Allocation!AG22</f>
        <v>0</v>
      </c>
      <c r="N23" s="12">
        <f t="shared" si="2"/>
        <v>0</v>
      </c>
    </row>
    <row r="24" spans="1:14" x14ac:dyDescent="0.3">
      <c r="A24" s="9">
        <f>+[22]Summary!A27</f>
        <v>45627</v>
      </c>
      <c r="B24" s="10">
        <f>+[22]Summary!H27</f>
        <v>16293.447032806085</v>
      </c>
      <c r="C24" s="11">
        <f>+$B24*[23]Allocation!U23</f>
        <v>0</v>
      </c>
      <c r="D24" s="11">
        <f>+$B24*[23]Allocation!V23</f>
        <v>0</v>
      </c>
      <c r="E24" s="11">
        <f>+$B24*[23]Allocation!W23</f>
        <v>0</v>
      </c>
      <c r="F24" s="11">
        <f>+$B24*[23]Allocation!AH23</f>
        <v>-14.087360858568873</v>
      </c>
      <c r="G24" s="11">
        <f>+$B24*[23]Allocation!AI23</f>
        <v>16217.095383949638</v>
      </c>
      <c r="H24" s="11">
        <f>+$B24*[23]Allocation!AB23</f>
        <v>88.99437299620773</v>
      </c>
      <c r="I24" s="11">
        <f>+$B24*[23]Allocation!AC23</f>
        <v>1.4446367188073095</v>
      </c>
      <c r="J24" s="11">
        <f>+$B24*[23]Allocation!AD23</f>
        <v>0</v>
      </c>
      <c r="K24" s="11">
        <f>+$B24*[23]Allocation!AE23</f>
        <v>0</v>
      </c>
      <c r="L24" s="11">
        <f>+$B24*[23]Allocation!AF23</f>
        <v>0</v>
      </c>
      <c r="M24" s="11">
        <f>+$B24*[23]Allocation!AG23</f>
        <v>0</v>
      </c>
      <c r="N24" s="12">
        <f t="shared" si="2"/>
        <v>0</v>
      </c>
    </row>
    <row r="25" spans="1:14" x14ac:dyDescent="0.3">
      <c r="A25" s="9">
        <f>+[22]Summary!A28</f>
        <v>45658</v>
      </c>
      <c r="B25" s="10">
        <f>+[22]Summary!H28</f>
        <v>25448.703938125851</v>
      </c>
      <c r="C25" s="11">
        <f>+$B25*[23]Allocation!U24</f>
        <v>0</v>
      </c>
      <c r="D25" s="11">
        <f>+$B25*[23]Allocation!V24</f>
        <v>0</v>
      </c>
      <c r="E25" s="11">
        <f>+$B25*[23]Allocation!W24</f>
        <v>0</v>
      </c>
      <c r="F25" s="11">
        <f>+$B25*[23]Allocation!AH24</f>
        <v>-4.2279527696349328</v>
      </c>
      <c r="G25" s="11">
        <f>+$B25*[23]Allocation!AI24</f>
        <v>23701.932894653048</v>
      </c>
      <c r="H25" s="11">
        <f>+$B25*[23]Allocation!AB24</f>
        <v>1748.5526367961659</v>
      </c>
      <c r="I25" s="11">
        <f>+$B25*[23]Allocation!AC24</f>
        <v>2.4463594462742559</v>
      </c>
      <c r="J25" s="11">
        <f>+$B25*[23]Allocation!AD24</f>
        <v>0</v>
      </c>
      <c r="K25" s="11">
        <f>+$B25*[23]Allocation!AE24</f>
        <v>0</v>
      </c>
      <c r="L25" s="11">
        <f>+$B25*[23]Allocation!AF24</f>
        <v>0</v>
      </c>
      <c r="M25" s="11">
        <f>+$B25*[23]Allocation!AG24</f>
        <v>0</v>
      </c>
      <c r="N25" s="12">
        <f t="shared" si="2"/>
        <v>0</v>
      </c>
    </row>
    <row r="26" spans="1:14" x14ac:dyDescent="0.3">
      <c r="A26" s="9">
        <f>+[22]Summary!A29</f>
        <v>45689</v>
      </c>
      <c r="B26" s="10">
        <f>+[22]Summary!H29</f>
        <v>27864.690000000002</v>
      </c>
      <c r="C26" s="11">
        <f>+$B26*[23]Allocation!U25</f>
        <v>0</v>
      </c>
      <c r="D26" s="11">
        <f>+$B26*[23]Allocation!V25</f>
        <v>0</v>
      </c>
      <c r="E26" s="11">
        <f>+$B26*[23]Allocation!W25</f>
        <v>0</v>
      </c>
      <c r="F26" s="11">
        <f>+$B26*[23]Allocation!AH25</f>
        <v>-17.607967530234436</v>
      </c>
      <c r="G26" s="11">
        <f>+$B26*[23]Allocation!AI25</f>
        <v>23206.4910148419</v>
      </c>
      <c r="H26" s="11">
        <f>+$B26*[23]Allocation!AB25</f>
        <v>4672.8522492517113</v>
      </c>
      <c r="I26" s="11">
        <f>+$B26*[23]Allocation!AC25</f>
        <v>2.9547034366235692</v>
      </c>
      <c r="J26" s="11">
        <f>+$B26*[23]Allocation!AD25</f>
        <v>0</v>
      </c>
      <c r="K26" s="11">
        <f>+$B26*[23]Allocation!AE25</f>
        <v>0</v>
      </c>
      <c r="L26" s="11">
        <f>+$B26*[23]Allocation!AF25</f>
        <v>0</v>
      </c>
      <c r="M26" s="11">
        <f>+$B26*[23]Allocation!AG25</f>
        <v>0</v>
      </c>
      <c r="N26" s="12">
        <f t="shared" si="2"/>
        <v>0</v>
      </c>
    </row>
    <row r="27" spans="1:14" x14ac:dyDescent="0.3">
      <c r="A27" s="9">
        <f>+[22]Summary!A30</f>
        <v>45717</v>
      </c>
      <c r="B27" s="10">
        <f>+[22]Summary!H30</f>
        <v>9786.2199999999866</v>
      </c>
      <c r="C27" s="11">
        <f>+$B27*[23]Allocation!U26</f>
        <v>0</v>
      </c>
      <c r="D27" s="11">
        <f>+$B27*[23]Allocation!V26</f>
        <v>0</v>
      </c>
      <c r="E27" s="11">
        <f>+$B27*[23]Allocation!W26</f>
        <v>0</v>
      </c>
      <c r="F27" s="11">
        <f>+$B27*[23]Allocation!AH26</f>
        <v>0</v>
      </c>
      <c r="G27" s="11">
        <f>+$B27*[23]Allocation!AI26</f>
        <v>6474.9336262137549</v>
      </c>
      <c r="H27" s="11">
        <f>+$B27*[23]Allocation!AB26</f>
        <v>3310.1495108395306</v>
      </c>
      <c r="I27" s="11">
        <f>+$B27*[23]Allocation!AC26</f>
        <v>1.1368629466996354</v>
      </c>
      <c r="J27" s="11">
        <f>+$B27*[23]Allocation!AD26</f>
        <v>0</v>
      </c>
      <c r="K27" s="11">
        <f>+$B27*[23]Allocation!AE26</f>
        <v>0</v>
      </c>
      <c r="L27" s="11">
        <f>+$B27*[23]Allocation!AF26</f>
        <v>0</v>
      </c>
      <c r="M27" s="11">
        <f>+$B27*[23]Allocation!AG26</f>
        <v>0</v>
      </c>
      <c r="N27" s="12">
        <f t="shared" si="2"/>
        <v>0</v>
      </c>
    </row>
    <row r="28" spans="1:14" x14ac:dyDescent="0.3">
      <c r="A28" s="9">
        <f>+[22]Summary!A31</f>
        <v>45748</v>
      </c>
      <c r="B28" s="10">
        <f>+[22]Summary!H31</f>
        <v>-9825</v>
      </c>
      <c r="C28" s="11">
        <f>+$B28*[23]Allocation!U27</f>
        <v>0</v>
      </c>
      <c r="D28" s="11">
        <f>+$B28*[23]Allocation!V27</f>
        <v>0</v>
      </c>
      <c r="E28" s="11">
        <f>+$B28*[23]Allocation!W27</f>
        <v>0</v>
      </c>
      <c r="F28" s="11">
        <f>+$B28*[23]Allocation!AH27</f>
        <v>13.584895920188819</v>
      </c>
      <c r="G28" s="11">
        <f>+$B28*[23]Allocation!AI27</f>
        <v>-4790.0018143965917</v>
      </c>
      <c r="H28" s="11">
        <f>+$B28*[23]Allocation!AB27</f>
        <v>-5047.239122709304</v>
      </c>
      <c r="I28" s="11">
        <f>+$B28*[23]Allocation!AC27</f>
        <v>-1.343958814293936</v>
      </c>
      <c r="J28" s="11">
        <f>+$B28*[23]Allocation!AD27</f>
        <v>0</v>
      </c>
      <c r="K28" s="11">
        <f>+$B28*[23]Allocation!AE27</f>
        <v>0</v>
      </c>
      <c r="L28" s="11">
        <f>+$B28*[23]Allocation!AF27</f>
        <v>0</v>
      </c>
      <c r="M28" s="11">
        <f>+$B28*[23]Allocation!AG27</f>
        <v>0</v>
      </c>
      <c r="N28" s="12">
        <f t="shared" si="2"/>
        <v>0</v>
      </c>
    </row>
    <row r="29" spans="1:14" x14ac:dyDescent="0.3">
      <c r="A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XCH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2025-06-09T12:43:31Z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