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15A18FBD-03C7-46BE-83F6-E96D8402D03D}" xr6:coauthVersionLast="47" xr6:coauthVersionMax="47" xr10:uidLastSave="{00000000-0000-0000-0000-000000000000}"/>
  <bookViews>
    <workbookView xWindow="-110" yWindow="-110" windowWidth="19420" windowHeight="1162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5" i="1" l="1"/>
  <c r="B14" i="1"/>
  <c r="B13" i="1"/>
  <c r="B10" i="1"/>
  <c r="B8" i="1"/>
  <c r="B2" i="1"/>
  <c r="B3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18" i="1"/>
  <c r="E18" i="1" s="1"/>
  <c r="H18" i="1" s="1"/>
  <c r="I18" i="1" s="1"/>
  <c r="D17" i="1"/>
  <c r="E17" i="1" s="1"/>
  <c r="H17" i="1" s="1"/>
  <c r="I17" i="1" s="1"/>
  <c r="D12" i="1"/>
  <c r="E12" i="1" s="1"/>
  <c r="D11" i="1"/>
  <c r="E11" i="1" s="1"/>
  <c r="G16" i="1"/>
  <c r="I16" i="1" s="1"/>
  <c r="C16" i="1"/>
  <c r="D16" i="1" s="1"/>
  <c r="E16" i="1" s="1"/>
  <c r="C15" i="1" l="1"/>
  <c r="D15" i="1" s="1"/>
  <c r="E15" i="1" s="1"/>
  <c r="B7" i="1" l="1"/>
  <c r="B5" i="1"/>
  <c r="B4" i="1"/>
  <c r="B20" i="1" s="1"/>
  <c r="G15" i="1"/>
  <c r="H15" i="1" s="1"/>
  <c r="I15" i="1" s="1"/>
  <c r="G14" i="1" l="1"/>
  <c r="C14" i="1"/>
  <c r="D14" i="1" s="1"/>
  <c r="E14" i="1" s="1"/>
  <c r="H14" i="1" s="1"/>
  <c r="I14" i="1" s="1"/>
  <c r="G13" i="1" l="1"/>
  <c r="C13" i="1"/>
  <c r="D13" i="1" s="1"/>
  <c r="E13" i="1" s="1"/>
  <c r="H13" i="1" s="1"/>
  <c r="I13" i="1" s="1"/>
  <c r="G12" i="1" l="1"/>
  <c r="I12" i="1" s="1"/>
  <c r="G11" i="1"/>
  <c r="I11" i="1" s="1"/>
  <c r="G10" i="1"/>
  <c r="C10" i="1"/>
  <c r="D10" i="1" s="1"/>
  <c r="E10" i="1" s="1"/>
  <c r="H10" i="1" s="1"/>
  <c r="I10" i="1" s="1"/>
  <c r="G9" i="1" l="1"/>
  <c r="I9" i="1" s="1"/>
  <c r="C9" i="1"/>
  <c r="D9" i="1" s="1"/>
  <c r="E9" i="1" s="1"/>
  <c r="G8" i="1" l="1"/>
  <c r="C8" i="1"/>
  <c r="D8" i="1" s="1"/>
  <c r="E8" i="1" s="1"/>
  <c r="H8" i="1" s="1"/>
  <c r="I8" i="1" s="1"/>
  <c r="G7" i="1" l="1"/>
  <c r="C7" i="1"/>
  <c r="D7" i="1" s="1"/>
  <c r="E7" i="1" s="1"/>
  <c r="H7" i="1" s="1"/>
  <c r="I7" i="1" s="1"/>
  <c r="G6" i="1" l="1"/>
  <c r="C6" i="1"/>
  <c r="D6" i="1" s="1"/>
  <c r="E6" i="1" s="1"/>
  <c r="H6" i="1" s="1"/>
  <c r="I6" i="1" s="1"/>
  <c r="G5" i="1" l="1"/>
  <c r="C5" i="1"/>
  <c r="D5" i="1" s="1"/>
  <c r="E5" i="1" s="1"/>
  <c r="H5" i="1" s="1"/>
  <c r="I5" i="1" s="1"/>
  <c r="G4" i="1" l="1"/>
  <c r="C4" i="1"/>
  <c r="D4" i="1" s="1"/>
  <c r="E4" i="1" s="1"/>
  <c r="H4" i="1" s="1"/>
  <c r="I4" i="1" s="1"/>
  <c r="G3" i="1" l="1"/>
  <c r="C3" i="1"/>
  <c r="D3" i="1" s="1"/>
  <c r="E3" i="1" s="1"/>
  <c r="H3" i="1" s="1"/>
  <c r="I3" i="1" l="1"/>
  <c r="G2" i="1"/>
  <c r="G20" i="1" s="1"/>
  <c r="C2" i="1"/>
  <c r="D2" i="1" s="1"/>
  <c r="E2" i="1" l="1"/>
  <c r="D20" i="1"/>
  <c r="E20" i="1" l="1"/>
  <c r="H2" i="1"/>
  <c r="I2" i="1" l="1"/>
  <c r="H20" i="1"/>
  <c r="I20" i="1" s="1"/>
</calcChain>
</file>

<file path=xl/sharedStrings.xml><?xml version="1.0" encoding="utf-8"?>
<sst xmlns="http://schemas.openxmlformats.org/spreadsheetml/2006/main" count="83" uniqueCount="53">
  <si>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</si>
  <si>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</si>
  <si>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</si>
  <si>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</si>
  <si>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</si>
  <si>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</si>
  <si>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</si>
  <si>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</si>
  <si>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</si>
  <si>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</si>
  <si>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</si>
  <si>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Check what is H37 and H38</t>
  </si>
  <si>
    <t>PEN</t>
  </si>
  <si>
    <t>PHS</t>
  </si>
  <si>
    <t>PRT</t>
  </si>
  <si>
    <t>Check Methodology for additional reserve in E35</t>
  </si>
  <si>
    <t>USH</t>
  </si>
  <si>
    <t>Total</t>
  </si>
  <si>
    <t>GBR</t>
  </si>
  <si>
    <t>XCH</t>
  </si>
  <si>
    <t>SLI</t>
  </si>
  <si>
    <t>PML</t>
  </si>
  <si>
    <t>CHL</t>
  </si>
  <si>
    <t>ULI</t>
  </si>
  <si>
    <t>OSW</t>
  </si>
  <si>
    <t>PLICA-NonMS</t>
  </si>
  <si>
    <t>PLICA-MS</t>
  </si>
  <si>
    <t>Pattern Selection</t>
  </si>
  <si>
    <t>Average Simple12 &amp; Simple6</t>
  </si>
  <si>
    <t>Average Simple3 &amp; Simple6</t>
  </si>
  <si>
    <t>Simple12</t>
  </si>
  <si>
    <t>COL</t>
  </si>
  <si>
    <t>ALS</t>
  </si>
  <si>
    <t>No Premium</t>
  </si>
  <si>
    <t>No premium</t>
  </si>
  <si>
    <t>Difference</t>
  </si>
  <si>
    <t>Difference %</t>
  </si>
  <si>
    <t>Comment</t>
  </si>
  <si>
    <t>Completion Factor Calculation difference</t>
  </si>
  <si>
    <t>Loss Ratio difference</t>
  </si>
  <si>
    <t>Mannually removed a 10 K claim of April 2023 and a 20k claim of May 2023</t>
  </si>
  <si>
    <t>Mannually removed outliers</t>
  </si>
  <si>
    <t>Excluding LOB 51</t>
  </si>
  <si>
    <t>Outliers</t>
  </si>
  <si>
    <t>No claims &gt;10k</t>
  </si>
  <si>
    <t>No calims &gt;10k in the last 24 months</t>
  </si>
  <si>
    <t>Removed one 10k and one 20k claims but there is a 20k claim of Oct 2023 that has not been removed</t>
  </si>
  <si>
    <t>Some claims &gt;10k has been removed, but some others don't. i.e. a 50k claim from Dec 2022 has not been removed.</t>
  </si>
  <si>
    <t>Explaining by 50k outlier</t>
  </si>
  <si>
    <t>Excluding LOB 51 and Outliers</t>
  </si>
  <si>
    <t>Missing 50k from Aug23, but couldn't find any refference to it in the excel file. There is an additional 10k claim that is not beeing removed.</t>
  </si>
  <si>
    <t>Oberseved claims &gt;10k but they are not being removed. Max claim of 15k</t>
  </si>
  <si>
    <t>Excluding ouliers&gt;30k aprox, but not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</si>
</sst>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43" fontId="0" fillId="0" borderId="0" xfId="0" applyNumberForma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ASL.xlsx" TargetMode="External"/><Relationship Id="rId1" Type="http://schemas.openxmlformats.org/officeDocument/2006/relationships/externalLinkPath" Target="/Users/joranias/Documents/GitHub/DMI_IBNP/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IBNP%20Check\Unified_IBNP_NSL_Check.xlsx" TargetMode="External"/><Relationship Id="rId1" Type="http://schemas.openxmlformats.org/officeDocument/2006/relationships/externalLinkPath" Target="Unified_IBNP_NSL_Chec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PEN.xlsx" TargetMode="External"/><Relationship Id="rId1" Type="http://schemas.openxmlformats.org/officeDocument/2006/relationships/externalLinkPath" Target="/Users/joranias/Documents/GitHub/DMI_IBNP/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PRT.xlsx" TargetMode="External"/><Relationship Id="rId1" Type="http://schemas.openxmlformats.org/officeDocument/2006/relationships/externalLinkPath" Target="/Users/joranias/Documents/GitHub/DMI_IBNP/Unified_IBNP_P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SLI.xlsx" TargetMode="External"/><Relationship Id="rId1" Type="http://schemas.openxmlformats.org/officeDocument/2006/relationships/externalLinkPath" Target="/Users/joranias/Documents/GitHub/DMI_IBNP/Unified_IBNP_SLI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ULI.xlsx" TargetMode="External"/><Relationship Id="rId1" Type="http://schemas.openxmlformats.org/officeDocument/2006/relationships/externalLinkPath" Target="/Users/joranias/Documents/GitHub/DMI_IBNP/Unified_IBNP_ULI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USH.xlsx" TargetMode="External"/><Relationship Id="rId1" Type="http://schemas.openxmlformats.org/officeDocument/2006/relationships/externalLinkPath" Target="/Users/joranias/Documents/GitHub/DMI_IBNP/Unified_IBNP_US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AMH.xlsx" TargetMode="External"/><Relationship Id="rId1" Type="http://schemas.openxmlformats.org/officeDocument/2006/relationships/externalLinkPath" Target="/Users/joranias/Documents/GitHub/DMI_IBNP/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IBNP%20Check\Unified_IBNP_GBR_Check.xlsx" TargetMode="External"/><Relationship Id="rId1" Type="http://schemas.openxmlformats.org/officeDocument/2006/relationships/externalLinkPath" Target="Unified_IBNP_GBR_Check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IBNP%20Check\Unified_IBNP_GTL_Check.xlsx" TargetMode="External"/><Relationship Id="rId1" Type="http://schemas.openxmlformats.org/officeDocument/2006/relationships/externalLinkPath" Target="Unified_IBNP_GTL_Check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NFL.xlsx" TargetMode="External"/><Relationship Id="rId1" Type="http://schemas.openxmlformats.org/officeDocument/2006/relationships/externalLinkPath" Target="/Users/joranias/Documents/GitHub/DMI_IBNP/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16300.523243395292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37535.850556265781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141407.87393721216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67549.176986446604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17967.430721282879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1524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  <row r="36">
          <cell r="H36">
            <v>60621.568508703676</v>
          </cell>
        </row>
      </sheetData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3">
          <cell r="H33">
            <v>216250.56469902748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/>
      <sheetData sheetId="1">
        <row r="36">
          <cell r="H36">
            <v>2298.2164919628267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49465.197155212023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92491.368437817684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33">
          <cell r="H33">
            <v>30583.158316472116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P44"/>
  <sheetViews>
    <sheetView tabSelected="1" workbookViewId="0">
      <selection sqref="A1:K20"/>
    </sheetView>
  </sheetViews>
  <sheetFormatPr defaultRowHeight="11.5" x14ac:dyDescent="0.25"/>
  <cols>
    <col min="1" max="1" width="15.875" bestFit="1" customWidth="1"/>
    <col min="2" max="2" width="11.5" customWidth="1"/>
    <col min="3" max="3" width="15.5" bestFit="1" customWidth="1"/>
    <col min="4" max="4" width="12.5" bestFit="1" customWidth="1"/>
    <col min="5" max="5" width="21" bestFit="1" customWidth="1"/>
    <col min="6" max="6" width="4.25" customWidth="1"/>
    <col min="7" max="7" width="18.25" bestFit="1" customWidth="1"/>
    <col min="8" max="8" width="10.75" bestFit="1" customWidth="1"/>
    <col min="9" max="9" width="12.875" bestFit="1" customWidth="1"/>
    <col min="10" max="10" width="33.75" bestFit="1" customWidth="1"/>
    <col min="11" max="11" width="40.25" bestFit="1" customWidth="1"/>
    <col min="13" max="13" width="40.25" bestFit="1" customWidth="1"/>
  </cols>
  <sheetData>
    <row r="1" spans="1:16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35</v>
      </c>
      <c r="I1" s="2" t="s">
        <v>36</v>
      </c>
      <c r="J1" s="2" t="s">
        <v>37</v>
      </c>
      <c r="K1" s="2" t="s">
        <v>43</v>
      </c>
      <c r="M1" s="2" t="s">
        <v>27</v>
      </c>
    </row>
    <row r="2" spans="1:16" x14ac:dyDescent="0.25">
      <c r="A2" t="s">
        <v>6</v>
      </c>
      <c r="B2" s="12">
        <f>+[1]Summary!$H$33</f>
        <v>16300.523243395292</v>
      </c>
      <c r="C2" s="4">
        <f>+[2]Summary!$H$35</f>
        <v>7.4999999999999997E-2</v>
      </c>
      <c r="D2" s="11">
        <f>+B2*C2</f>
        <v>1222.5392432546469</v>
      </c>
      <c r="E2" s="11">
        <f>+B2+D2</f>
        <v>17523.062486649938</v>
      </c>
      <c r="G2" s="12">
        <f>+[2]Summary!$H$36</f>
        <v>10194.181693825194</v>
      </c>
      <c r="H2" s="12">
        <f>+E2-G2</f>
        <v>7328.8807928247443</v>
      </c>
      <c r="I2" s="13">
        <f>+H2/G2</f>
        <v>0.71892781715515075</v>
      </c>
      <c r="J2" s="14" t="s">
        <v>38</v>
      </c>
      <c r="K2" s="15" t="s">
        <v>44</v>
      </c>
      <c r="M2" t="s">
        <v>28</v>
      </c>
      <c r="N2" t="str">
        <f>+VLOOKUP(A2,$A$29:$A$44,1,0)</f>
        <v>ASL</v>
      </c>
    </row>
    <row r="3" spans="1:16" x14ac:dyDescent="0.25">
      <c r="A3" t="s">
        <v>7</v>
      </c>
      <c r="B3" s="12">
        <f>+[3]Summary!$H$36</f>
        <v>2298.2164919628267</v>
      </c>
      <c r="C3" s="3">
        <f>+[4]Summary!$H$35</f>
        <v>7.4999999999999997E-2</v>
      </c>
      <c r="D3" s="11">
        <f t="shared" ref="D3:D16" si="0">+B3*C3</f>
        <v>172.36623689721199</v>
      </c>
      <c r="E3" s="11">
        <f t="shared" ref="E3:E16" si="1">+B3+D3</f>
        <v>2470.5827288600385</v>
      </c>
      <c r="G3" s="12">
        <f>+[4]Summary!$H$36</f>
        <v>2852.8990141421973</v>
      </c>
      <c r="H3" s="12">
        <f t="shared" ref="H3:H18" si="2">+E3-G3</f>
        <v>-382.31628528215879</v>
      </c>
      <c r="I3" s="13">
        <f t="shared" ref="I3:I18" si="3">+H3/G3</f>
        <v>-0.13400975056844511</v>
      </c>
      <c r="J3" s="14" t="s">
        <v>39</v>
      </c>
      <c r="K3" s="15" t="s">
        <v>45</v>
      </c>
      <c r="M3" t="s">
        <v>29</v>
      </c>
      <c r="N3" t="str">
        <f t="shared" ref="N3:N18" si="4">+VLOOKUP(A3,$A$29:$A$44,1,0)</f>
        <v>AMH</v>
      </c>
    </row>
    <row r="4" spans="1:16" ht="34.5" x14ac:dyDescent="0.25">
      <c r="A4" t="s">
        <v>18</v>
      </c>
      <c r="B4" s="12">
        <f>+[5]Summary!$H$33</f>
        <v>49465.197155212023</v>
      </c>
      <c r="C4" s="3">
        <f>+[6]Summary!$H$35</f>
        <v>7.4999999999999997E-2</v>
      </c>
      <c r="D4" s="11">
        <f t="shared" si="0"/>
        <v>3709.8897866409015</v>
      </c>
      <c r="E4" s="11">
        <f t="shared" si="1"/>
        <v>53175.086941852926</v>
      </c>
      <c r="G4" s="12">
        <f>+[6]Summary!$H$36</f>
        <v>46527.596958871203</v>
      </c>
      <c r="H4" s="12">
        <f t="shared" si="2"/>
        <v>6647.4899829817223</v>
      </c>
      <c r="I4" s="13">
        <f t="shared" si="3"/>
        <v>0.14287198173715859</v>
      </c>
      <c r="J4" s="14" t="s">
        <v>40</v>
      </c>
      <c r="K4" s="15" t="s">
        <v>46</v>
      </c>
      <c r="M4" t="s">
        <v>29</v>
      </c>
      <c r="N4" t="str">
        <f t="shared" si="4"/>
        <v>GBR</v>
      </c>
    </row>
    <row r="5" spans="1:16" ht="34.5" x14ac:dyDescent="0.25">
      <c r="A5" t="s">
        <v>8</v>
      </c>
      <c r="B5" s="12">
        <f>+[7]Summary!$H$33</f>
        <v>92491.368437817684</v>
      </c>
      <c r="C5" s="3">
        <f>+[8]Summary!$H$35</f>
        <v>7.4999999999999997E-2</v>
      </c>
      <c r="D5" s="11">
        <f t="shared" si="0"/>
        <v>6936.8526328363259</v>
      </c>
      <c r="E5" s="11">
        <f t="shared" si="1"/>
        <v>99428.221070654006</v>
      </c>
      <c r="G5" s="12">
        <f>+[8]Summary!$H$36</f>
        <v>88593.393911147272</v>
      </c>
      <c r="H5" s="12">
        <f t="shared" si="2"/>
        <v>10834.827159506734</v>
      </c>
      <c r="I5" s="13">
        <f t="shared" si="3"/>
        <v>0.1222983642592277</v>
      </c>
      <c r="J5" s="14" t="s">
        <v>41</v>
      </c>
      <c r="K5" s="15" t="s">
        <v>47</v>
      </c>
      <c r="M5" t="s">
        <v>29</v>
      </c>
      <c r="N5" t="str">
        <f t="shared" si="4"/>
        <v>GTL</v>
      </c>
    </row>
    <row r="6" spans="1:16" ht="23" x14ac:dyDescent="0.25">
      <c r="A6" t="s">
        <v>9</v>
      </c>
      <c r="B6" s="12">
        <f>+[9]Summary!$H$33</f>
        <v>30583.158316472116</v>
      </c>
      <c r="C6" s="3">
        <f>+[10]Summary!$H$35</f>
        <v>7.4999999999999997E-2</v>
      </c>
      <c r="D6" s="11">
        <f t="shared" si="0"/>
        <v>2293.7368737354086</v>
      </c>
      <c r="E6" s="11">
        <f t="shared" si="1"/>
        <v>32876.895190207528</v>
      </c>
      <c r="G6" s="12">
        <f>+[10]Summary!$H$36</f>
        <v>32709.246771985087</v>
      </c>
      <c r="H6" s="12">
        <f t="shared" si="2"/>
        <v>167.64841822244125</v>
      </c>
      <c r="I6" s="13">
        <f t="shared" si="3"/>
        <v>5.1254135991303006E-3</v>
      </c>
      <c r="J6" s="14" t="s">
        <v>39</v>
      </c>
      <c r="K6" s="15" t="s">
        <v>51</v>
      </c>
      <c r="M6" t="s">
        <v>29</v>
      </c>
      <c r="N6" t="str">
        <f t="shared" si="4"/>
        <v>NFL</v>
      </c>
    </row>
    <row r="7" spans="1:16" x14ac:dyDescent="0.25">
      <c r="A7" t="s">
        <v>10</v>
      </c>
      <c r="B7" s="12">
        <f>+[11]Summary!$H$33</f>
        <v>37535.850556265781</v>
      </c>
      <c r="C7" s="3">
        <f>+[12]Summary!$H$35</f>
        <v>7.4999999999999997E-2</v>
      </c>
      <c r="D7" s="11">
        <f t="shared" si="0"/>
        <v>2815.1887917199333</v>
      </c>
      <c r="E7" s="11">
        <f t="shared" si="1"/>
        <v>40351.039347985716</v>
      </c>
      <c r="G7" s="12">
        <f>+[12]Summary!$H$36</f>
        <v>43941.36</v>
      </c>
      <c r="H7" s="12">
        <f t="shared" si="2"/>
        <v>-3590.3206520142849</v>
      </c>
      <c r="I7" s="13">
        <f t="shared" si="3"/>
        <v>-8.1707089903778229E-2</v>
      </c>
      <c r="J7" s="14" t="s">
        <v>42</v>
      </c>
      <c r="K7" s="15" t="s">
        <v>44</v>
      </c>
      <c r="M7" t="s">
        <v>29</v>
      </c>
      <c r="N7" t="str">
        <f t="shared" si="4"/>
        <v>NSL</v>
      </c>
      <c r="P7" t="s">
        <v>11</v>
      </c>
    </row>
    <row r="8" spans="1:16" x14ac:dyDescent="0.25">
      <c r="A8" t="s">
        <v>12</v>
      </c>
      <c r="B8" s="12">
        <f>+[13]Summary!$H$33</f>
        <v>141407.87393721216</v>
      </c>
      <c r="C8" s="3">
        <f>+[14]Summary!$H$35</f>
        <v>7.4999999999999997E-2</v>
      </c>
      <c r="D8" s="11">
        <f t="shared" si="0"/>
        <v>10605.590545290912</v>
      </c>
      <c r="E8" s="11">
        <f t="shared" si="1"/>
        <v>152013.46448250307</v>
      </c>
      <c r="G8" s="12">
        <f>+[14]Summary!$H$36</f>
        <v>158653.1571364796</v>
      </c>
      <c r="H8" s="12">
        <f t="shared" si="2"/>
        <v>-6639.6926539765263</v>
      </c>
      <c r="I8" s="13">
        <f t="shared" si="3"/>
        <v>-4.1850365752663876E-2</v>
      </c>
      <c r="J8" s="14"/>
      <c r="K8" s="15" t="s">
        <v>44</v>
      </c>
      <c r="M8" t="s">
        <v>29</v>
      </c>
      <c r="N8" t="str">
        <f t="shared" si="4"/>
        <v>PEN</v>
      </c>
    </row>
    <row r="9" spans="1:16" x14ac:dyDescent="0.25">
      <c r="A9" t="s">
        <v>13</v>
      </c>
      <c r="B9" s="12"/>
      <c r="C9" s="3">
        <f>+[15]Summary!$H$35</f>
        <v>7.4999999999999997E-2</v>
      </c>
      <c r="D9" s="11">
        <f t="shared" si="0"/>
        <v>0</v>
      </c>
      <c r="E9" s="11">
        <f t="shared" si="1"/>
        <v>0</v>
      </c>
      <c r="G9" s="12">
        <f>+[15]Summary!$H$36</f>
        <v>167515.8389747378</v>
      </c>
      <c r="H9" s="12"/>
      <c r="I9" s="13">
        <f t="shared" si="3"/>
        <v>0</v>
      </c>
      <c r="J9" s="14"/>
      <c r="K9" s="15"/>
      <c r="M9" t="s">
        <v>29</v>
      </c>
      <c r="N9" t="e">
        <f t="shared" si="4"/>
        <v>#N/A</v>
      </c>
      <c r="O9" t="s">
        <v>33</v>
      </c>
    </row>
    <row r="10" spans="1:16" ht="34.5" x14ac:dyDescent="0.25">
      <c r="A10" t="s">
        <v>14</v>
      </c>
      <c r="B10" s="12">
        <f>+[16]Summary!$H$33</f>
        <v>67549.176986446604</v>
      </c>
      <c r="C10" s="3">
        <f>+[17]Summary!$H$35</f>
        <v>7.4999999999999997E-2</v>
      </c>
      <c r="D10" s="11">
        <f t="shared" si="0"/>
        <v>5066.1882739834955</v>
      </c>
      <c r="E10" s="11">
        <f t="shared" si="1"/>
        <v>72615.365260430102</v>
      </c>
      <c r="G10" s="12">
        <f>+[17]Summary!$H$36</f>
        <v>61403.00276625227</v>
      </c>
      <c r="H10" s="12">
        <f t="shared" si="2"/>
        <v>11212.362494177833</v>
      </c>
      <c r="I10" s="13">
        <f t="shared" si="3"/>
        <v>0.18260283681664286</v>
      </c>
      <c r="J10" s="14" t="s">
        <v>48</v>
      </c>
      <c r="K10" s="14" t="s">
        <v>50</v>
      </c>
      <c r="M10" t="s">
        <v>29</v>
      </c>
      <c r="N10" t="str">
        <f t="shared" si="4"/>
        <v>PRT</v>
      </c>
    </row>
    <row r="11" spans="1:16" hidden="1" x14ac:dyDescent="0.25">
      <c r="A11" s="9" t="s">
        <v>25</v>
      </c>
      <c r="B11" s="12"/>
      <c r="C11" s="6">
        <v>0.05</v>
      </c>
      <c r="D11" s="11">
        <f t="shared" si="0"/>
        <v>0</v>
      </c>
      <c r="E11" s="11">
        <f t="shared" si="1"/>
        <v>0</v>
      </c>
      <c r="G11" s="12">
        <f>+[18]Summary!$E$36</f>
        <v>628236.15</v>
      </c>
      <c r="H11" s="12"/>
      <c r="I11" s="13">
        <f t="shared" si="3"/>
        <v>0</v>
      </c>
      <c r="J11" s="14"/>
      <c r="K11" s="16"/>
      <c r="M11" s="9"/>
      <c r="N11" t="e">
        <f t="shared" si="4"/>
        <v>#N/A</v>
      </c>
      <c r="P11" t="s">
        <v>15</v>
      </c>
    </row>
    <row r="12" spans="1:16" hidden="1" x14ac:dyDescent="0.25">
      <c r="A12" s="9" t="s">
        <v>26</v>
      </c>
      <c r="B12" s="12"/>
      <c r="C12" s="6">
        <v>0.05</v>
      </c>
      <c r="D12" s="11">
        <f t="shared" si="0"/>
        <v>0</v>
      </c>
      <c r="E12" s="11">
        <f t="shared" si="1"/>
        <v>0</v>
      </c>
      <c r="G12" s="12">
        <f>+[19]Summary!$E$36</f>
        <v>21308.7</v>
      </c>
      <c r="H12" s="12"/>
      <c r="I12" s="13">
        <f t="shared" si="3"/>
        <v>0</v>
      </c>
      <c r="J12" s="14"/>
      <c r="K12" s="16"/>
      <c r="M12" s="9"/>
      <c r="N12" t="e">
        <f t="shared" si="4"/>
        <v>#N/A</v>
      </c>
    </row>
    <row r="13" spans="1:16" x14ac:dyDescent="0.25">
      <c r="A13" t="s">
        <v>20</v>
      </c>
      <c r="B13" s="12">
        <f>+[20]Summary!$H$33</f>
        <v>17967.430721282879</v>
      </c>
      <c r="C13" s="3">
        <f>+[21]Summary!$H$35</f>
        <v>7.4999999999999997E-2</v>
      </c>
      <c r="D13" s="11">
        <f t="shared" si="0"/>
        <v>1347.5573040962158</v>
      </c>
      <c r="E13" s="11">
        <f t="shared" si="1"/>
        <v>19314.988025379094</v>
      </c>
      <c r="G13" s="12">
        <f>+[21]Summary!$H$36</f>
        <v>22925.112714356808</v>
      </c>
      <c r="H13" s="12">
        <f t="shared" si="2"/>
        <v>-3610.124688977714</v>
      </c>
      <c r="I13" s="13">
        <f t="shared" si="3"/>
        <v>-0.15747467565194914</v>
      </c>
      <c r="J13" s="14" t="s">
        <v>42</v>
      </c>
      <c r="K13" s="15" t="s">
        <v>44</v>
      </c>
      <c r="M13" t="s">
        <v>29</v>
      </c>
      <c r="N13" t="str">
        <f t="shared" si="4"/>
        <v>SLI</v>
      </c>
    </row>
    <row r="14" spans="1:16" hidden="1" x14ac:dyDescent="0.25">
      <c r="A14" t="s">
        <v>23</v>
      </c>
      <c r="B14" s="12">
        <f>+[22]Summary!$H$33</f>
        <v>1524</v>
      </c>
      <c r="C14" s="3">
        <f>+[23]Summary!$H$35</f>
        <v>7.4999999999999997E-2</v>
      </c>
      <c r="D14" s="11">
        <f t="shared" si="0"/>
        <v>114.3</v>
      </c>
      <c r="E14" s="11">
        <f t="shared" si="1"/>
        <v>1638.3</v>
      </c>
      <c r="G14" s="12">
        <f>+[23]Summary!$H$36</f>
        <v>60621.568508703676</v>
      </c>
      <c r="H14" s="12">
        <f t="shared" si="2"/>
        <v>-58983.268508703673</v>
      </c>
      <c r="I14" s="13">
        <f t="shared" si="3"/>
        <v>-0.97297496517654791</v>
      </c>
      <c r="J14" s="14"/>
      <c r="K14" s="15"/>
      <c r="M14" t="s">
        <v>29</v>
      </c>
      <c r="N14" t="str">
        <f t="shared" si="4"/>
        <v>ULI</v>
      </c>
    </row>
    <row r="15" spans="1:16" x14ac:dyDescent="0.25">
      <c r="A15" t="s">
        <v>16</v>
      </c>
      <c r="B15" s="12">
        <f>+[24]Summary!$H$33</f>
        <v>216250.56469902748</v>
      </c>
      <c r="C15" s="3">
        <f>+[25]Summary!$L$35</f>
        <v>7.4999999999999997E-2</v>
      </c>
      <c r="D15" s="11">
        <f t="shared" si="0"/>
        <v>16218.792352427061</v>
      </c>
      <c r="E15" s="11">
        <f t="shared" si="1"/>
        <v>232469.35705145454</v>
      </c>
      <c r="G15" s="12">
        <f ca="1">+[25]Summary!$L$36</f>
        <v>70721.566596096614</v>
      </c>
      <c r="H15" s="12">
        <f t="shared" ca="1" si="2"/>
        <v>161747.79045535793</v>
      </c>
      <c r="I15" s="13">
        <f t="shared" ca="1" si="3"/>
        <v>2.2871070062563543</v>
      </c>
      <c r="J15" s="14" t="s">
        <v>49</v>
      </c>
      <c r="K15" s="15" t="s">
        <v>52</v>
      </c>
      <c r="M15" t="s">
        <v>30</v>
      </c>
      <c r="N15" t="str">
        <f t="shared" si="4"/>
        <v>USH</v>
      </c>
    </row>
    <row r="16" spans="1:16" hidden="1" x14ac:dyDescent="0.25">
      <c r="A16" t="s">
        <v>19</v>
      </c>
      <c r="B16" s="12"/>
      <c r="C16" s="3">
        <f>+[26]Summary!$H$35</f>
        <v>7.4999999999999997E-2</v>
      </c>
      <c r="D16" s="11">
        <f t="shared" si="0"/>
        <v>0</v>
      </c>
      <c r="E16" s="11">
        <f t="shared" si="1"/>
        <v>0</v>
      </c>
      <c r="G16" s="12">
        <f>+[26]Summary!$H$36</f>
        <v>777303.67606529</v>
      </c>
      <c r="H16" s="12"/>
      <c r="I16" s="13">
        <f t="shared" si="3"/>
        <v>0</v>
      </c>
      <c r="J16" s="14"/>
      <c r="K16" s="15"/>
      <c r="M16" t="s">
        <v>29</v>
      </c>
      <c r="N16" t="e">
        <f t="shared" si="4"/>
        <v>#N/A</v>
      </c>
      <c r="O16" t="s">
        <v>34</v>
      </c>
    </row>
    <row r="17" spans="1:14" hidden="1" x14ac:dyDescent="0.25">
      <c r="A17" t="s">
        <v>21</v>
      </c>
      <c r="B17" s="12"/>
      <c r="C17" s="4">
        <v>7.4999999999999997E-2</v>
      </c>
      <c r="D17" s="11">
        <f t="shared" ref="D17:D18" si="5">+B17*C17</f>
        <v>0</v>
      </c>
      <c r="E17" s="11">
        <f t="shared" ref="E17:E18" si="6">+B17+D17</f>
        <v>0</v>
      </c>
      <c r="G17" s="5"/>
      <c r="H17" s="12">
        <f t="shared" si="2"/>
        <v>0</v>
      </c>
      <c r="I17" s="13" t="e">
        <f t="shared" si="3"/>
        <v>#DIV/0!</v>
      </c>
      <c r="J17" s="14"/>
      <c r="K17" s="17"/>
      <c r="M17" s="10" t="s">
        <v>29</v>
      </c>
      <c r="N17" t="str">
        <f t="shared" si="4"/>
        <v>PML</v>
      </c>
    </row>
    <row r="18" spans="1:14" hidden="1" x14ac:dyDescent="0.25">
      <c r="A18" t="s">
        <v>22</v>
      </c>
      <c r="B18" s="12"/>
      <c r="C18" s="4">
        <v>7.4999999999999997E-2</v>
      </c>
      <c r="D18" s="11">
        <f t="shared" si="5"/>
        <v>0</v>
      </c>
      <c r="E18" s="11">
        <f t="shared" si="6"/>
        <v>0</v>
      </c>
      <c r="G18" s="5"/>
      <c r="H18" s="12">
        <f t="shared" si="2"/>
        <v>0</v>
      </c>
      <c r="I18" s="13" t="e">
        <f t="shared" si="3"/>
        <v>#DIV/0!</v>
      </c>
      <c r="J18" s="14"/>
      <c r="K18" s="17"/>
      <c r="M18" s="10" t="s">
        <v>29</v>
      </c>
      <c r="N18" t="str">
        <f t="shared" si="4"/>
        <v>CHL</v>
      </c>
    </row>
    <row r="19" spans="1:14" x14ac:dyDescent="0.25">
      <c r="B19" s="12"/>
    </row>
    <row r="20" spans="1:14" x14ac:dyDescent="0.25">
      <c r="A20" s="7" t="s">
        <v>17</v>
      </c>
      <c r="B20" s="8">
        <f>+SUM(B2:B19)</f>
        <v>673373.36054509482</v>
      </c>
      <c r="C20" s="7"/>
      <c r="D20" s="8">
        <f>+SUM(D2:D19)</f>
        <v>50503.002040882122</v>
      </c>
      <c r="E20" s="8">
        <f>+SUM(E2:E19)</f>
        <v>723876.36258597695</v>
      </c>
      <c r="F20" s="7"/>
      <c r="G20" s="8">
        <f ca="1">+SUM(G2:G19)</f>
        <v>2193507.4511118876</v>
      </c>
      <c r="H20" s="8">
        <f ca="1">+SUM(H2:H19)</f>
        <v>124733.27651411705</v>
      </c>
      <c r="I20" s="13">
        <f ca="1">+H20/G20</f>
        <v>5.6864760797092267E-2</v>
      </c>
      <c r="J20" s="13"/>
    </row>
    <row r="29" spans="1:14" x14ac:dyDescent="0.25">
      <c r="A29" t="s">
        <v>22</v>
      </c>
      <c r="B29" t="str">
        <f>+VLOOKUP(A29,$A$2:$A$18,1,0)</f>
        <v>CHL</v>
      </c>
    </row>
    <row r="30" spans="1:14" x14ac:dyDescent="0.25">
      <c r="A30" t="s">
        <v>31</v>
      </c>
      <c r="B30" t="e">
        <f t="shared" ref="B30:B44" si="7">+VLOOKUP(A30,$A$2:$A$18,1,0)</f>
        <v>#N/A</v>
      </c>
    </row>
    <row r="31" spans="1:14" x14ac:dyDescent="0.25">
      <c r="A31" t="s">
        <v>14</v>
      </c>
      <c r="B31" t="str">
        <f t="shared" si="7"/>
        <v>PRT</v>
      </c>
    </row>
    <row r="32" spans="1:14" x14ac:dyDescent="0.25">
      <c r="A32" t="s">
        <v>21</v>
      </c>
      <c r="B32" t="str">
        <f t="shared" si="7"/>
        <v>PML</v>
      </c>
    </row>
    <row r="33" spans="1:2" x14ac:dyDescent="0.25">
      <c r="A33" t="s">
        <v>6</v>
      </c>
      <c r="B33" t="str">
        <f t="shared" si="7"/>
        <v>ASL</v>
      </c>
    </row>
    <row r="34" spans="1:2" x14ac:dyDescent="0.25">
      <c r="A34" t="s">
        <v>24</v>
      </c>
      <c r="B34" t="e">
        <f t="shared" si="7"/>
        <v>#N/A</v>
      </c>
    </row>
    <row r="35" spans="1:2" x14ac:dyDescent="0.25">
      <c r="A35" t="s">
        <v>16</v>
      </c>
      <c r="B35" t="str">
        <f t="shared" si="7"/>
        <v>USH</v>
      </c>
    </row>
    <row r="36" spans="1:2" x14ac:dyDescent="0.25">
      <c r="A36" t="s">
        <v>8</v>
      </c>
      <c r="B36" t="str">
        <f t="shared" si="7"/>
        <v>GTL</v>
      </c>
    </row>
    <row r="37" spans="1:2" x14ac:dyDescent="0.25">
      <c r="A37" t="s">
        <v>20</v>
      </c>
      <c r="B37" t="str">
        <f t="shared" si="7"/>
        <v>SLI</v>
      </c>
    </row>
    <row r="38" spans="1:2" x14ac:dyDescent="0.25">
      <c r="A38" t="s">
        <v>12</v>
      </c>
      <c r="B38" t="str">
        <f t="shared" si="7"/>
        <v>PEN</v>
      </c>
    </row>
    <row r="39" spans="1:2" x14ac:dyDescent="0.25">
      <c r="A39" t="s">
        <v>32</v>
      </c>
      <c r="B39" t="e">
        <f t="shared" si="7"/>
        <v>#N/A</v>
      </c>
    </row>
    <row r="40" spans="1:2" x14ac:dyDescent="0.25">
      <c r="A40" t="s">
        <v>18</v>
      </c>
      <c r="B40" t="str">
        <f t="shared" si="7"/>
        <v>GBR</v>
      </c>
    </row>
    <row r="41" spans="1:2" x14ac:dyDescent="0.25">
      <c r="A41" t="s">
        <v>9</v>
      </c>
      <c r="B41" t="str">
        <f t="shared" si="7"/>
        <v>NFL</v>
      </c>
    </row>
    <row r="42" spans="1:2" x14ac:dyDescent="0.25">
      <c r="A42" t="s">
        <v>10</v>
      </c>
      <c r="B42" t="str">
        <f t="shared" si="7"/>
        <v>NSL</v>
      </c>
    </row>
    <row r="43" spans="1:2" x14ac:dyDescent="0.25">
      <c r="A43" t="s">
        <v>23</v>
      </c>
      <c r="B43" t="str">
        <f t="shared" si="7"/>
        <v>ULI</v>
      </c>
    </row>
    <row r="44" spans="1:2" x14ac:dyDescent="0.25">
      <c r="A44" t="s">
        <v>7</v>
      </c>
      <c r="B44" t="str">
        <f t="shared" si="7"/>
        <v>AMH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2024-08-26T15:39:08Z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