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Moretti\OneDrive - ARM\Documents\GitHub\DMI_IBNP\Process Results\"/>
    </mc:Choice>
  </mc:AlternateContent>
  <xr:revisionPtr revIDLastSave="0" documentId="13_ncr:1_{CD48CF46-081D-4DC8-AFEF-C81AFAF71C24}" xr6:coauthVersionLast="47" xr6:coauthVersionMax="47" xr10:uidLastSave="{00000000-0000-0000-0000-000000000000}"/>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B5" i="1" l="1"/>
  <c r="B6" i="2"/>
  <c r="B7" i="2"/>
  <c r="B8" i="2"/>
  <c r="B9" i="2"/>
  <c r="B10" i="2"/>
  <c r="B11" i="2"/>
  <c r="B12" i="2"/>
  <c r="B13" i="2"/>
  <c r="B14" i="2"/>
  <c r="B15" i="2"/>
  <c r="B16" i="2"/>
  <c r="B17" i="2"/>
  <c r="B18" i="2"/>
  <c r="B19" i="2"/>
  <c r="B20" i="2"/>
  <c r="B21" i="2"/>
  <c r="B22" i="2"/>
  <c r="B23" i="2"/>
  <c r="B24" i="2"/>
  <c r="B25" i="2"/>
  <c r="B11" i="1"/>
  <c r="B5" i="2" l="1"/>
  <c r="B4" i="2" s="1"/>
  <c r="G18" i="1"/>
  <c r="J11" i="1" l="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2" i="1"/>
  <c r="B10" i="1" l="1"/>
  <c r="B13" i="1"/>
  <c r="B9" i="1"/>
  <c r="B8" i="1"/>
  <c r="B3" i="1"/>
  <c r="B16" i="1"/>
  <c r="D7" i="1"/>
  <c r="E7" i="1" s="1"/>
  <c r="D6" i="1"/>
  <c r="E6" i="1" s="1"/>
  <c r="D2" i="1"/>
  <c r="K7" i="1" l="1"/>
  <c r="L7" i="1" s="1"/>
  <c r="H7" i="1"/>
  <c r="I7" i="1" s="1"/>
  <c r="K6" i="1"/>
  <c r="L6" i="1" s="1"/>
  <c r="H6" i="1"/>
  <c r="I6"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 r="B12" i="1" l="1"/>
  <c r="D12" i="1" l="1"/>
  <c r="E12" i="1"/>
  <c r="K12" i="1" l="1"/>
  <c r="H12" i="1"/>
  <c r="I12" i="1" l="1"/>
  <c r="L12" i="1"/>
  <c r="B4" i="1" l="1"/>
  <c r="D4" i="1" l="1"/>
  <c r="D18" i="1" s="1"/>
  <c r="E4" i="1"/>
  <c r="B18" i="1"/>
  <c r="K4" i="1" l="1"/>
  <c r="H4" i="1"/>
  <c r="E18" i="1"/>
  <c r="H18" i="1" l="1"/>
  <c r="I18" i="1" s="1"/>
  <c r="I4" i="1"/>
  <c r="K18" i="1"/>
  <c r="L18" i="1" s="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tc={4EA062A0-BE3E-4ACB-98F3-2F60190870C5}</author>
  </authors>
  <commentList>
    <comment ref="J11" authorId="0"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<sst xmlns="http://schemas.openxmlformats.org/spreadsheetml/2006/main" count="81" uniqueCount="52">
  <si>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</si>
  <si>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</si>
  <si>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</si>
  <si>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</si>
  <si>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</si>
  <si>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</si>
  <si>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</si>
  <si>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</si>
  <si>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</si>
  <si>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</si>
  <si>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</si>
  <si>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</si>
  <si>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</si>
  <si>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</si>
  <si>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</si>
  <si>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</si>
  <si>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</si>
  <si>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</si>
  <si>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</si>
  <si>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</si>
  <si>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</si>
  <si>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</si>
  <si>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</si>
  <si>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</si>
  <si>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</si>
  <si>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</si>
  <si>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</si>
  <si>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</si>
  <si>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</si>
  <si>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</si>
  <si>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</si>
  <si>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</si>
  <si>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</si>
  <si>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</si>
  <si>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</si>
  <si>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</si>
  <si>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</si>
  <si>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</si>
  <si>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</si>
  <si>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</si>
  <si>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</si>
  <si>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</si>
  <si>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</si>
  <si>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</si>
  <si>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</si>
  <si>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</si>
  <si>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</si>
  <si>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</si>
  <si>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</si>
  <si>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</si>
  <si>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Mannually Removed big movement for Accident month June 2024 (for the completion factors calculation)</t>
  </si>
  <si>
    <t>Previously, the volume selection was based on the average of months 3 to 6. 
Now, due to the volatility in early development months and the limited data
for recent accident months, we decided to select the he average of months 6 to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</si>
</sst>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8"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
      <b/>
      <sz val="11"/>
      <color theme="0"/>
      <name val="Arial Narrow"/>
      <family val="2"/>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164" fontId="0" fillId="4" borderId="0" xfId="0" applyNumberFormat="1" applyFill="1"/>
    <xf numFmtId="9" fontId="0" fillId="4" borderId="0" xfId="1" applyFont="1" applyFill="1"/>
    <xf numFmtId="0" fontId="0" fillId="4" borderId="0" xfId="0" applyFill="1"/>
    <xf numFmtId="164" fontId="3" fillId="4" borderId="0" xfId="0" applyNumberFormat="1" applyFont="1" applyFill="1"/>
    <xf numFmtId="164" fontId="0" fillId="0" borderId="0" xfId="2" applyNumberFormat="1" applyFont="1" applyFill="1"/>
    <xf numFmtId="9" fontId="0" fillId="0" borderId="0" xfId="1" applyFont="1" applyFill="1"/>
    <xf numFmtId="0" fontId="0" fillId="0" borderId="0" xfId="0" applyAlignment="1">
      <alignment vertical="center" wrapText="1"/>
    </xf>
    <xf numFmtId="0" fontId="7" fillId="5" borderId="0" xfId="0" applyFont="1" applyFill="1" applyAlignment="1">
      <alignment horizontal="center"/>
    </xf>
    <xf numFmtId="0" fontId="0" fillId="0" borderId="0" xfId="0" applyFill="1"/>
    <xf numFmtId="164" fontId="0" fillId="0" borderId="0" xfId="0" applyNumberFormat="1" applyFill="1"/>
    <xf numFmtId="10" fontId="0" fillId="0" borderId="0" xfId="0" applyNumberFormat="1" applyFill="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23</xdr:row>
      <xdr:rowOff>106680</xdr:rowOff>
    </xdr:from>
    <xdr:to>
      <xdr:col>12</xdr:col>
      <xdr:colOff>2946627</xdr:colOff>
      <xdr:row>27</xdr:row>
      <xdr:rowOff>0</xdr:rowOff>
    </xdr:to>
    <xdr:pic>
      <xdr:nvPicPr>
        <xdr:cNvPr id="4" name="Picture 3">
          <a:extLst>
            <a:ext uri="{FF2B5EF4-FFF2-40B4-BE49-F238E27FC236}">
              <a16:creationId xmlns:a16="http://schemas.microsoft.com/office/drawing/2014/main" id="{4279FAC6-BF1F-F48E-1373-EF159327C8D4}"/>
            </a:ext>
          </a:extLst>
        </xdr:cNvPr>
        <xdr:cNvPicPr>
          <a:picLocks noChangeAspect="1"/>
        </xdr:cNvPicPr>
      </xdr:nvPicPr>
      <xdr:blipFill rotWithShape="1">
        <a:blip xmlns:r="http://schemas.openxmlformats.org/officeDocument/2006/relationships" r:embed="rId1"/>
        <a:srcRect b="41969"/>
        <a:stretch/>
      </xdr:blipFill>
      <xdr:spPr>
        <a:xfrm>
          <a:off x="121920" y="4968240"/>
          <a:ext cx="10726647" cy="563880"/>
        </a:xfrm>
        <a:prstGeom prst="rect">
          <a:avLst/>
        </a:prstGeom>
      </xdr:spPr>
    </xdr:pic>
    <xdr:clientData/>
  </xdr:twoCellAnchor>
  <xdr:twoCellAnchor editAs="oneCell">
    <xdr:from>
      <xdr:col>0</xdr:col>
      <xdr:colOff>0</xdr:colOff>
      <xdr:row>30</xdr:row>
      <xdr:rowOff>0</xdr:rowOff>
    </xdr:from>
    <xdr:to>
      <xdr:col>12</xdr:col>
      <xdr:colOff>2615128</xdr:colOff>
      <xdr:row>32</xdr:row>
      <xdr:rowOff>121984</xdr:rowOff>
    </xdr:to>
    <xdr:pic>
      <xdr:nvPicPr>
        <xdr:cNvPr id="2" name="Picture 1">
          <a:extLst>
            <a:ext uri="{FF2B5EF4-FFF2-40B4-BE49-F238E27FC236}">
              <a16:creationId xmlns:a16="http://schemas.microsoft.com/office/drawing/2014/main" id="{0DD4BF10-FB78-F72F-6604-881CEEFDF5AA}"/>
            </a:ext>
          </a:extLst>
        </xdr:cNvPr>
        <xdr:cNvPicPr>
          <a:picLocks noChangeAspect="1"/>
        </xdr:cNvPicPr>
      </xdr:nvPicPr>
      <xdr:blipFill>
        <a:blip xmlns:r="http://schemas.openxmlformats.org/officeDocument/2006/relationships" r:embed="rId2"/>
        <a:stretch>
          <a:fillRect/>
        </a:stretch>
      </xdr:blipFill>
      <xdr:spPr>
        <a:xfrm>
          <a:off x="0" y="5852160"/>
          <a:ext cx="10517068" cy="457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S02\Unified$\04_Inforce_Management\03_ARM_IBNP_Process\2024.11\Unified_Claims_Liability_Summary_0.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6553.5356449181727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54572.110617554819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53775.272475281003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118365.06785229972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161593.12051305853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60707.860115003437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8">
          <cell r="B8">
            <v>199.38</v>
          </cell>
        </row>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165075.41370963273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7889.4301745302082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13655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106410.99448837007</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49444.044508462743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7348.6022231288471</v>
          </cell>
        </row>
        <row r="3">
          <cell r="E3">
            <v>2995.6848824042709</v>
          </cell>
        </row>
        <row r="4">
          <cell r="E4">
            <v>45270.824112503578</v>
          </cell>
        </row>
        <row r="5">
          <cell r="E5">
            <v>192919.73680863658</v>
          </cell>
        </row>
        <row r="6">
          <cell r="E6">
            <v>59087.411617334052</v>
          </cell>
        </row>
        <row r="7">
          <cell r="E7">
            <v>55217.02204548772</v>
          </cell>
        </row>
        <row r="8">
          <cell r="E8">
            <v>123180.81252571251</v>
          </cell>
        </row>
        <row r="9">
          <cell r="E9">
            <v>178346.34988052916</v>
          </cell>
        </row>
        <row r="10">
          <cell r="E10">
            <v>44940.603200945363</v>
          </cell>
        </row>
        <row r="11">
          <cell r="E11">
            <v>160257.80434065702</v>
          </cell>
        </row>
        <row r="12">
          <cell r="E12">
            <v>9828.166773972489</v>
          </cell>
        </row>
        <row r="13">
          <cell r="E13">
            <v>14726.424999999999</v>
          </cell>
        </row>
        <row r="14">
          <cell r="E14">
            <v>131828.09074919537</v>
          </cell>
        </row>
        <row r="15">
          <cell r="E15">
            <v>46847.618847402235</v>
          </cell>
        </row>
        <row r="16">
          <cell r="E16">
            <v>417361.51555937465</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44866</v>
          </cell>
          <cell r="H8">
            <v>0</v>
          </cell>
        </row>
        <row r="9">
          <cell r="A9">
            <v>44896</v>
          </cell>
          <cell r="H9">
            <v>0</v>
          </cell>
        </row>
        <row r="10">
          <cell r="A10">
            <v>44927</v>
          </cell>
          <cell r="H10">
            <v>0</v>
          </cell>
        </row>
        <row r="11">
          <cell r="A11">
            <v>44958</v>
          </cell>
          <cell r="H11">
            <v>0</v>
          </cell>
        </row>
        <row r="12">
          <cell r="A12">
            <v>44986</v>
          </cell>
          <cell r="H12">
            <v>17.467055498214904</v>
          </cell>
        </row>
        <row r="13">
          <cell r="A13">
            <v>45017</v>
          </cell>
          <cell r="H13">
            <v>58.265617375669535</v>
          </cell>
        </row>
        <row r="14">
          <cell r="A14">
            <v>45047</v>
          </cell>
          <cell r="H14">
            <v>82.265760242094984</v>
          </cell>
        </row>
        <row r="15">
          <cell r="A15">
            <v>45078</v>
          </cell>
          <cell r="H15">
            <v>76.045940372452606</v>
          </cell>
        </row>
        <row r="16">
          <cell r="A16">
            <v>45108</v>
          </cell>
          <cell r="H16">
            <v>81.586743367050076</v>
          </cell>
        </row>
        <row r="17">
          <cell r="A17">
            <v>45139</v>
          </cell>
          <cell r="H17">
            <v>130.95243489439599</v>
          </cell>
        </row>
        <row r="18">
          <cell r="A18">
            <v>45170</v>
          </cell>
          <cell r="H18">
            <v>3378.6541370289924</v>
          </cell>
        </row>
        <row r="19">
          <cell r="A19">
            <v>45200</v>
          </cell>
          <cell r="H19">
            <v>3908.2538641181018</v>
          </cell>
        </row>
        <row r="20">
          <cell r="A20">
            <v>45231</v>
          </cell>
          <cell r="H20">
            <v>4764.6539675625972</v>
          </cell>
        </row>
        <row r="21">
          <cell r="A21">
            <v>45261</v>
          </cell>
          <cell r="H21">
            <v>5866.5184562771465</v>
          </cell>
        </row>
        <row r="22">
          <cell r="A22">
            <v>45292</v>
          </cell>
          <cell r="H22">
            <v>8504.1298973782978</v>
          </cell>
        </row>
        <row r="23">
          <cell r="A23">
            <v>45323</v>
          </cell>
          <cell r="H23">
            <v>10139.984953803418</v>
          </cell>
        </row>
        <row r="24">
          <cell r="A24">
            <v>45352</v>
          </cell>
          <cell r="H24">
            <v>18717.543854239106</v>
          </cell>
        </row>
        <row r="25">
          <cell r="A25">
            <v>45383</v>
          </cell>
          <cell r="H25">
            <v>22563.874633750645</v>
          </cell>
        </row>
        <row r="26">
          <cell r="A26">
            <v>45413</v>
          </cell>
          <cell r="H26">
            <v>34788.403968964936</v>
          </cell>
        </row>
        <row r="27">
          <cell r="A27">
            <v>45444</v>
          </cell>
          <cell r="H27">
            <v>33874.113464477152</v>
          </cell>
        </row>
        <row r="28">
          <cell r="A28">
            <v>45474</v>
          </cell>
          <cell r="H28">
            <v>49242.275538440095</v>
          </cell>
        </row>
        <row r="29">
          <cell r="A29">
            <v>45505</v>
          </cell>
          <cell r="H29">
            <v>92146.35</v>
          </cell>
        </row>
        <row r="30">
          <cell r="A30">
            <v>45536</v>
          </cell>
          <cell r="H30">
            <v>113751.93</v>
          </cell>
        </row>
        <row r="31">
          <cell r="A31">
            <v>45566</v>
          </cell>
          <cell r="H31">
            <v>-13850</v>
          </cell>
        </row>
        <row r="33">
          <cell r="H33">
            <v>388243.27028779039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cell r="Q5"/>
          <cell r="R5"/>
          <cell r="S5"/>
          <cell r="T5"/>
          <cell r="U5"/>
          <cell r="V5"/>
          <cell r="W5"/>
          <cell r="X5"/>
          <cell r="Y5"/>
        </row>
        <row r="6">
          <cell r="P6"/>
          <cell r="Q6"/>
          <cell r="R6"/>
          <cell r="S6"/>
          <cell r="T6"/>
          <cell r="U6"/>
          <cell r="V6"/>
          <cell r="W6"/>
          <cell r="X6"/>
          <cell r="Y6"/>
        </row>
        <row r="7">
          <cell r="P7"/>
          <cell r="Q7"/>
          <cell r="R7"/>
          <cell r="S7"/>
          <cell r="T7"/>
          <cell r="U7"/>
          <cell r="V7"/>
          <cell r="W7"/>
          <cell r="X7"/>
          <cell r="Y7"/>
        </row>
        <row r="8">
          <cell r="P8"/>
          <cell r="Q8"/>
          <cell r="R8"/>
          <cell r="S8"/>
          <cell r="T8"/>
          <cell r="U8"/>
          <cell r="V8"/>
          <cell r="W8"/>
          <cell r="X8"/>
          <cell r="Y8"/>
        </row>
        <row r="9">
          <cell r="P9"/>
          <cell r="Q9"/>
          <cell r="R9"/>
          <cell r="S9"/>
          <cell r="T9"/>
          <cell r="U9"/>
          <cell r="V9"/>
          <cell r="W9"/>
          <cell r="X9"/>
          <cell r="Y9"/>
        </row>
        <row r="10">
          <cell r="P10"/>
          <cell r="Q10"/>
          <cell r="R10"/>
          <cell r="S10"/>
          <cell r="T10"/>
          <cell r="U10"/>
          <cell r="V10"/>
          <cell r="W10"/>
          <cell r="X10"/>
          <cell r="Y10"/>
        </row>
        <row r="11">
          <cell r="P11"/>
          <cell r="Q11"/>
          <cell r="R11"/>
          <cell r="S11"/>
          <cell r="T11"/>
          <cell r="U11"/>
          <cell r="V11"/>
          <cell r="W11"/>
          <cell r="X11"/>
          <cell r="Y11"/>
        </row>
        <row r="12">
          <cell r="P12"/>
          <cell r="Q12"/>
          <cell r="R12"/>
          <cell r="S12"/>
          <cell r="T12"/>
          <cell r="U12"/>
          <cell r="V12"/>
          <cell r="W12"/>
          <cell r="X12"/>
          <cell r="Y12"/>
        </row>
        <row r="13">
          <cell r="P13"/>
          <cell r="Q13"/>
          <cell r="R13"/>
          <cell r="S13"/>
          <cell r="T13"/>
          <cell r="U13"/>
          <cell r="V13"/>
          <cell r="W13"/>
          <cell r="X13"/>
          <cell r="Y13"/>
        </row>
        <row r="14">
          <cell r="P14"/>
          <cell r="Q14"/>
          <cell r="R14"/>
          <cell r="S14"/>
          <cell r="T14"/>
          <cell r="U14"/>
          <cell r="V14"/>
          <cell r="W14"/>
          <cell r="X14"/>
          <cell r="Y14"/>
        </row>
        <row r="15">
          <cell r="P15"/>
          <cell r="Q15"/>
          <cell r="R15"/>
          <cell r="S15"/>
          <cell r="T15"/>
          <cell r="U15"/>
          <cell r="V15"/>
          <cell r="W15"/>
          <cell r="X15"/>
          <cell r="Y15"/>
        </row>
        <row r="16">
          <cell r="P16"/>
          <cell r="Q16"/>
          <cell r="R16"/>
          <cell r="S16"/>
          <cell r="T16"/>
          <cell r="U16"/>
          <cell r="V16"/>
          <cell r="W16"/>
          <cell r="X16"/>
          <cell r="Y16"/>
        </row>
        <row r="17">
          <cell r="P17"/>
          <cell r="Q17"/>
          <cell r="R17"/>
          <cell r="S17"/>
          <cell r="T17"/>
          <cell r="U17"/>
          <cell r="V17"/>
          <cell r="W17"/>
          <cell r="X17"/>
          <cell r="Y17"/>
        </row>
        <row r="18">
          <cell r="P18"/>
          <cell r="Q18"/>
          <cell r="R18"/>
          <cell r="S18"/>
          <cell r="T18"/>
          <cell r="U18"/>
          <cell r="V18"/>
          <cell r="W18"/>
          <cell r="X18"/>
          <cell r="Y18"/>
        </row>
        <row r="19">
          <cell r="P19"/>
          <cell r="Q19"/>
          <cell r="R19"/>
          <cell r="S19"/>
          <cell r="T19"/>
          <cell r="U19"/>
          <cell r="V19"/>
          <cell r="W19"/>
          <cell r="X19"/>
          <cell r="Y19"/>
        </row>
        <row r="20">
          <cell r="P20"/>
          <cell r="Q20"/>
          <cell r="R20"/>
          <cell r="S20"/>
          <cell r="T20"/>
          <cell r="U20"/>
          <cell r="V20"/>
          <cell r="W20"/>
          <cell r="X20"/>
          <cell r="Y20"/>
        </row>
        <row r="21">
          <cell r="P21"/>
          <cell r="Q21"/>
          <cell r="R21"/>
          <cell r="S21"/>
          <cell r="T21"/>
          <cell r="U21"/>
          <cell r="V21"/>
          <cell r="W21"/>
          <cell r="X21"/>
          <cell r="Y21"/>
        </row>
        <row r="22">
          <cell r="P22"/>
          <cell r="Q22"/>
          <cell r="R22"/>
          <cell r="S22"/>
          <cell r="T22"/>
          <cell r="U22"/>
          <cell r="V22"/>
          <cell r="W22"/>
          <cell r="X22"/>
          <cell r="Y22"/>
        </row>
        <row r="23">
          <cell r="P23"/>
          <cell r="Q23"/>
          <cell r="R23"/>
          <cell r="S23"/>
          <cell r="T23"/>
          <cell r="U23"/>
          <cell r="V23"/>
          <cell r="W23"/>
          <cell r="X23"/>
          <cell r="Y23"/>
        </row>
        <row r="24">
          <cell r="P24"/>
          <cell r="Q24"/>
          <cell r="R24"/>
          <cell r="S24"/>
          <cell r="T24"/>
          <cell r="U24"/>
          <cell r="V24"/>
          <cell r="W24"/>
          <cell r="X24"/>
          <cell r="Y24"/>
        </row>
        <row r="25">
          <cell r="P25"/>
          <cell r="Q25"/>
          <cell r="R25"/>
          <cell r="S25"/>
          <cell r="T25"/>
          <cell r="U25"/>
          <cell r="V25"/>
          <cell r="W25"/>
          <cell r="X25"/>
          <cell r="Y25"/>
        </row>
        <row r="26">
          <cell r="P26"/>
          <cell r="Q26"/>
          <cell r="R26"/>
          <cell r="S26"/>
          <cell r="T26"/>
          <cell r="U26"/>
          <cell r="V26"/>
          <cell r="W26"/>
          <cell r="X26"/>
          <cell r="Y26"/>
        </row>
        <row r="27">
          <cell r="P27"/>
          <cell r="Q27"/>
          <cell r="R27"/>
          <cell r="S27"/>
          <cell r="T27"/>
          <cell r="U27"/>
          <cell r="V27"/>
          <cell r="W27"/>
          <cell r="X27"/>
          <cell r="Y27"/>
        </row>
        <row r="28">
          <cell r="P28"/>
          <cell r="Q28"/>
          <cell r="R28"/>
          <cell r="S28"/>
          <cell r="T28"/>
          <cell r="U28"/>
          <cell r="V28"/>
          <cell r="W28"/>
          <cell r="X28"/>
          <cell r="Y28"/>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4609.3267555524653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33266.902027718133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263700.23928064393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8">
          <cell r="B8">
            <v>5502.54</v>
          </cell>
        </row>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30"/>
  <sheetViews>
    <sheetView tabSelected="1" zoomScaleNormal="100" workbookViewId="0">
      <selection activeCell="G11" sqref="G11"/>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6553.5356449181727</v>
      </c>
      <c r="C2" s="4">
        <f>+[2]Summary!$H$35</f>
        <v>7.4999999999999997E-2</v>
      </c>
      <c r="D2" s="7">
        <f>+B2*C2</f>
        <v>491.51517336886292</v>
      </c>
      <c r="E2" s="7">
        <f>+B2+D2</f>
        <v>7045.0508182870353</v>
      </c>
      <c r="G2" s="8">
        <f>[3]Summary!E2</f>
        <v>7348.6022231288471</v>
      </c>
      <c r="H2" s="8">
        <f>+E2-G2</f>
        <v>-303.55140484181175</v>
      </c>
      <c r="I2" s="9">
        <f>+H2/G2</f>
        <v>-4.1307366438534387E-2</v>
      </c>
      <c r="J2" s="35">
        <f>+[2]Summary!$H$36</f>
        <v>10194.181693825194</v>
      </c>
      <c r="K2" s="35">
        <f>+E2-J2</f>
        <v>-3149.1308755381588</v>
      </c>
      <c r="L2" s="36">
        <f>+K2/J2</f>
        <v>-0.30891453283058962</v>
      </c>
      <c r="M2" s="10"/>
      <c r="O2" t="s">
        <v>28</v>
      </c>
      <c r="P2" s="8" t="s">
        <v>25</v>
      </c>
    </row>
    <row r="3" spans="1:16" x14ac:dyDescent="0.3">
      <c r="A3" t="s">
        <v>6</v>
      </c>
      <c r="B3" s="8">
        <f>+[4]Summary!$H$33</f>
        <v>4609.3267555524653</v>
      </c>
      <c r="C3" s="3">
        <f>+[5]Summary!$H$35</f>
        <v>7.4999999999999997E-2</v>
      </c>
      <c r="D3" s="7">
        <f t="shared" ref="D3:D16" si="0">+B3*C3</f>
        <v>345.6995066664349</v>
      </c>
      <c r="E3" s="7">
        <f t="shared" ref="E3:E16" si="1">+B3+D3</f>
        <v>4955.0262622189002</v>
      </c>
      <c r="G3" s="8">
        <f>[3]Summary!E3</f>
        <v>2995.6848824042709</v>
      </c>
      <c r="H3" s="8">
        <f t="shared" ref="H3:H16" si="2">+E3-G3</f>
        <v>1959.3413798146294</v>
      </c>
      <c r="I3" s="9">
        <f t="shared" ref="I3:I16" si="3">+H3/G3</f>
        <v>0.65405456739565515</v>
      </c>
      <c r="J3" s="35">
        <f>+[5]Summary!$H$36</f>
        <v>2852.8990141421973</v>
      </c>
      <c r="K3" s="35">
        <f t="shared" ref="K3:K16" si="4">+E3-J3</f>
        <v>2102.1272480767029</v>
      </c>
      <c r="L3" s="36">
        <f t="shared" ref="L3:L16" si="5">+K3/J3</f>
        <v>0.73683899698383315</v>
      </c>
      <c r="M3" s="10"/>
      <c r="O3" t="s">
        <v>29</v>
      </c>
      <c r="P3" s="8" t="s">
        <v>25</v>
      </c>
    </row>
    <row r="4" spans="1:16" x14ac:dyDescent="0.3">
      <c r="A4" t="s">
        <v>15</v>
      </c>
      <c r="B4" s="8">
        <f>+[6]Summary!$H$33</f>
        <v>33266.902027718133</v>
      </c>
      <c r="C4" s="3">
        <f>+[7]Summary!$H$35</f>
        <v>7.4999999999999997E-2</v>
      </c>
      <c r="D4" s="7">
        <f t="shared" si="0"/>
        <v>2495.01765207886</v>
      </c>
      <c r="E4" s="7">
        <f t="shared" si="1"/>
        <v>35761.919679796993</v>
      </c>
      <c r="G4" s="8">
        <f>[3]Summary!E4</f>
        <v>45270.824112503578</v>
      </c>
      <c r="H4" s="8">
        <f t="shared" si="2"/>
        <v>-9508.9044327065858</v>
      </c>
      <c r="I4" s="9">
        <f t="shared" si="3"/>
        <v>-0.21004487148446394</v>
      </c>
      <c r="J4" s="35">
        <f>+[7]Summary!$H$36</f>
        <v>46527.596958871203</v>
      </c>
      <c r="K4" s="35">
        <f t="shared" si="4"/>
        <v>-10765.677279074211</v>
      </c>
      <c r="L4" s="36">
        <f t="shared" si="5"/>
        <v>-0.23138261983722691</v>
      </c>
      <c r="M4" s="10"/>
      <c r="O4" t="s">
        <v>29</v>
      </c>
      <c r="P4" s="8" t="s">
        <v>25</v>
      </c>
    </row>
    <row r="5" spans="1:16" ht="39.6" x14ac:dyDescent="0.3">
      <c r="A5" t="s">
        <v>7</v>
      </c>
      <c r="B5" s="8">
        <f>+[8]Summary!$H$33</f>
        <v>263700.23928064393</v>
      </c>
      <c r="C5" s="3">
        <f>+[9]Summary!$H$35</f>
        <v>7.4999999999999997E-2</v>
      </c>
      <c r="D5" s="7">
        <f t="shared" si="0"/>
        <v>19777.517946048294</v>
      </c>
      <c r="E5" s="7">
        <f>+B5+D5</f>
        <v>283477.75722669222</v>
      </c>
      <c r="G5" s="8">
        <f>[3]Summary!E5</f>
        <v>192919.73680863658</v>
      </c>
      <c r="H5" s="8">
        <f t="shared" si="2"/>
        <v>90558.020418055647</v>
      </c>
      <c r="I5" s="9">
        <f>+H5/G5</f>
        <v>0.46940775431330345</v>
      </c>
      <c r="J5" s="35">
        <f>+[9]Summary!$H$36</f>
        <v>88593.393911147272</v>
      </c>
      <c r="K5" s="35">
        <f t="shared" si="4"/>
        <v>194884.36331554496</v>
      </c>
      <c r="L5" s="36">
        <f t="shared" si="5"/>
        <v>2.1997617961334659</v>
      </c>
      <c r="M5" s="41" t="s">
        <v>51</v>
      </c>
      <c r="O5" t="s">
        <v>29</v>
      </c>
      <c r="P5" s="8" t="s">
        <v>25</v>
      </c>
    </row>
    <row r="6" spans="1:16" ht="38.4" customHeight="1" x14ac:dyDescent="0.3">
      <c r="A6" t="s">
        <v>8</v>
      </c>
      <c r="B6" s="8">
        <f>+[10]Summary!$H$33</f>
        <v>54572.110617554819</v>
      </c>
      <c r="C6" s="3">
        <f>+[11]Summary!$H$35</f>
        <v>7.4999999999999997E-2</v>
      </c>
      <c r="D6" s="7">
        <f t="shared" si="0"/>
        <v>4092.9082963166111</v>
      </c>
      <c r="E6" s="7">
        <f t="shared" si="1"/>
        <v>58665.018913871434</v>
      </c>
      <c r="G6" s="8">
        <f>[3]Summary!E6</f>
        <v>59087.411617334052</v>
      </c>
      <c r="H6" s="8">
        <f t="shared" si="2"/>
        <v>-422.39270346261765</v>
      </c>
      <c r="I6" s="9">
        <f t="shared" si="3"/>
        <v>-7.1486073243171699E-3</v>
      </c>
      <c r="J6" s="35">
        <f>+[11]Summary!$H$36</f>
        <v>32709.246771985087</v>
      </c>
      <c r="K6" s="35">
        <f t="shared" si="4"/>
        <v>25955.772141886348</v>
      </c>
      <c r="L6" s="36">
        <f t="shared" si="5"/>
        <v>0.79353010855991413</v>
      </c>
      <c r="M6" s="34"/>
      <c r="O6" t="s">
        <v>29</v>
      </c>
      <c r="P6" s="8" t="s">
        <v>25</v>
      </c>
    </row>
    <row r="7" spans="1:16" x14ac:dyDescent="0.3">
      <c r="A7" t="s">
        <v>9</v>
      </c>
      <c r="B7" s="8">
        <f>+[12]Summary!$H$33</f>
        <v>53775.272475281003</v>
      </c>
      <c r="C7" s="3">
        <f>+[13]Summary!$H$35</f>
        <v>7.4999999999999997E-2</v>
      </c>
      <c r="D7" s="7">
        <f t="shared" si="0"/>
        <v>4033.1454356460749</v>
      </c>
      <c r="E7" s="7">
        <f t="shared" si="1"/>
        <v>57808.417910927077</v>
      </c>
      <c r="G7" s="8">
        <f>[3]Summary!E7</f>
        <v>55217.02204548772</v>
      </c>
      <c r="H7" s="8">
        <f t="shared" si="2"/>
        <v>2591.3958654393573</v>
      </c>
      <c r="I7" s="9">
        <f t="shared" si="3"/>
        <v>4.6931105109300687E-2</v>
      </c>
      <c r="J7" s="35">
        <f>+[13]Summary!$H$36</f>
        <v>43941.36</v>
      </c>
      <c r="K7" s="35">
        <f t="shared" si="4"/>
        <v>13867.057910927077</v>
      </c>
      <c r="L7" s="36">
        <f t="shared" si="5"/>
        <v>0.3155809904592638</v>
      </c>
      <c r="M7" s="33"/>
      <c r="O7" t="s">
        <v>29</v>
      </c>
      <c r="P7" s="8" t="s">
        <v>25</v>
      </c>
    </row>
    <row r="8" spans="1:16" x14ac:dyDescent="0.3">
      <c r="A8" t="s">
        <v>10</v>
      </c>
      <c r="B8" s="8">
        <f>+[14]Summary!$H$33</f>
        <v>118365.06785229972</v>
      </c>
      <c r="C8" s="3">
        <f>+[15]Summary!$H$35</f>
        <v>7.4999999999999997E-2</v>
      </c>
      <c r="D8" s="7">
        <f t="shared" si="0"/>
        <v>8877.3800889224785</v>
      </c>
      <c r="E8" s="7">
        <f t="shared" si="1"/>
        <v>127242.4479412222</v>
      </c>
      <c r="G8" s="8">
        <f>[3]Summary!E8</f>
        <v>123180.81252571251</v>
      </c>
      <c r="H8" s="8">
        <f t="shared" si="2"/>
        <v>4061.6354155096924</v>
      </c>
      <c r="I8" s="9">
        <f t="shared" si="3"/>
        <v>3.2972955221105354E-2</v>
      </c>
      <c r="J8" s="35">
        <f>+[15]Summary!$H$36</f>
        <v>158653.1571364796</v>
      </c>
      <c r="K8" s="35">
        <f t="shared" si="4"/>
        <v>-31410.709195257397</v>
      </c>
      <c r="L8" s="36">
        <f t="shared" si="5"/>
        <v>-0.1979835117194465</v>
      </c>
      <c r="M8" s="34"/>
      <c r="O8" t="s">
        <v>29</v>
      </c>
      <c r="P8" s="8" t="s">
        <v>25</v>
      </c>
    </row>
    <row r="9" spans="1:16" x14ac:dyDescent="0.3">
      <c r="A9" t="s">
        <v>11</v>
      </c>
      <c r="B9" s="8">
        <f>+[16]Summary!$H$33</f>
        <v>161593.12051305853</v>
      </c>
      <c r="C9" s="3">
        <f>+[17]Summary!$H$35</f>
        <v>7.4999999999999997E-2</v>
      </c>
      <c r="D9" s="39">
        <f t="shared" si="0"/>
        <v>12119.48403847939</v>
      </c>
      <c r="E9" s="39">
        <f t="shared" si="1"/>
        <v>173712.60455153792</v>
      </c>
      <c r="G9" s="8">
        <f>[3]Summary!E9</f>
        <v>178346.34988052916</v>
      </c>
      <c r="H9" s="8">
        <f t="shared" si="2"/>
        <v>-4633.7453289912373</v>
      </c>
      <c r="I9" s="40">
        <f t="shared" si="3"/>
        <v>-2.5981722261741245E-2</v>
      </c>
      <c r="J9" s="8">
        <f>+[17]Summary!$H$36</f>
        <v>167515.8389747378</v>
      </c>
      <c r="K9" s="8">
        <f t="shared" si="4"/>
        <v>6196.7655768001277</v>
      </c>
      <c r="L9" s="40">
        <f t="shared" si="5"/>
        <v>3.6992117370672213E-2</v>
      </c>
      <c r="M9" s="33"/>
      <c r="O9" t="s">
        <v>29</v>
      </c>
      <c r="P9" s="8" t="s">
        <v>25</v>
      </c>
    </row>
    <row r="10" spans="1:16" x14ac:dyDescent="0.3">
      <c r="A10" t="s">
        <v>12</v>
      </c>
      <c r="B10" s="8">
        <f>+[18]Summary!$H$33</f>
        <v>60707.860115003437</v>
      </c>
      <c r="C10" s="3">
        <f>+[19]Summary!$H$35</f>
        <v>7.4999999999999997E-2</v>
      </c>
      <c r="D10" s="39">
        <f t="shared" si="0"/>
        <v>4553.0895086252576</v>
      </c>
      <c r="E10" s="39">
        <f t="shared" si="1"/>
        <v>65260.949623628694</v>
      </c>
      <c r="G10" s="8">
        <f>[3]Summary!E10</f>
        <v>44940.603200945363</v>
      </c>
      <c r="H10" s="8">
        <f t="shared" si="2"/>
        <v>20320.346422683331</v>
      </c>
      <c r="I10" s="40">
        <f t="shared" si="3"/>
        <v>0.45216007297062438</v>
      </c>
      <c r="J10" s="8">
        <f>+[19]Summary!$H$36</f>
        <v>61403.00276625227</v>
      </c>
      <c r="K10" s="8">
        <f t="shared" si="4"/>
        <v>3857.9468573764243</v>
      </c>
      <c r="L10" s="40">
        <f t="shared" si="5"/>
        <v>6.2829938009103234E-2</v>
      </c>
      <c r="M10" s="33"/>
      <c r="O10" t="s">
        <v>29</v>
      </c>
      <c r="P10" s="8" t="s">
        <v>25</v>
      </c>
    </row>
    <row r="11" spans="1:16" s="43" customFormat="1" x14ac:dyDescent="0.3">
      <c r="A11" s="43" t="s">
        <v>19</v>
      </c>
      <c r="B11" s="44">
        <f>+[20]Summary!$H$33</f>
        <v>165075.41370963273</v>
      </c>
      <c r="C11" s="45">
        <v>0.05</v>
      </c>
      <c r="D11" s="39">
        <f t="shared" si="0"/>
        <v>8253.770685481637</v>
      </c>
      <c r="E11" s="39">
        <f t="shared" si="1"/>
        <v>173329.18439511437</v>
      </c>
      <c r="G11" s="44">
        <f>[3]Summary!E11</f>
        <v>160257.80434065702</v>
      </c>
      <c r="H11" s="44">
        <f t="shared" si="2"/>
        <v>13071.380054457346</v>
      </c>
      <c r="I11" s="40">
        <f t="shared" si="3"/>
        <v>8.1564702001481054E-2</v>
      </c>
      <c r="J11" s="44">
        <f>+[21]Summary!$E$36-[21]Summary!$E$35</f>
        <v>121236.15000000002</v>
      </c>
      <c r="K11" s="44">
        <f t="shared" ref="K11" si="6">+E11-J11</f>
        <v>52093.034395114344</v>
      </c>
      <c r="L11" s="40">
        <f t="shared" ref="L11" si="7">+K11/J11</f>
        <v>0.42968235460392246</v>
      </c>
      <c r="M11" s="33"/>
      <c r="O11" s="43" t="s">
        <v>30</v>
      </c>
      <c r="P11" s="44" t="s">
        <v>25</v>
      </c>
    </row>
    <row r="12" spans="1:16" s="43" customFormat="1" x14ac:dyDescent="0.3">
      <c r="A12" s="43" t="s">
        <v>20</v>
      </c>
      <c r="B12" s="44">
        <f>+[22]Summary!$H$33</f>
        <v>7889.4301745302082</v>
      </c>
      <c r="C12" s="45">
        <v>0.05</v>
      </c>
      <c r="D12" s="39">
        <f t="shared" si="0"/>
        <v>394.47150872651042</v>
      </c>
      <c r="E12" s="39">
        <f t="shared" si="1"/>
        <v>8283.9016832567195</v>
      </c>
      <c r="G12" s="44">
        <f>[3]Summary!E12</f>
        <v>9828.166773972489</v>
      </c>
      <c r="H12" s="44">
        <f t="shared" si="2"/>
        <v>-1544.2650907157695</v>
      </c>
      <c r="I12" s="40">
        <f t="shared" si="3"/>
        <v>-0.15712646378828046</v>
      </c>
      <c r="J12" s="44">
        <f>+[23]Summary!$E$36</f>
        <v>21308.7</v>
      </c>
      <c r="K12" s="44">
        <f t="shared" ref="K12" si="8">+E12-J12</f>
        <v>-13024.798316743281</v>
      </c>
      <c r="L12" s="40">
        <f t="shared" ref="L12" si="9">+K12/J12</f>
        <v>-0.61124321599831433</v>
      </c>
      <c r="M12" s="33"/>
      <c r="O12" s="43" t="s">
        <v>30</v>
      </c>
      <c r="P12" s="44" t="s">
        <v>25</v>
      </c>
    </row>
    <row r="13" spans="1:16" s="43" customFormat="1" ht="39.6" x14ac:dyDescent="0.3">
      <c r="A13" s="43" t="s">
        <v>17</v>
      </c>
      <c r="B13" s="44">
        <f>+[24]Summary!$H$33</f>
        <v>13655</v>
      </c>
      <c r="C13" s="45">
        <f>+[25]Summary!$H$35</f>
        <v>7.4999999999999997E-2</v>
      </c>
      <c r="D13" s="39">
        <f t="shared" si="0"/>
        <v>1024.125</v>
      </c>
      <c r="E13" s="39">
        <f t="shared" si="1"/>
        <v>14679.125</v>
      </c>
      <c r="G13" s="44">
        <f>[3]Summary!E13</f>
        <v>14726.424999999999</v>
      </c>
      <c r="H13" s="44">
        <f t="shared" si="2"/>
        <v>-47.299999999999272</v>
      </c>
      <c r="I13" s="40">
        <f t="shared" si="3"/>
        <v>-3.2119132783414357E-3</v>
      </c>
      <c r="J13" s="44">
        <f>+[25]Summary!$H$36</f>
        <v>22925.112714356808</v>
      </c>
      <c r="K13" s="44">
        <f t="shared" si="4"/>
        <v>-8245.9877143568083</v>
      </c>
      <c r="L13" s="40">
        <f t="shared" si="5"/>
        <v>-0.35969235209878703</v>
      </c>
      <c r="M13" s="34" t="s">
        <v>33</v>
      </c>
      <c r="O13" s="43" t="s">
        <v>29</v>
      </c>
      <c r="P13" s="44" t="s">
        <v>25</v>
      </c>
    </row>
    <row r="14" spans="1:16" s="43" customFormat="1" x14ac:dyDescent="0.3">
      <c r="A14" s="43" t="s">
        <v>18</v>
      </c>
      <c r="B14" s="44">
        <f>+[26]Summary!$H$33</f>
        <v>106410.99448837007</v>
      </c>
      <c r="C14" s="45">
        <f>+[27]Summary!$H$35</f>
        <v>7.4999999999999997E-2</v>
      </c>
      <c r="D14" s="39">
        <f t="shared" si="0"/>
        <v>7980.8245866277548</v>
      </c>
      <c r="E14" s="39">
        <f t="shared" si="1"/>
        <v>114391.81907499782</v>
      </c>
      <c r="G14" s="44">
        <f>[3]Summary!E14</f>
        <v>131828.09074919537</v>
      </c>
      <c r="H14" s="44">
        <f t="shared" si="2"/>
        <v>-17436.271674197546</v>
      </c>
      <c r="I14" s="40">
        <f t="shared" si="3"/>
        <v>-0.13226522188939438</v>
      </c>
      <c r="J14" s="44">
        <f>+[27]Summary!$H$36</f>
        <v>60621.568508703676</v>
      </c>
      <c r="K14" s="44">
        <f t="shared" si="4"/>
        <v>53770.250566294148</v>
      </c>
      <c r="L14" s="40">
        <f t="shared" si="5"/>
        <v>0.88698217299630155</v>
      </c>
      <c r="M14" s="33"/>
      <c r="O14" s="43" t="s">
        <v>29</v>
      </c>
      <c r="P14" s="44" t="s">
        <v>25</v>
      </c>
    </row>
    <row r="15" spans="1:16" s="43" customFormat="1" ht="26.4" x14ac:dyDescent="0.3">
      <c r="A15" s="43" t="s">
        <v>13</v>
      </c>
      <c r="B15" s="44">
        <f>+[28]Summary!$L$33</f>
        <v>49444.044508462743</v>
      </c>
      <c r="C15" s="45">
        <f>+[29]Summary!$L$35</f>
        <v>7.4999999999999997E-2</v>
      </c>
      <c r="D15" s="39">
        <f t="shared" si="0"/>
        <v>3708.3033381347054</v>
      </c>
      <c r="E15" s="39">
        <f t="shared" si="1"/>
        <v>53152.347846597448</v>
      </c>
      <c r="G15" s="44">
        <f>[3]Summary!E15</f>
        <v>46847.618847402235</v>
      </c>
      <c r="H15" s="44">
        <f t="shared" si="2"/>
        <v>6304.728999195213</v>
      </c>
      <c r="I15" s="40">
        <f t="shared" si="3"/>
        <v>0.1345794974069385</v>
      </c>
      <c r="J15" s="44">
        <f>+[29]Summary!$L$36</f>
        <v>70721.566596096614</v>
      </c>
      <c r="K15" s="44">
        <f t="shared" si="4"/>
        <v>-17569.218749499167</v>
      </c>
      <c r="L15" s="40">
        <f t="shared" si="5"/>
        <v>-0.2484280198406815</v>
      </c>
      <c r="M15" s="33" t="s">
        <v>50</v>
      </c>
      <c r="O15" s="43" t="s">
        <v>31</v>
      </c>
      <c r="P15" s="44" t="s">
        <v>25</v>
      </c>
    </row>
    <row r="16" spans="1:16" s="12" customFormat="1" x14ac:dyDescent="0.3">
      <c r="A16" s="12" t="s">
        <v>16</v>
      </c>
      <c r="B16" s="13">
        <f>+[30]Summary!$H$33</f>
        <v>388243.27028779039</v>
      </c>
      <c r="C16" s="14">
        <f>+[31]Summary!$H$35</f>
        <v>7.4999999999999997E-2</v>
      </c>
      <c r="D16" s="15">
        <f t="shared" si="0"/>
        <v>29118.245271584277</v>
      </c>
      <c r="E16" s="15">
        <f t="shared" si="1"/>
        <v>417361.51555937465</v>
      </c>
      <c r="G16" s="13">
        <f>[3]Summary!E16</f>
        <v>417361.51555937465</v>
      </c>
      <c r="H16" s="13">
        <f t="shared" si="2"/>
        <v>0</v>
      </c>
      <c r="I16" s="16">
        <f t="shared" si="3"/>
        <v>0</v>
      </c>
      <c r="J16" s="13">
        <f>+[31]Summary!$H$36</f>
        <v>777303.67606529</v>
      </c>
      <c r="K16" s="13">
        <f t="shared" si="4"/>
        <v>-359942.16050591535</v>
      </c>
      <c r="L16" s="16">
        <f t="shared" si="5"/>
        <v>-0.46306504341770516</v>
      </c>
      <c r="M16" s="17"/>
      <c r="O16" s="12" t="s">
        <v>29</v>
      </c>
      <c r="P16" s="13" t="s">
        <v>25</v>
      </c>
    </row>
    <row r="17" spans="1:13" x14ac:dyDescent="0.3">
      <c r="B17" s="8"/>
      <c r="J17" s="37"/>
      <c r="K17" s="37"/>
      <c r="L17" s="37"/>
      <c r="M17" s="11"/>
    </row>
    <row r="18" spans="1:13" x14ac:dyDescent="0.3">
      <c r="A18" s="5" t="s">
        <v>14</v>
      </c>
      <c r="B18" s="6">
        <f>+SUM(B2:B17)</f>
        <v>1487861.5884508165</v>
      </c>
      <c r="C18" s="5"/>
      <c r="D18" s="6">
        <f>+SUM(D2:D17)</f>
        <v>107265.49803670714</v>
      </c>
      <c r="E18" s="6">
        <f>+SUM(E2:E17)</f>
        <v>1595127.0864875235</v>
      </c>
      <c r="F18" s="5"/>
      <c r="G18" s="6">
        <f>+SUM(G2:G17)</f>
        <v>1490156.6685672838</v>
      </c>
      <c r="H18" s="6">
        <f>+SUM(H2:H17)</f>
        <v>104970.41792023965</v>
      </c>
      <c r="I18" s="9">
        <f>+H18/G18</f>
        <v>7.0442538113233297E-2</v>
      </c>
      <c r="J18" s="38">
        <f>+SUM(J2:J17)</f>
        <v>1686507.4511118878</v>
      </c>
      <c r="K18" s="38">
        <f>+SUM(K2:K17)</f>
        <v>-91380.364624364243</v>
      </c>
      <c r="L18" s="36">
        <f>+K18/J18</f>
        <v>-5.4183196501218306E-2</v>
      </c>
      <c r="M18" s="10"/>
    </row>
    <row r="23" spans="1:13" ht="14.4" x14ac:dyDescent="0.3">
      <c r="A23" s="42" t="s">
        <v>7</v>
      </c>
      <c r="B23" s="42"/>
      <c r="C23" s="42"/>
      <c r="D23" s="42"/>
      <c r="E23" s="42"/>
      <c r="F23" s="42"/>
      <c r="G23" s="42"/>
      <c r="H23" s="42"/>
      <c r="I23" s="42"/>
      <c r="J23" s="42"/>
      <c r="K23" s="42"/>
      <c r="L23" s="42"/>
      <c r="M23" s="42"/>
    </row>
    <row r="30" spans="1:13" ht="14.4" x14ac:dyDescent="0.3">
      <c r="A30" s="42" t="s">
        <v>13</v>
      </c>
      <c r="B30" s="42"/>
      <c r="C30" s="42"/>
      <c r="D30" s="42"/>
      <c r="E30" s="42"/>
      <c r="F30" s="42"/>
      <c r="G30" s="42"/>
      <c r="H30" s="42"/>
      <c r="I30" s="42"/>
      <c r="J30" s="42"/>
      <c r="K30" s="42"/>
      <c r="L30" s="42"/>
      <c r="M30" s="42"/>
    </row>
  </sheetData>
  <mergeCells count="2">
    <mergeCell ref="A23:M23"/>
    <mergeCell ref="A30:M3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workbookViewId="0">
      <selection activeCell="M21" sqref="M21"/>
    </sheetView>
  </sheetViews>
  <sheetFormatPr defaultRowHeight="13.2" x14ac:dyDescent="0.3"/>
  <cols>
    <col min="2" max="2" width="11.140625" bestFit="1" customWidth="1"/>
    <col min="3" max="5" width="7.5703125" bestFit="1" customWidth="1"/>
    <col min="6" max="6" width="10.140625" bestFit="1" customWidth="1"/>
    <col min="7" max="7" width="11.140625" bestFit="1" customWidth="1"/>
    <col min="8" max="8" width="15.85546875" bestFit="1" customWidth="1"/>
    <col min="9" max="12" width="12.140625" bestFit="1" customWidth="1"/>
    <col min="13" max="13" width="11.140625" bestFit="1" customWidth="1"/>
  </cols>
  <sheetData>
    <row r="1" spans="1:13" x14ac:dyDescent="0.3">
      <c r="C1" s="19"/>
    </row>
    <row r="2" spans="1:13" x14ac:dyDescent="0.3">
      <c r="A2" s="23" t="s">
        <v>34</v>
      </c>
      <c r="B2" s="24" t="s">
        <v>36</v>
      </c>
      <c r="C2" s="25"/>
      <c r="D2" s="25"/>
      <c r="E2" s="25"/>
      <c r="F2" s="25"/>
      <c r="G2" s="25"/>
      <c r="H2" s="25"/>
      <c r="I2" s="25"/>
      <c r="J2" s="25"/>
      <c r="K2" s="25"/>
      <c r="L2" s="26"/>
    </row>
    <row r="3" spans="1:13" x14ac:dyDescent="0.3">
      <c r="A3" s="27" t="s">
        <v>35</v>
      </c>
      <c r="B3" s="22" t="s">
        <v>37</v>
      </c>
      <c r="C3" s="5" t="s">
        <v>38</v>
      </c>
      <c r="D3" s="5" t="s">
        <v>39</v>
      </c>
      <c r="E3" s="5" t="s">
        <v>40</v>
      </c>
      <c r="F3" s="5" t="s">
        <v>41</v>
      </c>
      <c r="G3" s="5" t="s">
        <v>42</v>
      </c>
      <c r="H3" s="5" t="s">
        <v>43</v>
      </c>
      <c r="I3" s="5" t="s">
        <v>44</v>
      </c>
      <c r="J3" s="5" t="s">
        <v>45</v>
      </c>
      <c r="K3" s="5" t="s">
        <v>46</v>
      </c>
      <c r="L3" s="28" t="s">
        <v>47</v>
      </c>
      <c r="M3" t="s">
        <v>48</v>
      </c>
    </row>
    <row r="4" spans="1:13" x14ac:dyDescent="0.3">
      <c r="A4" s="29" t="s">
        <v>49</v>
      </c>
      <c r="B4" s="30">
        <f>+SUM(B5:B28)</f>
        <v>388243.27028779039</v>
      </c>
      <c r="C4" s="30">
        <f>+SUM(C5:C28)</f>
        <v>0</v>
      </c>
      <c r="D4" s="30">
        <f t="shared" ref="D4:M4" si="0">+SUM(D5:D28)</f>
        <v>0</v>
      </c>
      <c r="E4" s="30">
        <f t="shared" si="0"/>
        <v>0</v>
      </c>
      <c r="F4" s="30">
        <f t="shared" si="0"/>
        <v>0</v>
      </c>
      <c r="G4" s="30">
        <f t="shared" si="0"/>
        <v>0</v>
      </c>
      <c r="H4" s="30">
        <f t="shared" si="0"/>
        <v>0</v>
      </c>
      <c r="I4" s="30">
        <f t="shared" si="0"/>
        <v>0</v>
      </c>
      <c r="J4" s="30">
        <f t="shared" si="0"/>
        <v>0</v>
      </c>
      <c r="K4" s="30">
        <f t="shared" si="0"/>
        <v>0</v>
      </c>
      <c r="L4" s="31">
        <f t="shared" si="0"/>
        <v>0</v>
      </c>
      <c r="M4" s="32">
        <f t="shared" si="0"/>
        <v>388243.27028779039</v>
      </c>
    </row>
    <row r="5" spans="1:13" x14ac:dyDescent="0.3">
      <c r="A5" s="18">
        <f>+[30]Summary!A8</f>
        <v>44866</v>
      </c>
      <c r="B5" s="19">
        <f>+[30]Summary!H8</f>
        <v>0</v>
      </c>
      <c r="C5" s="20">
        <f>+$B5*[32]Allocation!P5</f>
        <v>0</v>
      </c>
      <c r="D5" s="20">
        <f>+$B5*[32]Allocation!Q5</f>
        <v>0</v>
      </c>
      <c r="E5" s="20">
        <f>+$B5*[32]Allocation!R5</f>
        <v>0</v>
      </c>
      <c r="F5" s="20">
        <f>+$B5*[32]Allocation!S5</f>
        <v>0</v>
      </c>
      <c r="G5" s="20">
        <f>+$B5*[32]Allocation!T5</f>
        <v>0</v>
      </c>
      <c r="H5" s="20">
        <f>+$B5*[32]Allocation!U5</f>
        <v>0</v>
      </c>
      <c r="I5" s="20">
        <f>+$B5*[32]Allocation!V5</f>
        <v>0</v>
      </c>
      <c r="J5" s="20">
        <f>+$B5*[32]Allocation!W5</f>
        <v>0</v>
      </c>
      <c r="K5" s="20">
        <f>+$B5*[32]Allocation!X5</f>
        <v>0</v>
      </c>
      <c r="L5" s="20">
        <f>+$B5*[32]Allocation!Y5</f>
        <v>0</v>
      </c>
      <c r="M5" s="21">
        <f>+B5-SUM(C5:L5)</f>
        <v>0</v>
      </c>
    </row>
    <row r="6" spans="1:13" x14ac:dyDescent="0.3">
      <c r="A6" s="18">
        <f>+[30]Summary!A9</f>
        <v>44896</v>
      </c>
      <c r="B6" s="19">
        <f>+[30]Summary!H9</f>
        <v>0</v>
      </c>
      <c r="C6" s="20">
        <f>+$B6*[32]Allocation!P6</f>
        <v>0</v>
      </c>
      <c r="D6" s="20">
        <f>+$B6*[32]Allocation!Q6</f>
        <v>0</v>
      </c>
      <c r="E6" s="20">
        <f>+$B6*[32]Allocation!R6</f>
        <v>0</v>
      </c>
      <c r="F6" s="20">
        <f>+$B6*[32]Allocation!S6</f>
        <v>0</v>
      </c>
      <c r="G6" s="20">
        <f>+$B6*[32]Allocation!T6</f>
        <v>0</v>
      </c>
      <c r="H6" s="20">
        <f>+$B6*[32]Allocation!U6</f>
        <v>0</v>
      </c>
      <c r="I6" s="20">
        <f>+$B6*[32]Allocation!V6</f>
        <v>0</v>
      </c>
      <c r="J6" s="20">
        <f>+$B6*[32]Allocation!W6</f>
        <v>0</v>
      </c>
      <c r="K6" s="20">
        <f>+$B6*[32]Allocation!X6</f>
        <v>0</v>
      </c>
      <c r="L6" s="20">
        <f>+$B6*[32]Allocation!Y6</f>
        <v>0</v>
      </c>
      <c r="M6" s="21">
        <f t="shared" ref="M6:M28" si="1">+B6-SUM(C6:L6)</f>
        <v>0</v>
      </c>
    </row>
    <row r="7" spans="1:13" x14ac:dyDescent="0.3">
      <c r="A7" s="18">
        <f>+[30]Summary!A10</f>
        <v>44927</v>
      </c>
      <c r="B7" s="19">
        <f>+[30]Summary!H10</f>
        <v>0</v>
      </c>
      <c r="C7" s="20">
        <f>+$B7*[32]Allocation!P7</f>
        <v>0</v>
      </c>
      <c r="D7" s="20">
        <f>+$B7*[32]Allocation!Q7</f>
        <v>0</v>
      </c>
      <c r="E7" s="20">
        <f>+$B7*[32]Allocation!R7</f>
        <v>0</v>
      </c>
      <c r="F7" s="20">
        <f>+$B7*[32]Allocation!S7</f>
        <v>0</v>
      </c>
      <c r="G7" s="20">
        <f>+$B7*[32]Allocation!T7</f>
        <v>0</v>
      </c>
      <c r="H7" s="20">
        <f>+$B7*[32]Allocation!U7</f>
        <v>0</v>
      </c>
      <c r="I7" s="20">
        <f>+$B7*[32]Allocation!V7</f>
        <v>0</v>
      </c>
      <c r="J7" s="20">
        <f>+$B7*[32]Allocation!W7</f>
        <v>0</v>
      </c>
      <c r="K7" s="20">
        <f>+$B7*[32]Allocation!X7</f>
        <v>0</v>
      </c>
      <c r="L7" s="20">
        <f>+$B7*[32]Allocation!Y7</f>
        <v>0</v>
      </c>
      <c r="M7" s="21">
        <f t="shared" si="1"/>
        <v>0</v>
      </c>
    </row>
    <row r="8" spans="1:13" x14ac:dyDescent="0.3">
      <c r="A8" s="18">
        <f>+[30]Summary!A11</f>
        <v>44958</v>
      </c>
      <c r="B8" s="19">
        <f>+[30]Summary!H11</f>
        <v>0</v>
      </c>
      <c r="C8" s="20">
        <f>+$B8*[32]Allocation!P8</f>
        <v>0</v>
      </c>
      <c r="D8" s="20">
        <f>+$B8*[32]Allocation!Q8</f>
        <v>0</v>
      </c>
      <c r="E8" s="20">
        <f>+$B8*[32]Allocation!R8</f>
        <v>0</v>
      </c>
      <c r="F8" s="20">
        <f>+$B8*[32]Allocation!S8</f>
        <v>0</v>
      </c>
      <c r="G8" s="20">
        <f>+$B8*[32]Allocation!T8</f>
        <v>0</v>
      </c>
      <c r="H8" s="20">
        <f>+$B8*[32]Allocation!U8</f>
        <v>0</v>
      </c>
      <c r="I8" s="20">
        <f>+$B8*[32]Allocation!V8</f>
        <v>0</v>
      </c>
      <c r="J8" s="20">
        <f>+$B8*[32]Allocation!W8</f>
        <v>0</v>
      </c>
      <c r="K8" s="20">
        <f>+$B8*[32]Allocation!X8</f>
        <v>0</v>
      </c>
      <c r="L8" s="20">
        <f>+$B8*[32]Allocation!Y8</f>
        <v>0</v>
      </c>
      <c r="M8" s="21">
        <f t="shared" si="1"/>
        <v>0</v>
      </c>
    </row>
    <row r="9" spans="1:13" x14ac:dyDescent="0.3">
      <c r="A9" s="18">
        <f>+[30]Summary!A12</f>
        <v>44986</v>
      </c>
      <c r="B9" s="19">
        <f>+[30]Summary!H12</f>
        <v>17.467055498214904</v>
      </c>
      <c r="C9" s="20">
        <f>+$B9*[32]Allocation!P9</f>
        <v>0</v>
      </c>
      <c r="D9" s="20">
        <f>+$B9*[32]Allocation!Q9</f>
        <v>0</v>
      </c>
      <c r="E9" s="20">
        <f>+$B9*[32]Allocation!R9</f>
        <v>0</v>
      </c>
      <c r="F9" s="20">
        <f>+$B9*[32]Allocation!S9</f>
        <v>0</v>
      </c>
      <c r="G9" s="20">
        <f>+$B9*[32]Allocation!T9</f>
        <v>0</v>
      </c>
      <c r="H9" s="20">
        <f>+$B9*[32]Allocation!U9</f>
        <v>0</v>
      </c>
      <c r="I9" s="20">
        <f>+$B9*[32]Allocation!V9</f>
        <v>0</v>
      </c>
      <c r="J9" s="20">
        <f>+$B9*[32]Allocation!W9</f>
        <v>0</v>
      </c>
      <c r="K9" s="20">
        <f>+$B9*[32]Allocation!X9</f>
        <v>0</v>
      </c>
      <c r="L9" s="20">
        <f>+$B9*[32]Allocation!Y9</f>
        <v>0</v>
      </c>
      <c r="M9" s="21">
        <f t="shared" si="1"/>
        <v>17.467055498214904</v>
      </c>
    </row>
    <row r="10" spans="1:13" x14ac:dyDescent="0.3">
      <c r="A10" s="18">
        <f>+[30]Summary!A13</f>
        <v>45017</v>
      </c>
      <c r="B10" s="19">
        <f>+[30]Summary!H13</f>
        <v>58.265617375669535</v>
      </c>
      <c r="C10" s="20">
        <f>+$B10*[32]Allocation!P10</f>
        <v>0</v>
      </c>
      <c r="D10" s="20">
        <f>+$B10*[32]Allocation!Q10</f>
        <v>0</v>
      </c>
      <c r="E10" s="20">
        <f>+$B10*[32]Allocation!R10</f>
        <v>0</v>
      </c>
      <c r="F10" s="20">
        <f>+$B10*[32]Allocation!S10</f>
        <v>0</v>
      </c>
      <c r="G10" s="20">
        <f>+$B10*[32]Allocation!T10</f>
        <v>0</v>
      </c>
      <c r="H10" s="20">
        <f>+$B10*[32]Allocation!U10</f>
        <v>0</v>
      </c>
      <c r="I10" s="20">
        <f>+$B10*[32]Allocation!V10</f>
        <v>0</v>
      </c>
      <c r="J10" s="20">
        <f>+$B10*[32]Allocation!W10</f>
        <v>0</v>
      </c>
      <c r="K10" s="20">
        <f>+$B10*[32]Allocation!X10</f>
        <v>0</v>
      </c>
      <c r="L10" s="20">
        <f>+$B10*[32]Allocation!Y10</f>
        <v>0</v>
      </c>
      <c r="M10" s="21">
        <f t="shared" si="1"/>
        <v>58.265617375669535</v>
      </c>
    </row>
    <row r="11" spans="1:13" x14ac:dyDescent="0.3">
      <c r="A11" s="18">
        <f>+[30]Summary!A14</f>
        <v>45047</v>
      </c>
      <c r="B11" s="19">
        <f>+[30]Summary!H14</f>
        <v>82.265760242094984</v>
      </c>
      <c r="C11" s="20">
        <f>+$B11*[32]Allocation!P11</f>
        <v>0</v>
      </c>
      <c r="D11" s="20">
        <f>+$B11*[32]Allocation!Q11</f>
        <v>0</v>
      </c>
      <c r="E11" s="20">
        <f>+$B11*[32]Allocation!R11</f>
        <v>0</v>
      </c>
      <c r="F11" s="20">
        <f>+$B11*[32]Allocation!S11</f>
        <v>0</v>
      </c>
      <c r="G11" s="20">
        <f>+$B11*[32]Allocation!T11</f>
        <v>0</v>
      </c>
      <c r="H11" s="20">
        <f>+$B11*[32]Allocation!U11</f>
        <v>0</v>
      </c>
      <c r="I11" s="20">
        <f>+$B11*[32]Allocation!V11</f>
        <v>0</v>
      </c>
      <c r="J11" s="20">
        <f>+$B11*[32]Allocation!W11</f>
        <v>0</v>
      </c>
      <c r="K11" s="20">
        <f>+$B11*[32]Allocation!X11</f>
        <v>0</v>
      </c>
      <c r="L11" s="20">
        <f>+$B11*[32]Allocation!Y11</f>
        <v>0</v>
      </c>
      <c r="M11" s="21">
        <f t="shared" si="1"/>
        <v>82.265760242094984</v>
      </c>
    </row>
    <row r="12" spans="1:13" x14ac:dyDescent="0.3">
      <c r="A12" s="18">
        <f>+[30]Summary!A15</f>
        <v>45078</v>
      </c>
      <c r="B12" s="19">
        <f>+[30]Summary!H15</f>
        <v>76.045940372452606</v>
      </c>
      <c r="C12" s="20">
        <f>+$B12*[32]Allocation!P12</f>
        <v>0</v>
      </c>
      <c r="D12" s="20">
        <f>+$B12*[32]Allocation!Q12</f>
        <v>0</v>
      </c>
      <c r="E12" s="20">
        <f>+$B12*[32]Allocation!R12</f>
        <v>0</v>
      </c>
      <c r="F12" s="20">
        <f>+$B12*[32]Allocation!S12</f>
        <v>0</v>
      </c>
      <c r="G12" s="20">
        <f>+$B12*[32]Allocation!T12</f>
        <v>0</v>
      </c>
      <c r="H12" s="20">
        <f>+$B12*[32]Allocation!U12</f>
        <v>0</v>
      </c>
      <c r="I12" s="20">
        <f>+$B12*[32]Allocation!V12</f>
        <v>0</v>
      </c>
      <c r="J12" s="20">
        <f>+$B12*[32]Allocation!W12</f>
        <v>0</v>
      </c>
      <c r="K12" s="20">
        <f>+$B12*[32]Allocation!X12</f>
        <v>0</v>
      </c>
      <c r="L12" s="20">
        <f>+$B12*[32]Allocation!Y12</f>
        <v>0</v>
      </c>
      <c r="M12" s="21">
        <f t="shared" si="1"/>
        <v>76.045940372452606</v>
      </c>
    </row>
    <row r="13" spans="1:13" x14ac:dyDescent="0.3">
      <c r="A13" s="18">
        <f>+[30]Summary!A16</f>
        <v>45108</v>
      </c>
      <c r="B13" s="19">
        <f>+[30]Summary!H16</f>
        <v>81.586743367050076</v>
      </c>
      <c r="C13" s="20">
        <f>+$B13*[32]Allocation!P13</f>
        <v>0</v>
      </c>
      <c r="D13" s="20">
        <f>+$B13*[32]Allocation!Q13</f>
        <v>0</v>
      </c>
      <c r="E13" s="20">
        <f>+$B13*[32]Allocation!R13</f>
        <v>0</v>
      </c>
      <c r="F13" s="20">
        <f>+$B13*[32]Allocation!S13</f>
        <v>0</v>
      </c>
      <c r="G13" s="20">
        <f>+$B13*[32]Allocation!T13</f>
        <v>0</v>
      </c>
      <c r="H13" s="20">
        <f>+$B13*[32]Allocation!U13</f>
        <v>0</v>
      </c>
      <c r="I13" s="20">
        <f>+$B13*[32]Allocation!V13</f>
        <v>0</v>
      </c>
      <c r="J13" s="20">
        <f>+$B13*[32]Allocation!W13</f>
        <v>0</v>
      </c>
      <c r="K13" s="20">
        <f>+$B13*[32]Allocation!X13</f>
        <v>0</v>
      </c>
      <c r="L13" s="20">
        <f>+$B13*[32]Allocation!Y13</f>
        <v>0</v>
      </c>
      <c r="M13" s="21">
        <f t="shared" si="1"/>
        <v>81.586743367050076</v>
      </c>
    </row>
    <row r="14" spans="1:13" x14ac:dyDescent="0.3">
      <c r="A14" s="18">
        <f>+[30]Summary!A17</f>
        <v>45139</v>
      </c>
      <c r="B14" s="19">
        <f>+[30]Summary!H17</f>
        <v>130.95243489439599</v>
      </c>
      <c r="C14" s="20">
        <f>+$B14*[32]Allocation!P14</f>
        <v>0</v>
      </c>
      <c r="D14" s="20">
        <f>+$B14*[32]Allocation!Q14</f>
        <v>0</v>
      </c>
      <c r="E14" s="20">
        <f>+$B14*[32]Allocation!R14</f>
        <v>0</v>
      </c>
      <c r="F14" s="20">
        <f>+$B14*[32]Allocation!S14</f>
        <v>0</v>
      </c>
      <c r="G14" s="20">
        <f>+$B14*[32]Allocation!T14</f>
        <v>0</v>
      </c>
      <c r="H14" s="20">
        <f>+$B14*[32]Allocation!U14</f>
        <v>0</v>
      </c>
      <c r="I14" s="20">
        <f>+$B14*[32]Allocation!V14</f>
        <v>0</v>
      </c>
      <c r="J14" s="20">
        <f>+$B14*[32]Allocation!W14</f>
        <v>0</v>
      </c>
      <c r="K14" s="20">
        <f>+$B14*[32]Allocation!X14</f>
        <v>0</v>
      </c>
      <c r="L14" s="20">
        <f>+$B14*[32]Allocation!Y14</f>
        <v>0</v>
      </c>
      <c r="M14" s="21">
        <f t="shared" si="1"/>
        <v>130.95243489439599</v>
      </c>
    </row>
    <row r="15" spans="1:13" x14ac:dyDescent="0.3">
      <c r="A15" s="18">
        <f>+[30]Summary!A18</f>
        <v>45170</v>
      </c>
      <c r="B15" s="19">
        <f>+[30]Summary!H18</f>
        <v>3378.6541370289924</v>
      </c>
      <c r="C15" s="20">
        <f>+$B15*[32]Allocation!P15</f>
        <v>0</v>
      </c>
      <c r="D15" s="20">
        <f>+$B15*[32]Allocation!Q15</f>
        <v>0</v>
      </c>
      <c r="E15" s="20">
        <f>+$B15*[32]Allocation!R15</f>
        <v>0</v>
      </c>
      <c r="F15" s="20">
        <f>+$B15*[32]Allocation!S15</f>
        <v>0</v>
      </c>
      <c r="G15" s="20">
        <f>+$B15*[32]Allocation!T15</f>
        <v>0</v>
      </c>
      <c r="H15" s="20">
        <f>+$B15*[32]Allocation!U15</f>
        <v>0</v>
      </c>
      <c r="I15" s="20">
        <f>+$B15*[32]Allocation!V15</f>
        <v>0</v>
      </c>
      <c r="J15" s="20">
        <f>+$B15*[32]Allocation!W15</f>
        <v>0</v>
      </c>
      <c r="K15" s="20">
        <f>+$B15*[32]Allocation!X15</f>
        <v>0</v>
      </c>
      <c r="L15" s="20">
        <f>+$B15*[32]Allocation!Y15</f>
        <v>0</v>
      </c>
      <c r="M15" s="21">
        <f t="shared" si="1"/>
        <v>3378.6541370289924</v>
      </c>
    </row>
    <row r="16" spans="1:13" x14ac:dyDescent="0.3">
      <c r="A16" s="18">
        <f>+[30]Summary!A19</f>
        <v>45200</v>
      </c>
      <c r="B16" s="19">
        <f>+[30]Summary!H19</f>
        <v>3908.2538641181018</v>
      </c>
      <c r="C16" s="20">
        <f>+$B16*[32]Allocation!P16</f>
        <v>0</v>
      </c>
      <c r="D16" s="20">
        <f>+$B16*[32]Allocation!Q16</f>
        <v>0</v>
      </c>
      <c r="E16" s="20">
        <f>+$B16*[32]Allocation!R16</f>
        <v>0</v>
      </c>
      <c r="F16" s="20">
        <f>+$B16*[32]Allocation!S16</f>
        <v>0</v>
      </c>
      <c r="G16" s="20">
        <f>+$B16*[32]Allocation!T16</f>
        <v>0</v>
      </c>
      <c r="H16" s="20">
        <f>+$B16*[32]Allocation!U16</f>
        <v>0</v>
      </c>
      <c r="I16" s="20">
        <f>+$B16*[32]Allocation!V16</f>
        <v>0</v>
      </c>
      <c r="J16" s="20">
        <f>+$B16*[32]Allocation!W16</f>
        <v>0</v>
      </c>
      <c r="K16" s="20">
        <f>+$B16*[32]Allocation!X16</f>
        <v>0</v>
      </c>
      <c r="L16" s="20">
        <f>+$B16*[32]Allocation!Y16</f>
        <v>0</v>
      </c>
      <c r="M16" s="21">
        <f t="shared" si="1"/>
        <v>3908.2538641181018</v>
      </c>
    </row>
    <row r="17" spans="1:13" x14ac:dyDescent="0.3">
      <c r="A17" s="18">
        <f>+[30]Summary!A20</f>
        <v>45231</v>
      </c>
      <c r="B17" s="19">
        <f>+[30]Summary!H20</f>
        <v>4764.6539675625972</v>
      </c>
      <c r="C17" s="20">
        <f>+$B17*[32]Allocation!P17</f>
        <v>0</v>
      </c>
      <c r="D17" s="20">
        <f>+$B17*[32]Allocation!Q17</f>
        <v>0</v>
      </c>
      <c r="E17" s="20">
        <f>+$B17*[32]Allocation!R17</f>
        <v>0</v>
      </c>
      <c r="F17" s="20">
        <f>+$B17*[32]Allocation!S17</f>
        <v>0</v>
      </c>
      <c r="G17" s="20">
        <f>+$B17*[32]Allocation!T17</f>
        <v>0</v>
      </c>
      <c r="H17" s="20">
        <f>+$B17*[32]Allocation!U17</f>
        <v>0</v>
      </c>
      <c r="I17" s="20">
        <f>+$B17*[32]Allocation!V17</f>
        <v>0</v>
      </c>
      <c r="J17" s="20">
        <f>+$B17*[32]Allocation!W17</f>
        <v>0</v>
      </c>
      <c r="K17" s="20">
        <f>+$B17*[32]Allocation!X17</f>
        <v>0</v>
      </c>
      <c r="L17" s="20">
        <f>+$B17*[32]Allocation!Y17</f>
        <v>0</v>
      </c>
      <c r="M17" s="21">
        <f t="shared" si="1"/>
        <v>4764.6539675625972</v>
      </c>
    </row>
    <row r="18" spans="1:13" x14ac:dyDescent="0.3">
      <c r="A18" s="18">
        <f>+[30]Summary!A21</f>
        <v>45261</v>
      </c>
      <c r="B18" s="19">
        <f>+[30]Summary!H21</f>
        <v>5866.5184562771465</v>
      </c>
      <c r="C18" s="20">
        <f>+$B18*[32]Allocation!P18</f>
        <v>0</v>
      </c>
      <c r="D18" s="20">
        <f>+$B18*[32]Allocation!Q18</f>
        <v>0</v>
      </c>
      <c r="E18" s="20">
        <f>+$B18*[32]Allocation!R18</f>
        <v>0</v>
      </c>
      <c r="F18" s="20">
        <f>+$B18*[32]Allocation!S18</f>
        <v>0</v>
      </c>
      <c r="G18" s="20">
        <f>+$B18*[32]Allocation!T18</f>
        <v>0</v>
      </c>
      <c r="H18" s="20">
        <f>+$B18*[32]Allocation!U18</f>
        <v>0</v>
      </c>
      <c r="I18" s="20">
        <f>+$B18*[32]Allocation!V18</f>
        <v>0</v>
      </c>
      <c r="J18" s="20">
        <f>+$B18*[32]Allocation!W18</f>
        <v>0</v>
      </c>
      <c r="K18" s="20">
        <f>+$B18*[32]Allocation!X18</f>
        <v>0</v>
      </c>
      <c r="L18" s="20">
        <f>+$B18*[32]Allocation!Y18</f>
        <v>0</v>
      </c>
      <c r="M18" s="21">
        <f t="shared" si="1"/>
        <v>5866.5184562771465</v>
      </c>
    </row>
    <row r="19" spans="1:13" x14ac:dyDescent="0.3">
      <c r="A19" s="18">
        <f>+[30]Summary!A22</f>
        <v>45292</v>
      </c>
      <c r="B19" s="19">
        <f>+[30]Summary!H22</f>
        <v>8504.1298973782978</v>
      </c>
      <c r="C19" s="20">
        <f>+$B19*[32]Allocation!P19</f>
        <v>0</v>
      </c>
      <c r="D19" s="20">
        <f>+$B19*[32]Allocation!Q19</f>
        <v>0</v>
      </c>
      <c r="E19" s="20">
        <f>+$B19*[32]Allocation!R19</f>
        <v>0</v>
      </c>
      <c r="F19" s="20">
        <f>+$B19*[32]Allocation!S19</f>
        <v>0</v>
      </c>
      <c r="G19" s="20">
        <f>+$B19*[32]Allocation!T19</f>
        <v>0</v>
      </c>
      <c r="H19" s="20">
        <f>+$B19*[32]Allocation!U19</f>
        <v>0</v>
      </c>
      <c r="I19" s="20">
        <f>+$B19*[32]Allocation!V19</f>
        <v>0</v>
      </c>
      <c r="J19" s="20">
        <f>+$B19*[32]Allocation!W19</f>
        <v>0</v>
      </c>
      <c r="K19" s="20">
        <f>+$B19*[32]Allocation!X19</f>
        <v>0</v>
      </c>
      <c r="L19" s="20">
        <f>+$B19*[32]Allocation!Y19</f>
        <v>0</v>
      </c>
      <c r="M19" s="21">
        <f t="shared" si="1"/>
        <v>8504.1298973782978</v>
      </c>
    </row>
    <row r="20" spans="1:13" x14ac:dyDescent="0.3">
      <c r="A20" s="18">
        <f>+[30]Summary!A23</f>
        <v>45323</v>
      </c>
      <c r="B20" s="19">
        <f>+[30]Summary!H23</f>
        <v>10139.984953803418</v>
      </c>
      <c r="C20" s="20">
        <f>+$B20*[32]Allocation!P20</f>
        <v>0</v>
      </c>
      <c r="D20" s="20">
        <f>+$B20*[32]Allocation!Q20</f>
        <v>0</v>
      </c>
      <c r="E20" s="20">
        <f>+$B20*[32]Allocation!R20</f>
        <v>0</v>
      </c>
      <c r="F20" s="20">
        <f>+$B20*[32]Allocation!S20</f>
        <v>0</v>
      </c>
      <c r="G20" s="20">
        <f>+$B20*[32]Allocation!T20</f>
        <v>0</v>
      </c>
      <c r="H20" s="20">
        <f>+$B20*[32]Allocation!U20</f>
        <v>0</v>
      </c>
      <c r="I20" s="20">
        <f>+$B20*[32]Allocation!V20</f>
        <v>0</v>
      </c>
      <c r="J20" s="20">
        <f>+$B20*[32]Allocation!W20</f>
        <v>0</v>
      </c>
      <c r="K20" s="20">
        <f>+$B20*[32]Allocation!X20</f>
        <v>0</v>
      </c>
      <c r="L20" s="20">
        <f>+$B20*[32]Allocation!Y20</f>
        <v>0</v>
      </c>
      <c r="M20" s="21">
        <f t="shared" si="1"/>
        <v>10139.984953803418</v>
      </c>
    </row>
    <row r="21" spans="1:13" x14ac:dyDescent="0.3">
      <c r="A21" s="18">
        <f>+[30]Summary!A24</f>
        <v>45352</v>
      </c>
      <c r="B21" s="19">
        <f>+[30]Summary!H24</f>
        <v>18717.543854239106</v>
      </c>
      <c r="C21" s="20">
        <f>+$B21*[32]Allocation!P21</f>
        <v>0</v>
      </c>
      <c r="D21" s="20">
        <f>+$B21*[32]Allocation!Q21</f>
        <v>0</v>
      </c>
      <c r="E21" s="20">
        <f>+$B21*[32]Allocation!R21</f>
        <v>0</v>
      </c>
      <c r="F21" s="20">
        <f>+$B21*[32]Allocation!S21</f>
        <v>0</v>
      </c>
      <c r="G21" s="20">
        <f>+$B21*[32]Allocation!T21</f>
        <v>0</v>
      </c>
      <c r="H21" s="20">
        <f>+$B21*[32]Allocation!U21</f>
        <v>0</v>
      </c>
      <c r="I21" s="20">
        <f>+$B21*[32]Allocation!V21</f>
        <v>0</v>
      </c>
      <c r="J21" s="20">
        <f>+$B21*[32]Allocation!W21</f>
        <v>0</v>
      </c>
      <c r="K21" s="20">
        <f>+$B21*[32]Allocation!X21</f>
        <v>0</v>
      </c>
      <c r="L21" s="20">
        <f>+$B21*[32]Allocation!Y21</f>
        <v>0</v>
      </c>
      <c r="M21" s="21">
        <f t="shared" si="1"/>
        <v>18717.543854239106</v>
      </c>
    </row>
    <row r="22" spans="1:13" x14ac:dyDescent="0.3">
      <c r="A22" s="18">
        <f>+[30]Summary!A25</f>
        <v>45383</v>
      </c>
      <c r="B22" s="19">
        <f>+[30]Summary!H25</f>
        <v>22563.874633750645</v>
      </c>
      <c r="C22" s="20">
        <f>+$B22*[32]Allocation!P22</f>
        <v>0</v>
      </c>
      <c r="D22" s="20">
        <f>+$B22*[32]Allocation!Q22</f>
        <v>0</v>
      </c>
      <c r="E22" s="20">
        <f>+$B22*[32]Allocation!R22</f>
        <v>0</v>
      </c>
      <c r="F22" s="20">
        <f>+$B22*[32]Allocation!S22</f>
        <v>0</v>
      </c>
      <c r="G22" s="20">
        <f>+$B22*[32]Allocation!T22</f>
        <v>0</v>
      </c>
      <c r="H22" s="20">
        <f>+$B22*[32]Allocation!U22</f>
        <v>0</v>
      </c>
      <c r="I22" s="20">
        <f>+$B22*[32]Allocation!V22</f>
        <v>0</v>
      </c>
      <c r="J22" s="20">
        <f>+$B22*[32]Allocation!W22</f>
        <v>0</v>
      </c>
      <c r="K22" s="20">
        <f>+$B22*[32]Allocation!X22</f>
        <v>0</v>
      </c>
      <c r="L22" s="20">
        <f>+$B22*[32]Allocation!Y22</f>
        <v>0</v>
      </c>
      <c r="M22" s="21">
        <f t="shared" si="1"/>
        <v>22563.874633750645</v>
      </c>
    </row>
    <row r="23" spans="1:13" x14ac:dyDescent="0.3">
      <c r="A23" s="18">
        <f>+[30]Summary!A26</f>
        <v>45413</v>
      </c>
      <c r="B23" s="19">
        <f>+[30]Summary!H26</f>
        <v>34788.403968964936</v>
      </c>
      <c r="C23" s="20">
        <f>+$B23*[32]Allocation!P23</f>
        <v>0</v>
      </c>
      <c r="D23" s="20">
        <f>+$B23*[32]Allocation!Q23</f>
        <v>0</v>
      </c>
      <c r="E23" s="20">
        <f>+$B23*[32]Allocation!R23</f>
        <v>0</v>
      </c>
      <c r="F23" s="20">
        <f>+$B23*[32]Allocation!S23</f>
        <v>0</v>
      </c>
      <c r="G23" s="20">
        <f>+$B23*[32]Allocation!T23</f>
        <v>0</v>
      </c>
      <c r="H23" s="20">
        <f>+$B23*[32]Allocation!U23</f>
        <v>0</v>
      </c>
      <c r="I23" s="20">
        <f>+$B23*[32]Allocation!V23</f>
        <v>0</v>
      </c>
      <c r="J23" s="20">
        <f>+$B23*[32]Allocation!W23</f>
        <v>0</v>
      </c>
      <c r="K23" s="20">
        <f>+$B23*[32]Allocation!X23</f>
        <v>0</v>
      </c>
      <c r="L23" s="20">
        <f>+$B23*[32]Allocation!Y23</f>
        <v>0</v>
      </c>
      <c r="M23" s="21">
        <f t="shared" si="1"/>
        <v>34788.403968964936</v>
      </c>
    </row>
    <row r="24" spans="1:13" x14ac:dyDescent="0.3">
      <c r="A24" s="18">
        <f>+[30]Summary!A27</f>
        <v>45444</v>
      </c>
      <c r="B24" s="19">
        <f>+[30]Summary!H27</f>
        <v>33874.113464477152</v>
      </c>
      <c r="C24" s="20">
        <f>+$B24*[32]Allocation!P24</f>
        <v>0</v>
      </c>
      <c r="D24" s="20">
        <f>+$B24*[32]Allocation!Q24</f>
        <v>0</v>
      </c>
      <c r="E24" s="20">
        <f>+$B24*[32]Allocation!R24</f>
        <v>0</v>
      </c>
      <c r="F24" s="20">
        <f>+$B24*[32]Allocation!S24</f>
        <v>0</v>
      </c>
      <c r="G24" s="20">
        <f>+$B24*[32]Allocation!T24</f>
        <v>0</v>
      </c>
      <c r="H24" s="20">
        <f>+$B24*[32]Allocation!U24</f>
        <v>0</v>
      </c>
      <c r="I24" s="20">
        <f>+$B24*[32]Allocation!V24</f>
        <v>0</v>
      </c>
      <c r="J24" s="20">
        <f>+$B24*[32]Allocation!W24</f>
        <v>0</v>
      </c>
      <c r="K24" s="20">
        <f>+$B24*[32]Allocation!X24</f>
        <v>0</v>
      </c>
      <c r="L24" s="20">
        <f>+$B24*[32]Allocation!Y24</f>
        <v>0</v>
      </c>
      <c r="M24" s="21">
        <f t="shared" si="1"/>
        <v>33874.113464477152</v>
      </c>
    </row>
    <row r="25" spans="1:13" x14ac:dyDescent="0.3">
      <c r="A25" s="18">
        <f>+[30]Summary!A28</f>
        <v>45474</v>
      </c>
      <c r="B25" s="19">
        <f>+[30]Summary!H28</f>
        <v>49242.275538440095</v>
      </c>
      <c r="C25" s="20">
        <f>+$B25*[32]Allocation!P25</f>
        <v>0</v>
      </c>
      <c r="D25" s="20">
        <f>+$B25*[32]Allocation!Q25</f>
        <v>0</v>
      </c>
      <c r="E25" s="20">
        <f>+$B25*[32]Allocation!R25</f>
        <v>0</v>
      </c>
      <c r="F25" s="20">
        <f>+$B25*[32]Allocation!S25</f>
        <v>0</v>
      </c>
      <c r="G25" s="20">
        <f>+$B25*[32]Allocation!T25</f>
        <v>0</v>
      </c>
      <c r="H25" s="20">
        <f>+$B25*[32]Allocation!U25</f>
        <v>0</v>
      </c>
      <c r="I25" s="20">
        <f>+$B25*[32]Allocation!V25</f>
        <v>0</v>
      </c>
      <c r="J25" s="20">
        <f>+$B25*[32]Allocation!W25</f>
        <v>0</v>
      </c>
      <c r="K25" s="20">
        <f>+$B25*[32]Allocation!X25</f>
        <v>0</v>
      </c>
      <c r="L25" s="20">
        <f>+$B25*[32]Allocation!Y25</f>
        <v>0</v>
      </c>
      <c r="M25" s="21">
        <f t="shared" si="1"/>
        <v>49242.275538440095</v>
      </c>
    </row>
    <row r="26" spans="1:13" x14ac:dyDescent="0.3">
      <c r="A26" s="18">
        <f>+[30]Summary!A29</f>
        <v>45505</v>
      </c>
      <c r="B26" s="19">
        <f>+[30]Summary!H29</f>
        <v>92146.35</v>
      </c>
      <c r="C26" s="20">
        <f>+$B26*[32]Allocation!P26</f>
        <v>0</v>
      </c>
      <c r="D26" s="20">
        <f>+$B26*[32]Allocation!Q26</f>
        <v>0</v>
      </c>
      <c r="E26" s="20">
        <f>+$B26*[32]Allocation!R26</f>
        <v>0</v>
      </c>
      <c r="F26" s="20">
        <f>+$B26*[32]Allocation!S26</f>
        <v>0</v>
      </c>
      <c r="G26" s="20">
        <f>+$B26*[32]Allocation!T26</f>
        <v>0</v>
      </c>
      <c r="H26" s="20">
        <f>+$B26*[32]Allocation!U26</f>
        <v>0</v>
      </c>
      <c r="I26" s="20">
        <f>+$B26*[32]Allocation!V26</f>
        <v>0</v>
      </c>
      <c r="J26" s="20">
        <f>+$B26*[32]Allocation!W26</f>
        <v>0</v>
      </c>
      <c r="K26" s="20">
        <f>+$B26*[32]Allocation!X26</f>
        <v>0</v>
      </c>
      <c r="L26" s="20">
        <f>+$B26*[32]Allocation!Y26</f>
        <v>0</v>
      </c>
      <c r="M26" s="21">
        <f t="shared" si="1"/>
        <v>92146.35</v>
      </c>
    </row>
    <row r="27" spans="1:13" x14ac:dyDescent="0.3">
      <c r="A27" s="18">
        <f>+[30]Summary!A30</f>
        <v>45536</v>
      </c>
      <c r="B27" s="19">
        <f>+[30]Summary!H30</f>
        <v>113751.93</v>
      </c>
      <c r="C27" s="20">
        <f>+$B27*[32]Allocation!P27</f>
        <v>0</v>
      </c>
      <c r="D27" s="20">
        <f>+$B27*[32]Allocation!Q27</f>
        <v>0</v>
      </c>
      <c r="E27" s="20">
        <f>+$B27*[32]Allocation!R27</f>
        <v>0</v>
      </c>
      <c r="F27" s="20">
        <f>+$B27*[32]Allocation!S27</f>
        <v>0</v>
      </c>
      <c r="G27" s="20">
        <f>+$B27*[32]Allocation!T27</f>
        <v>0</v>
      </c>
      <c r="H27" s="20">
        <f>+$B27*[32]Allocation!U27</f>
        <v>0</v>
      </c>
      <c r="I27" s="20">
        <f>+$B27*[32]Allocation!V27</f>
        <v>0</v>
      </c>
      <c r="J27" s="20">
        <f>+$B27*[32]Allocation!W27</f>
        <v>0</v>
      </c>
      <c r="K27" s="20">
        <f>+$B27*[32]Allocation!X27</f>
        <v>0</v>
      </c>
      <c r="L27" s="20">
        <f>+$B27*[32]Allocation!Y27</f>
        <v>0</v>
      </c>
      <c r="M27" s="21">
        <f t="shared" si="1"/>
        <v>113751.93</v>
      </c>
    </row>
    <row r="28" spans="1:13" x14ac:dyDescent="0.3">
      <c r="A28" s="18">
        <f>+[30]Summary!A31</f>
        <v>45566</v>
      </c>
      <c r="B28" s="19">
        <f>+[30]Summary!H31</f>
        <v>-13850</v>
      </c>
      <c r="C28" s="20">
        <f>+$B28*[32]Allocation!P28</f>
        <v>0</v>
      </c>
      <c r="D28" s="20">
        <f>+$B28*[32]Allocation!Q28</f>
        <v>0</v>
      </c>
      <c r="E28" s="20">
        <f>+$B28*[32]Allocation!R28</f>
        <v>0</v>
      </c>
      <c r="F28" s="20">
        <f>+$B28*[32]Allocation!S28</f>
        <v>0</v>
      </c>
      <c r="G28" s="20">
        <f>+$B28*[32]Allocation!T28</f>
        <v>0</v>
      </c>
      <c r="H28" s="20">
        <f>+$B28*[32]Allocation!U28</f>
        <v>0</v>
      </c>
      <c r="I28" s="20">
        <f>+$B28*[32]Allocation!V28</f>
        <v>0</v>
      </c>
      <c r="J28" s="20">
        <f>+$B28*[32]Allocation!W28</f>
        <v>0</v>
      </c>
      <c r="K28" s="20">
        <f>+$B28*[32]Allocation!X28</f>
        <v>0</v>
      </c>
      <c r="L28" s="20">
        <f>+$B28*[32]Allocation!Y28</f>
        <v>0</v>
      </c>
      <c r="M28" s="21">
        <f t="shared" si="1"/>
        <v>-13850</v>
      </c>
    </row>
    <row r="29" spans="1:13" x14ac:dyDescent="0.3">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2025-01-23T12:03:50Z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