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actrisk-my.sharepoint.com/personal/sofia_moretti_actrisk_com/Documents/Documents/GitHub/DMI_IBNP_v2/Process Results/"/>
    </mc:Choice>
  </mc:AlternateContent>
  <xr:revisionPtr revIDLastSave="53" documentId="13_ncr:1_{E09F6006-63E3-45A1-9C91-60264E8E535D}" xr6:coauthVersionLast="47" xr6:coauthVersionMax="47" xr10:uidLastSave="{EF78E344-8B17-4EF3-8766-31B821F921BC}"/>
  <bookViews>
    <workbookView xWindow="-120" yWindow="-120" windowWidth="29040" windowHeight="15840" xr2:uid="{9B94C235-4B85-4887-832D-FBC296CFB081}"/>
  </bookViews>
  <sheets>
    <sheet name="Summary" sheetId="1" r:id="rId1"/>
    <sheet name="XCH Allocation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16" i="1"/>
  <c r="B14" i="1"/>
  <c r="B12" i="1"/>
  <c r="B11" i="1"/>
  <c r="B9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8" i="1" l="1"/>
  <c r="B28" i="2" l="1"/>
  <c r="B27" i="2"/>
  <c r="B26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M26" i="2" l="1"/>
  <c r="L26" i="2"/>
  <c r="K26" i="2"/>
  <c r="J26" i="2"/>
  <c r="I26" i="2"/>
  <c r="H26" i="2"/>
  <c r="G26" i="2"/>
  <c r="F26" i="2"/>
  <c r="E26" i="2"/>
  <c r="D26" i="2"/>
  <c r="C26" i="2"/>
  <c r="N26" i="2" s="1"/>
  <c r="M27" i="2"/>
  <c r="L27" i="2"/>
  <c r="K27" i="2"/>
  <c r="J27" i="2"/>
  <c r="I27" i="2"/>
  <c r="H27" i="2"/>
  <c r="G27" i="2"/>
  <c r="F27" i="2"/>
  <c r="E27" i="2"/>
  <c r="D27" i="2"/>
  <c r="C27" i="2"/>
  <c r="N27" i="2" s="1"/>
  <c r="M28" i="2"/>
  <c r="L28" i="2"/>
  <c r="K28" i="2"/>
  <c r="J28" i="2"/>
  <c r="I28" i="2"/>
  <c r="H28" i="2"/>
  <c r="G28" i="2"/>
  <c r="F28" i="2"/>
  <c r="E28" i="2"/>
  <c r="D28" i="2"/>
  <c r="C28" i="2"/>
  <c r="N28" i="2" s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3" i="1" l="1"/>
  <c r="M25" i="2"/>
  <c r="L25" i="2"/>
  <c r="K25" i="2"/>
  <c r="J25" i="2"/>
  <c r="I25" i="2"/>
  <c r="H25" i="2"/>
  <c r="G25" i="2"/>
  <c r="F25" i="2"/>
  <c r="E25" i="2"/>
  <c r="D25" i="2"/>
  <c r="C25" i="2"/>
  <c r="N25" i="2" s="1"/>
  <c r="M24" i="2"/>
  <c r="L24" i="2"/>
  <c r="K24" i="2"/>
  <c r="J24" i="2"/>
  <c r="I24" i="2"/>
  <c r="H24" i="2"/>
  <c r="G24" i="2"/>
  <c r="F24" i="2"/>
  <c r="E24" i="2"/>
  <c r="D24" i="2"/>
  <c r="C24" i="2"/>
  <c r="N24" i="2" s="1"/>
  <c r="M23" i="2"/>
  <c r="L23" i="2"/>
  <c r="K23" i="2"/>
  <c r="J23" i="2"/>
  <c r="I23" i="2"/>
  <c r="H23" i="2"/>
  <c r="G23" i="2"/>
  <c r="F23" i="2"/>
  <c r="E23" i="2"/>
  <c r="D23" i="2"/>
  <c r="C23" i="2"/>
  <c r="N23" i="2" s="1"/>
  <c r="M22" i="2"/>
  <c r="L22" i="2"/>
  <c r="K22" i="2"/>
  <c r="J22" i="2"/>
  <c r="I22" i="2"/>
  <c r="H22" i="2"/>
  <c r="G22" i="2"/>
  <c r="F22" i="2"/>
  <c r="E22" i="2"/>
  <c r="D22" i="2"/>
  <c r="C22" i="2"/>
  <c r="N22" i="2" s="1"/>
  <c r="M21" i="2"/>
  <c r="L21" i="2"/>
  <c r="K21" i="2"/>
  <c r="J21" i="2"/>
  <c r="I21" i="2"/>
  <c r="H21" i="2"/>
  <c r="G21" i="2"/>
  <c r="F21" i="2"/>
  <c r="E21" i="2"/>
  <c r="D21" i="2"/>
  <c r="C21" i="2"/>
  <c r="N21" i="2" s="1"/>
  <c r="M20" i="2"/>
  <c r="L20" i="2"/>
  <c r="K20" i="2"/>
  <c r="J20" i="2"/>
  <c r="I20" i="2"/>
  <c r="H20" i="2"/>
  <c r="G20" i="2"/>
  <c r="F20" i="2"/>
  <c r="E20" i="2"/>
  <c r="D20" i="2"/>
  <c r="C20" i="2"/>
  <c r="N20" i="2" s="1"/>
  <c r="M19" i="2"/>
  <c r="L19" i="2"/>
  <c r="K19" i="2"/>
  <c r="J19" i="2"/>
  <c r="I19" i="2"/>
  <c r="H19" i="2"/>
  <c r="G19" i="2"/>
  <c r="F19" i="2"/>
  <c r="E19" i="2"/>
  <c r="D19" i="2"/>
  <c r="C19" i="2"/>
  <c r="N19" i="2" s="1"/>
  <c r="M18" i="2"/>
  <c r="L18" i="2"/>
  <c r="K18" i="2"/>
  <c r="J18" i="2"/>
  <c r="I18" i="2"/>
  <c r="H18" i="2"/>
  <c r="G18" i="2"/>
  <c r="F18" i="2"/>
  <c r="E18" i="2"/>
  <c r="D18" i="2"/>
  <c r="C18" i="2"/>
  <c r="N18" i="2" s="1"/>
  <c r="M17" i="2"/>
  <c r="L17" i="2"/>
  <c r="K17" i="2"/>
  <c r="J17" i="2"/>
  <c r="I17" i="2"/>
  <c r="H17" i="2"/>
  <c r="G17" i="2"/>
  <c r="F17" i="2"/>
  <c r="E17" i="2"/>
  <c r="D17" i="2"/>
  <c r="C17" i="2"/>
  <c r="N17" i="2" s="1"/>
  <c r="M16" i="2"/>
  <c r="L16" i="2"/>
  <c r="K16" i="2"/>
  <c r="J16" i="2"/>
  <c r="I16" i="2"/>
  <c r="H16" i="2"/>
  <c r="G16" i="2"/>
  <c r="F16" i="2"/>
  <c r="E16" i="2"/>
  <c r="D16" i="2"/>
  <c r="C16" i="2"/>
  <c r="N16" i="2" s="1"/>
  <c r="M15" i="2"/>
  <c r="L15" i="2"/>
  <c r="K15" i="2"/>
  <c r="J15" i="2"/>
  <c r="I15" i="2"/>
  <c r="H15" i="2"/>
  <c r="G15" i="2"/>
  <c r="F15" i="2"/>
  <c r="E15" i="2"/>
  <c r="D15" i="2"/>
  <c r="C15" i="2"/>
  <c r="N15" i="2" s="1"/>
  <c r="M14" i="2"/>
  <c r="L14" i="2"/>
  <c r="K14" i="2"/>
  <c r="J14" i="2"/>
  <c r="I14" i="2"/>
  <c r="H14" i="2"/>
  <c r="G14" i="2"/>
  <c r="F14" i="2"/>
  <c r="E14" i="2"/>
  <c r="D14" i="2"/>
  <c r="C14" i="2"/>
  <c r="N14" i="2" s="1"/>
  <c r="M13" i="2"/>
  <c r="L13" i="2"/>
  <c r="K13" i="2"/>
  <c r="J13" i="2"/>
  <c r="I13" i="2"/>
  <c r="H13" i="2"/>
  <c r="G13" i="2"/>
  <c r="F13" i="2"/>
  <c r="E13" i="2"/>
  <c r="D13" i="2"/>
  <c r="C13" i="2"/>
  <c r="N13" i="2" s="1"/>
  <c r="M12" i="2"/>
  <c r="L12" i="2"/>
  <c r="K12" i="2"/>
  <c r="J12" i="2"/>
  <c r="I12" i="2"/>
  <c r="H12" i="2"/>
  <c r="G12" i="2"/>
  <c r="F12" i="2"/>
  <c r="E12" i="2"/>
  <c r="D12" i="2"/>
  <c r="C12" i="2"/>
  <c r="N12" i="2" s="1"/>
  <c r="M11" i="2"/>
  <c r="L11" i="2"/>
  <c r="K11" i="2"/>
  <c r="J11" i="2"/>
  <c r="I11" i="2"/>
  <c r="H11" i="2"/>
  <c r="G11" i="2"/>
  <c r="F11" i="2"/>
  <c r="E11" i="2"/>
  <c r="D11" i="2"/>
  <c r="C11" i="2"/>
  <c r="N11" i="2" s="1"/>
  <c r="M10" i="2"/>
  <c r="L10" i="2"/>
  <c r="K10" i="2"/>
  <c r="J10" i="2"/>
  <c r="I10" i="2"/>
  <c r="H10" i="2"/>
  <c r="G10" i="2"/>
  <c r="F10" i="2"/>
  <c r="E10" i="2"/>
  <c r="D10" i="2"/>
  <c r="C10" i="2"/>
  <c r="N10" i="2" s="1"/>
  <c r="M9" i="2"/>
  <c r="L9" i="2"/>
  <c r="K9" i="2"/>
  <c r="J9" i="2"/>
  <c r="I9" i="2"/>
  <c r="H9" i="2"/>
  <c r="G9" i="2"/>
  <c r="F9" i="2"/>
  <c r="E9" i="2"/>
  <c r="D9" i="2"/>
  <c r="C9" i="2"/>
  <c r="N9" i="2" s="1"/>
  <c r="M8" i="2"/>
  <c r="L8" i="2"/>
  <c r="K8" i="2"/>
  <c r="J8" i="2"/>
  <c r="I8" i="2"/>
  <c r="H8" i="2"/>
  <c r="G8" i="2"/>
  <c r="F8" i="2"/>
  <c r="E8" i="2"/>
  <c r="D8" i="2"/>
  <c r="C8" i="2"/>
  <c r="N8" i="2" s="1"/>
  <c r="M7" i="2"/>
  <c r="L7" i="2"/>
  <c r="K7" i="2"/>
  <c r="J7" i="2"/>
  <c r="I7" i="2"/>
  <c r="H7" i="2"/>
  <c r="G7" i="2"/>
  <c r="F7" i="2"/>
  <c r="E7" i="2"/>
  <c r="D7" i="2"/>
  <c r="C7" i="2"/>
  <c r="N7" i="2" s="1"/>
  <c r="M6" i="2"/>
  <c r="L6" i="2"/>
  <c r="K6" i="2"/>
  <c r="J6" i="2"/>
  <c r="I6" i="2"/>
  <c r="H6" i="2"/>
  <c r="G6" i="2"/>
  <c r="F6" i="2"/>
  <c r="E6" i="2"/>
  <c r="D6" i="2"/>
  <c r="C6" i="2"/>
  <c r="B5" i="2"/>
  <c r="B4" i="2" s="1"/>
  <c r="B15" i="1" l="1"/>
  <c r="H4" i="2"/>
  <c r="J11" i="1"/>
  <c r="J14" i="1"/>
  <c r="J12" i="1" l="1"/>
  <c r="J16" i="1" l="1"/>
  <c r="C16" i="1"/>
  <c r="J15" i="1"/>
  <c r="C15" i="1"/>
  <c r="C14" i="1"/>
  <c r="D14" i="1" s="1"/>
  <c r="E14" i="1" s="1"/>
  <c r="J13" i="1"/>
  <c r="C13" i="1"/>
  <c r="D11" i="1"/>
  <c r="E11" i="1" s="1"/>
  <c r="J10" i="1"/>
  <c r="C10" i="1"/>
  <c r="J9" i="1"/>
  <c r="C9" i="1"/>
  <c r="J8" i="1"/>
  <c r="C8" i="1"/>
  <c r="J7" i="1"/>
  <c r="C7" i="1"/>
  <c r="J6" i="1"/>
  <c r="C6" i="1"/>
  <c r="J5" i="1"/>
  <c r="C5" i="1"/>
  <c r="J4" i="1"/>
  <c r="C4" i="1"/>
  <c r="J3" i="1"/>
  <c r="C3" i="1"/>
  <c r="J2" i="1"/>
  <c r="C2" i="1"/>
  <c r="K14" i="1" l="1"/>
  <c r="L14" i="1" s="1"/>
  <c r="H14" i="1"/>
  <c r="I14" i="1" s="1"/>
  <c r="K11" i="1"/>
  <c r="L11" i="1" s="1"/>
  <c r="H11" i="1"/>
  <c r="I11" i="1" s="1"/>
  <c r="J18" i="1"/>
  <c r="D15" i="1" l="1"/>
  <c r="E15" i="1" s="1"/>
  <c r="K15" i="1" l="1"/>
  <c r="L15" i="1" s="1"/>
  <c r="H15" i="1"/>
  <c r="I15" i="1" s="1"/>
  <c r="B7" i="1"/>
  <c r="B2" i="1"/>
  <c r="B10" i="1" l="1"/>
  <c r="B13" i="1"/>
  <c r="B8" i="1"/>
  <c r="D7" i="1"/>
  <c r="E7" i="1" s="1"/>
  <c r="D6" i="1"/>
  <c r="E6" i="1" s="1"/>
  <c r="D2" i="1"/>
  <c r="K7" i="1" l="1"/>
  <c r="L7" i="1" s="1"/>
  <c r="H7" i="1"/>
  <c r="I7" i="1" s="1"/>
  <c r="K6" i="1"/>
  <c r="L6" i="1" s="1"/>
  <c r="H6" i="1"/>
  <c r="I6" i="1" s="1"/>
  <c r="D16" i="1"/>
  <c r="E16" i="1" s="1"/>
  <c r="D3" i="1"/>
  <c r="E3" i="1" s="1"/>
  <c r="D5" i="1"/>
  <c r="E5" i="1" s="1"/>
  <c r="H5" i="1" s="1"/>
  <c r="D8" i="1"/>
  <c r="E8" i="1" s="1"/>
  <c r="D9" i="1"/>
  <c r="E9" i="1" s="1"/>
  <c r="D13" i="1"/>
  <c r="E13" i="1" s="1"/>
  <c r="D10" i="1"/>
  <c r="E10" i="1" s="1"/>
  <c r="E2" i="1"/>
  <c r="H2" i="1" s="1"/>
  <c r="I2" i="1" s="1"/>
  <c r="K13" i="1" l="1"/>
  <c r="L13" i="1" s="1"/>
  <c r="H13" i="1"/>
  <c r="I13" i="1" s="1"/>
  <c r="K10" i="1"/>
  <c r="L10" i="1" s="1"/>
  <c r="H10" i="1"/>
  <c r="I10" i="1" s="1"/>
  <c r="K9" i="1"/>
  <c r="L9" i="1" s="1"/>
  <c r="H9" i="1"/>
  <c r="I9" i="1" s="1"/>
  <c r="K8" i="1"/>
  <c r="L8" i="1" s="1"/>
  <c r="H8" i="1"/>
  <c r="I8" i="1" s="1"/>
  <c r="K5" i="1"/>
  <c r="L5" i="1" s="1"/>
  <c r="I5" i="1"/>
  <c r="K16" i="1"/>
  <c r="L16" i="1" s="1"/>
  <c r="H16" i="1"/>
  <c r="I16" i="1" s="1"/>
  <c r="K3" i="1"/>
  <c r="L3" i="1" s="1"/>
  <c r="H3" i="1"/>
  <c r="I3" i="1"/>
  <c r="K2" i="1"/>
  <c r="L2" i="1" l="1"/>
  <c r="D12" i="1" l="1"/>
  <c r="E12" i="1"/>
  <c r="K12" i="1" l="1"/>
  <c r="H12" i="1"/>
  <c r="I12" i="1" l="1"/>
  <c r="L12" i="1"/>
  <c r="D4" i="1" l="1"/>
  <c r="D18" i="1" s="1"/>
  <c r="E4" i="1"/>
  <c r="B18" i="1"/>
  <c r="K4" i="1" l="1"/>
  <c r="H4" i="1"/>
  <c r="E18" i="1"/>
  <c r="H18" i="1" l="1"/>
  <c r="I18" i="1" s="1"/>
  <c r="I4" i="1"/>
  <c r="K18" i="1"/>
  <c r="L18" i="1" s="1"/>
  <c r="L4" i="1"/>
  <c r="N6" i="2" l="1"/>
  <c r="M4" i="2" l="1"/>
  <c r="L4" i="2"/>
  <c r="K4" i="2"/>
  <c r="J4" i="2"/>
  <c r="I4" i="2"/>
  <c r="G4" i="2"/>
  <c r="F4" i="2"/>
  <c r="E4" i="2"/>
  <c r="D4" i="2"/>
  <c r="C4" i="2"/>
  <c r="N5" i="2"/>
  <c r="N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tc={4EA062A0-BE3E-4ACB-98F3-2F60190870C5}</author>
  </authors>
  <commentList>
    <comment ref="J11" authorId="0" shapeId="0" xr:uid="{4EA062A0-BE3E-4ACB-98F3-2F6019087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Unified has not booked the 507k reserve for LL according to Kevin’s email</t>
      </text>
    </comment>
  </commentList>
</comments>
</file>

<file path=xl/sharedStrings.xml><?xml version="1.0" encoding="utf-8"?>
<sst xmlns="http://schemas.openxmlformats.org/spreadsheetml/2006/main" count="84" uniqueCount="56">
  <si>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</si>
  <si>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</si>
  <si>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</si>
  <si>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</si>
  <si>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</si>
  <si>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</si>
  <si>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</si>
  <si>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</si>
  <si>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</si>
  <si>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</si>
  <si>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</si>
  <si>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</si>
  <si>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</si>
  <si>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</si>
  <si>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</si>
  <si>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</si>
  <si>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</si>
  <si>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</si>
  <si>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</si>
  <si>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</si>
  <si>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</si>
  <si>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</si>
  <si>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</si>
  <si>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</si>
  <si>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</si>
  <si>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</si>
  <si>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</si>
  <si>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Prior From Unified Files</t>
  </si>
  <si>
    <t>Average Simple12 &amp; Simple6</t>
  </si>
  <si>
    <t>Average Simple3 &amp; Simple6</t>
  </si>
  <si>
    <t>Average Simple12</t>
  </si>
  <si>
    <t>Simple12MS and Avergae 3, 6 and 12 NMS</t>
  </si>
  <si>
    <t>Prior From ARM Scen 6</t>
  </si>
  <si>
    <t>Incurral</t>
  </si>
  <si>
    <t>Month</t>
  </si>
  <si>
    <t>Claim</t>
  </si>
  <si>
    <t>Liability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</si>
  <si>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</si>
  <si>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</si>
  <si>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</si>
  <si>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</si>
  <si>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</si>
  <si>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</si>
  <si>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</si>
  <si>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</si>
  <si>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</si>
  <si>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</si>
  <si>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</si>
  <si>
    <t>TOTAL</t>
  </si>
  <si>
    <t>TY 2024</t>
  </si>
  <si>
    <t>Changed to: Average Simple6 &amp; Simple12</t>
  </si>
  <si>
    <t>We continue using:  Volume All + Change in methodology for the last 3 months (form IELR to BF)</t>
  </si>
  <si>
    <t>We continue using: Change in methodology for the last 3 months (form IELR to BF)</t>
  </si>
  <si>
    <t>Higher IBNR due to big movements in incurral month: Mar 25</t>
  </si>
  <si>
    <t>Change in methodology for the last 3 months (form IELR to BF)</t>
  </si>
  <si>
    <t>We deleted some big movements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</si>
</sst>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7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  <font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5" fillId="0" borderId="0" xfId="0" applyNumberFormat="1" applyFont="1"/>
    <xf numFmtId="0" fontId="3" fillId="0" borderId="0" xfId="0" applyFont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165" fontId="0" fillId="0" borderId="0" xfId="0" applyNumberFormat="1"/>
    <xf numFmtId="43" fontId="0" fillId="0" borderId="0" xfId="0" applyNumberFormat="1"/>
    <xf numFmtId="43" fontId="0" fillId="0" borderId="0" xfId="2" applyFont="1"/>
    <xf numFmtId="43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2" xfId="0" applyFont="1" applyBorder="1"/>
    <xf numFmtId="0" fontId="3" fillId="0" borderId="7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Fill="1" applyAlignment="1">
      <alignment wrapText="1"/>
    </xf>
    <xf numFmtId="9" fontId="6" fillId="0" borderId="0" xfId="1" applyFont="1" applyFill="1" applyAlignment="1">
      <alignment wrapText="1"/>
    </xf>
    <xf numFmtId="164" fontId="0" fillId="3" borderId="0" xfId="0" applyNumberFormat="1" applyFill="1"/>
    <xf numFmtId="9" fontId="0" fillId="3" borderId="0" xfId="1" applyFont="1" applyFill="1"/>
    <xf numFmtId="164" fontId="0" fillId="0" borderId="0" xfId="2" applyNumberFormat="1" applyFont="1" applyFill="1"/>
    <xf numFmtId="9" fontId="0" fillId="0" borderId="0" xfId="1" applyFont="1" applyFill="1"/>
    <xf numFmtId="0" fontId="0" fillId="4" borderId="0" xfId="0" applyFill="1"/>
    <xf numFmtId="164" fontId="0" fillId="4" borderId="0" xfId="0" applyNumberFormat="1" applyFill="1"/>
    <xf numFmtId="10" fontId="0" fillId="4" borderId="0" xfId="0" applyNumberFormat="1" applyFill="1"/>
    <xf numFmtId="164" fontId="0" fillId="4" borderId="0" xfId="2" applyNumberFormat="1" applyFont="1" applyFill="1"/>
    <xf numFmtId="9" fontId="0" fillId="4" borderId="0" xfId="1" applyFont="1" applyFill="1"/>
    <xf numFmtId="9" fontId="0" fillId="4" borderId="0" xfId="1" applyFont="1" applyFill="1" applyAlignment="1">
      <alignment wrapText="1"/>
    </xf>
    <xf numFmtId="0" fontId="0" fillId="0" borderId="0" xfId="0" applyAlignment="1">
      <alignment wrapText="1"/>
    </xf>
    <xf numFmtId="164" fontId="3" fillId="0" borderId="0" xfId="0" applyNumberFormat="1" applyFont="1"/>
    <xf numFmtId="10" fontId="0" fillId="0" borderId="0" xfId="0" applyNumberFormat="1"/>
    <xf numFmtId="0" fontId="6" fillId="0" borderId="0" xfId="0" applyFont="1" applyAlignment="1">
      <alignment vertical="center" wrapText="1"/>
    </xf>
    <xf numFmtId="0" fontId="0" fillId="4" borderId="0" xfId="0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microsoft.com/office/2017/10/relationships/person" Target="persons/person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20</xdr:row>
      <xdr:rowOff>38100</xdr:rowOff>
    </xdr:from>
    <xdr:to>
      <xdr:col>12</xdr:col>
      <xdr:colOff>2510333</xdr:colOff>
      <xdr:row>27</xdr:row>
      <xdr:rowOff>112569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9A1CC2-8C4A-40DD-9B5E-709EEEB04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558540"/>
          <a:ext cx="10374173" cy="12479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OneDrive%20-%20ARM\Documents\GitHub\DMI_IBNP\Process%20Results\Allocation_XCH.xlsx" TargetMode="External"/><Relationship Id="rId1" Type="http://schemas.openxmlformats.org/officeDocument/2006/relationships/externalLinkPath" Target="Allocation_X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DS02\Unified$\01_Financial_Reporting\03_Stat\99_ARM_IBNP_Process\2025.05\Unified_Claims_Liability_Summary_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ctrisk-my.sharepoint.com/personal/sofia_moretti_actrisk_com/Documents/Documents/GitHub/DMI_IBNP_v2/Process%20Results/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23491.995563699245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Summary - BF"/>
    </sheetNames>
    <sheetDataSet>
      <sheetData sheetId="0" refreshError="1"/>
      <sheetData sheetId="1" refreshError="1"/>
      <sheetData sheetId="2" refreshError="1"/>
      <sheetData sheetId="3">
        <row r="33">
          <cell r="H33">
            <v>45647.363297129654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52737.937858006539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5">
          <cell r="H35">
            <v>7.4999999999999997E-2</v>
          </cell>
        </row>
        <row r="36">
          <cell r="H36">
            <v>43941.36</v>
          </cell>
        </row>
      </sheetData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77313.679947327677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/>
      <sheetData sheetId="1"/>
      <sheetData sheetId="2"/>
      <sheetData sheetId="3"/>
      <sheetData sheetId="4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/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/>
      <sheetData sheetId="1"/>
      <sheetData sheetId="2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66036.514801389232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/>
      <sheetData sheetId="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5">
          <cell r="E35">
            <v>507000</v>
          </cell>
        </row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21148.367656214825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/>
      <sheetData sheetId="7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/>
      <sheetData sheetId="1">
        <row r="35">
          <cell r="H35">
            <v>7.4999999999999997E-2</v>
          </cell>
        </row>
        <row r="36">
          <cell r="H36">
            <v>60621.568508703676</v>
          </cell>
        </row>
      </sheetData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L33">
            <v>37312.660864339989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/>
      <sheetData sheetId="1"/>
      <sheetData sheetId="2"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8">
          <cell r="A8">
            <v>45108</v>
          </cell>
          <cell r="H8">
            <v>0</v>
          </cell>
        </row>
        <row r="9">
          <cell r="A9">
            <v>45139</v>
          </cell>
          <cell r="H9">
            <v>0</v>
          </cell>
        </row>
        <row r="10">
          <cell r="A10">
            <v>45170</v>
          </cell>
          <cell r="H10">
            <v>0</v>
          </cell>
        </row>
        <row r="11">
          <cell r="A11">
            <v>45200</v>
          </cell>
          <cell r="H11">
            <v>0</v>
          </cell>
        </row>
        <row r="12">
          <cell r="A12">
            <v>45231</v>
          </cell>
          <cell r="H12">
            <v>0</v>
          </cell>
        </row>
        <row r="13">
          <cell r="A13">
            <v>45261</v>
          </cell>
          <cell r="H13">
            <v>1.7032735299435444</v>
          </cell>
        </row>
        <row r="14">
          <cell r="A14">
            <v>45292</v>
          </cell>
          <cell r="H14">
            <v>98.110090685077012</v>
          </cell>
        </row>
        <row r="15">
          <cell r="A15">
            <v>45323</v>
          </cell>
          <cell r="H15">
            <v>781.10676364769461</v>
          </cell>
        </row>
        <row r="16">
          <cell r="A16">
            <v>45352</v>
          </cell>
          <cell r="H16">
            <v>1010.3536612073076</v>
          </cell>
        </row>
        <row r="17">
          <cell r="A17">
            <v>45383</v>
          </cell>
          <cell r="H17">
            <v>1110.600079182419</v>
          </cell>
        </row>
        <row r="18">
          <cell r="A18">
            <v>45413</v>
          </cell>
          <cell r="H18">
            <v>1447.2988825003267</v>
          </cell>
        </row>
        <row r="19">
          <cell r="A19">
            <v>45444</v>
          </cell>
          <cell r="H19">
            <v>1289.919267286954</v>
          </cell>
        </row>
        <row r="20">
          <cell r="A20">
            <v>45474</v>
          </cell>
          <cell r="H20">
            <v>1694.9328809941944</v>
          </cell>
        </row>
        <row r="21">
          <cell r="A21">
            <v>45505</v>
          </cell>
          <cell r="H21">
            <v>2847.643824507948</v>
          </cell>
        </row>
        <row r="22">
          <cell r="A22">
            <v>45536</v>
          </cell>
          <cell r="H22">
            <v>2440.8600483703922</v>
          </cell>
        </row>
        <row r="23">
          <cell r="A23">
            <v>45566</v>
          </cell>
          <cell r="H23">
            <v>4107.8313481451769</v>
          </cell>
        </row>
        <row r="24">
          <cell r="A24">
            <v>45597</v>
          </cell>
          <cell r="H24">
            <v>3571.855623320429</v>
          </cell>
        </row>
        <row r="25">
          <cell r="A25">
            <v>45627</v>
          </cell>
          <cell r="H25">
            <v>4246.6725183626259</v>
          </cell>
        </row>
        <row r="26">
          <cell r="A26">
            <v>45658</v>
          </cell>
          <cell r="H26">
            <v>5097.2929434053076</v>
          </cell>
        </row>
        <row r="27">
          <cell r="A27">
            <v>45689</v>
          </cell>
          <cell r="H27">
            <v>9386.2545881313708</v>
          </cell>
        </row>
        <row r="28">
          <cell r="A28">
            <v>45717</v>
          </cell>
          <cell r="H28">
            <v>16167.193776677741</v>
          </cell>
        </row>
        <row r="29">
          <cell r="A29">
            <v>45748</v>
          </cell>
          <cell r="H29">
            <v>-20842.32</v>
          </cell>
        </row>
        <row r="30">
          <cell r="A30">
            <v>45778</v>
          </cell>
          <cell r="H30">
            <v>-1003.4200000000001</v>
          </cell>
        </row>
        <row r="31">
          <cell r="A31">
            <v>45809</v>
          </cell>
          <cell r="H31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ocation"/>
    </sheetNames>
    <sheetDataSet>
      <sheetData sheetId="0">
        <row r="5">
          <cell r="U5"/>
          <cell r="V5"/>
          <cell r="W5"/>
          <cell r="AB5"/>
          <cell r="AC5"/>
          <cell r="AD5"/>
          <cell r="AE5"/>
          <cell r="AF5"/>
          <cell r="AG5"/>
          <cell r="AH5"/>
          <cell r="AI5"/>
        </row>
        <row r="6">
          <cell r="U6"/>
          <cell r="V6"/>
          <cell r="W6"/>
          <cell r="AB6"/>
          <cell r="AC6"/>
          <cell r="AD6"/>
          <cell r="AE6"/>
          <cell r="AF6"/>
          <cell r="AG6"/>
          <cell r="AH6"/>
          <cell r="AI6"/>
        </row>
        <row r="7">
          <cell r="U7"/>
          <cell r="V7"/>
          <cell r="W7"/>
          <cell r="AB7"/>
          <cell r="AC7"/>
          <cell r="AD7"/>
          <cell r="AE7"/>
          <cell r="AF7"/>
          <cell r="AG7"/>
          <cell r="AH7"/>
          <cell r="AI7"/>
        </row>
        <row r="8">
          <cell r="U8"/>
          <cell r="V8"/>
          <cell r="W8"/>
          <cell r="AB8"/>
          <cell r="AC8"/>
          <cell r="AD8"/>
          <cell r="AE8"/>
          <cell r="AF8"/>
          <cell r="AG8"/>
          <cell r="AH8"/>
          <cell r="AI8"/>
        </row>
        <row r="9">
          <cell r="U9"/>
          <cell r="V9"/>
          <cell r="W9"/>
          <cell r="AB9"/>
          <cell r="AC9"/>
          <cell r="AD9"/>
          <cell r="AE9"/>
          <cell r="AF9"/>
          <cell r="AG9"/>
          <cell r="AH9"/>
          <cell r="AI9"/>
        </row>
        <row r="10">
          <cell r="U10"/>
          <cell r="V10"/>
          <cell r="W10"/>
          <cell r="AB10"/>
          <cell r="AC10"/>
          <cell r="AD10"/>
          <cell r="AE10"/>
          <cell r="AF10"/>
          <cell r="AG10"/>
          <cell r="AH10"/>
          <cell r="AI10"/>
        </row>
        <row r="11">
          <cell r="U11"/>
          <cell r="V11"/>
          <cell r="W11"/>
          <cell r="AB11"/>
          <cell r="AC11"/>
          <cell r="AD11"/>
          <cell r="AE11"/>
          <cell r="AF11"/>
          <cell r="AG11"/>
          <cell r="AH11"/>
          <cell r="AI11"/>
        </row>
        <row r="12">
          <cell r="U12"/>
          <cell r="V12"/>
          <cell r="W12"/>
          <cell r="AB12"/>
          <cell r="AC12"/>
          <cell r="AD12"/>
          <cell r="AE12"/>
          <cell r="AF12"/>
          <cell r="AG12"/>
          <cell r="AH12"/>
          <cell r="AI12"/>
        </row>
        <row r="13">
          <cell r="U13"/>
          <cell r="V13"/>
          <cell r="W13"/>
          <cell r="AB13"/>
          <cell r="AC13"/>
          <cell r="AD13"/>
          <cell r="AE13"/>
          <cell r="AF13"/>
          <cell r="AG13"/>
          <cell r="AH13"/>
          <cell r="AI13"/>
        </row>
        <row r="14">
          <cell r="U14"/>
          <cell r="V14"/>
          <cell r="W14"/>
          <cell r="AB14"/>
          <cell r="AC14"/>
          <cell r="AD14"/>
          <cell r="AE14"/>
          <cell r="AF14"/>
          <cell r="AG14"/>
          <cell r="AH14"/>
          <cell r="AI14"/>
        </row>
        <row r="15">
          <cell r="U15"/>
          <cell r="V15"/>
          <cell r="W15"/>
          <cell r="AB15"/>
          <cell r="AC15"/>
          <cell r="AD15"/>
          <cell r="AE15"/>
          <cell r="AF15"/>
          <cell r="AG15"/>
          <cell r="AH15"/>
          <cell r="AI15"/>
        </row>
        <row r="16">
          <cell r="U16"/>
          <cell r="V16"/>
          <cell r="W16"/>
          <cell r="AB16"/>
          <cell r="AC16"/>
          <cell r="AD16"/>
          <cell r="AE16"/>
          <cell r="AF16"/>
          <cell r="AG16"/>
          <cell r="AH16"/>
          <cell r="AI16"/>
        </row>
        <row r="17">
          <cell r="U17"/>
          <cell r="V17"/>
          <cell r="W17"/>
          <cell r="AB17"/>
          <cell r="AC17"/>
          <cell r="AD17"/>
          <cell r="AE17"/>
          <cell r="AF17"/>
          <cell r="AG17"/>
          <cell r="AH17"/>
          <cell r="AI17"/>
        </row>
        <row r="18">
          <cell r="U18"/>
          <cell r="V18"/>
          <cell r="W18"/>
          <cell r="AB18"/>
          <cell r="AC18"/>
          <cell r="AD18"/>
          <cell r="AE18"/>
          <cell r="AF18"/>
          <cell r="AG18"/>
          <cell r="AH18"/>
          <cell r="AI18"/>
        </row>
        <row r="19">
          <cell r="U19"/>
          <cell r="V19"/>
          <cell r="W19"/>
          <cell r="AB19"/>
          <cell r="AC19"/>
          <cell r="AD19"/>
          <cell r="AE19"/>
          <cell r="AF19"/>
          <cell r="AG19"/>
          <cell r="AH19"/>
          <cell r="AI19"/>
        </row>
        <row r="20">
          <cell r="U20"/>
          <cell r="V20"/>
          <cell r="W20"/>
          <cell r="AB20"/>
          <cell r="AC20"/>
          <cell r="AD20"/>
          <cell r="AE20"/>
          <cell r="AF20"/>
          <cell r="AG20"/>
          <cell r="AH20"/>
          <cell r="AI20"/>
        </row>
        <row r="21">
          <cell r="U21"/>
          <cell r="V21"/>
          <cell r="W21"/>
          <cell r="AB21"/>
          <cell r="AC21"/>
          <cell r="AD21"/>
          <cell r="AE21"/>
          <cell r="AF21"/>
          <cell r="AG21"/>
          <cell r="AH21"/>
          <cell r="AI21"/>
        </row>
        <row r="22">
          <cell r="U22"/>
          <cell r="V22"/>
          <cell r="W22"/>
          <cell r="AB22"/>
          <cell r="AC22"/>
          <cell r="AD22"/>
          <cell r="AE22"/>
          <cell r="AF22"/>
          <cell r="AG22"/>
          <cell r="AH22"/>
          <cell r="AI22"/>
        </row>
        <row r="23">
          <cell r="U23"/>
          <cell r="V23"/>
          <cell r="W23"/>
          <cell r="AB23"/>
          <cell r="AC23"/>
          <cell r="AD23"/>
          <cell r="AE23"/>
          <cell r="AF23"/>
          <cell r="AG23"/>
          <cell r="AH23"/>
          <cell r="AI23"/>
        </row>
        <row r="24">
          <cell r="U24"/>
          <cell r="V24"/>
          <cell r="W24"/>
          <cell r="AB24"/>
          <cell r="AC24"/>
          <cell r="AD24"/>
          <cell r="AE24"/>
          <cell r="AF24"/>
          <cell r="AG24"/>
          <cell r="AH24"/>
          <cell r="AI24"/>
        </row>
        <row r="25">
          <cell r="U25"/>
          <cell r="V25"/>
          <cell r="W25"/>
          <cell r="AB25"/>
          <cell r="AC25"/>
          <cell r="AD25"/>
          <cell r="AE25"/>
          <cell r="AF25"/>
          <cell r="AG25"/>
          <cell r="AH25"/>
          <cell r="AI25"/>
        </row>
        <row r="26">
          <cell r="U26"/>
          <cell r="V26"/>
          <cell r="W26"/>
          <cell r="AB26"/>
          <cell r="AC26"/>
          <cell r="AD26"/>
          <cell r="AE26"/>
          <cell r="AF26"/>
          <cell r="AG26"/>
          <cell r="AH26"/>
          <cell r="AI26"/>
        </row>
        <row r="27">
          <cell r="U27"/>
          <cell r="V27"/>
          <cell r="W27"/>
          <cell r="AB27"/>
          <cell r="AC27"/>
          <cell r="AD27"/>
          <cell r="AE27"/>
          <cell r="AF27"/>
          <cell r="AG27"/>
          <cell r="AH27"/>
          <cell r="AI27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XCH Allocation"/>
    </sheetNames>
    <sheetDataSet>
      <sheetData sheetId="0">
        <row r="2">
          <cell r="E2">
            <v>7331.1351500288592</v>
          </cell>
        </row>
        <row r="3">
          <cell r="E3">
            <v>2033.5254338214177</v>
          </cell>
        </row>
        <row r="4">
          <cell r="E4">
            <v>40522.306839247452</v>
          </cell>
        </row>
        <row r="5">
          <cell r="E5">
            <v>281016.93768909952</v>
          </cell>
        </row>
        <row r="6">
          <cell r="E6">
            <v>46002.816605978456</v>
          </cell>
        </row>
        <row r="7">
          <cell r="E7">
            <v>70406.653451535385</v>
          </cell>
        </row>
        <row r="8">
          <cell r="E8">
            <v>91458.206718460147</v>
          </cell>
        </row>
        <row r="9">
          <cell r="B9">
            <v>96419.205398414633</v>
          </cell>
          <cell r="E9">
            <v>103650.64580329573</v>
          </cell>
        </row>
        <row r="10">
          <cell r="E10">
            <v>66870.901055892682</v>
          </cell>
        </row>
        <row r="11">
          <cell r="B11">
            <v>198763.94594252511</v>
          </cell>
          <cell r="E11">
            <v>208702.14323965137</v>
          </cell>
        </row>
        <row r="12">
          <cell r="B12">
            <v>7794.7526975402152</v>
          </cell>
          <cell r="E12">
            <v>8184.4903324172265</v>
          </cell>
        </row>
        <row r="13">
          <cell r="E13">
            <v>18509.175596435849</v>
          </cell>
        </row>
        <row r="14">
          <cell r="B14">
            <v>102492.40337272087</v>
          </cell>
          <cell r="E14">
            <v>110179.33362567495</v>
          </cell>
        </row>
        <row r="15">
          <cell r="E15">
            <v>36153.921705407585</v>
          </cell>
        </row>
        <row r="16">
          <cell r="B16">
            <v>49779.154849274884</v>
          </cell>
          <cell r="E16">
            <v>53512.5914629705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2723.1403435339134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Summary - BF"/>
    </sheetNames>
    <sheetDataSet>
      <sheetData sheetId="0" refreshError="1"/>
      <sheetData sheetId="1" refreshError="1"/>
      <sheetData sheetId="2"/>
      <sheetData sheetId="3">
        <row r="33">
          <cell r="H33">
            <v>66316.741576809363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Summary - Vol All BF"/>
    </sheetNames>
    <sheetDataSet>
      <sheetData sheetId="0"/>
      <sheetData sheetId="1"/>
      <sheetData sheetId="2"/>
      <sheetData sheetId="3">
        <row r="33">
          <cell r="H33">
            <v>242843.95758610716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1" dT="2024-10-08T17:48:23.40" personId="{FC6D6499-D49C-4EF0-B72D-3446266526EE}" id="{4EA062A0-BE3E-4ACB-98F3-2F60190870C5}">
    <text>Unified has not booked the 507k reserve for LL according to Kevin’s email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P20"/>
  <sheetViews>
    <sheetView tabSelected="1" zoomScaleNormal="100" workbookViewId="0">
      <selection activeCell="O2" sqref="O2"/>
    </sheetView>
  </sheetViews>
  <sheetFormatPr defaultRowHeight="13.2" x14ac:dyDescent="0.3"/>
  <cols>
    <col min="1" max="1" width="15.85546875" bestFit="1" customWidth="1"/>
    <col min="2" max="2" width="14.85546875" bestFit="1" customWidth="1"/>
    <col min="3" max="3" width="15.42578125" bestFit="1" customWidth="1"/>
    <col min="4" max="4" width="12.42578125" bestFit="1" customWidth="1"/>
    <col min="5" max="5" width="21" bestFit="1" customWidth="1"/>
    <col min="7" max="7" width="23.140625" bestFit="1" customWidth="1"/>
    <col min="8" max="9" width="18.140625" customWidth="1"/>
    <col min="10" max="10" width="23.140625" hidden="1" customWidth="1"/>
    <col min="11" max="12" width="18.140625" hidden="1" customWidth="1"/>
    <col min="13" max="13" width="70.5703125" customWidth="1"/>
    <col min="14" max="14" width="3.85546875" customWidth="1"/>
    <col min="15" max="15" width="40.140625" bestFit="1" customWidth="1"/>
    <col min="16" max="16" width="13.57031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32</v>
      </c>
      <c r="H1" s="2" t="s">
        <v>22</v>
      </c>
      <c r="I1" s="2" t="s">
        <v>23</v>
      </c>
      <c r="J1" s="2" t="s">
        <v>27</v>
      </c>
      <c r="K1" s="2" t="s">
        <v>22</v>
      </c>
      <c r="L1" s="2" t="s">
        <v>23</v>
      </c>
      <c r="M1" s="2" t="s">
        <v>24</v>
      </c>
      <c r="O1" s="2" t="s">
        <v>21</v>
      </c>
      <c r="P1" s="2" t="s">
        <v>26</v>
      </c>
    </row>
    <row r="2" spans="1:16" x14ac:dyDescent="0.3">
      <c r="A2" t="s">
        <v>5</v>
      </c>
      <c r="B2" s="6">
        <f>+[1]Summary!$H$33</f>
        <v>23491.995563699245</v>
      </c>
      <c r="C2" s="3">
        <f>+[2]Summary!$H$35</f>
        <v>7.4999999999999997E-2</v>
      </c>
      <c r="D2" s="5">
        <f>+B2*C2</f>
        <v>1761.8996672774433</v>
      </c>
      <c r="E2" s="5">
        <f>+B2+D2</f>
        <v>25253.89523097669</v>
      </c>
      <c r="G2" s="6">
        <f>[3]Summary!E2</f>
        <v>7331.1351500288592</v>
      </c>
      <c r="H2" s="6">
        <f>+E2-G2</f>
        <v>17922.760080947832</v>
      </c>
      <c r="I2" s="7">
        <f>+H2/G2</f>
        <v>2.4447455563381992</v>
      </c>
      <c r="J2" s="26">
        <f>+[2]Summary!$H$36</f>
        <v>10194.181693825194</v>
      </c>
      <c r="K2" s="26">
        <f>+E2-J2</f>
        <v>15059.713537151496</v>
      </c>
      <c r="L2" s="27">
        <f>+K2/J2</f>
        <v>1.4772851798662217</v>
      </c>
      <c r="M2" s="8" t="s">
        <v>53</v>
      </c>
      <c r="O2" t="s">
        <v>28</v>
      </c>
      <c r="P2" s="6" t="s">
        <v>25</v>
      </c>
    </row>
    <row r="3" spans="1:16" x14ac:dyDescent="0.3">
      <c r="A3" t="s">
        <v>6</v>
      </c>
      <c r="B3" s="6">
        <f>+[4]Summary!$H$33</f>
        <v>2723.1403435339134</v>
      </c>
      <c r="C3" s="38">
        <f>+[5]Summary!$H$35</f>
        <v>7.4999999999999997E-2</v>
      </c>
      <c r="D3" s="28">
        <f t="shared" ref="D3:D16" si="0">+B3*C3</f>
        <v>204.23552576504349</v>
      </c>
      <c r="E3" s="28">
        <f t="shared" ref="E3:E16" si="1">+B3+D3</f>
        <v>2927.3758692989568</v>
      </c>
      <c r="G3" s="6">
        <f>[3]Summary!E3</f>
        <v>2033.5254338214177</v>
      </c>
      <c r="H3" s="6">
        <f t="shared" ref="H3:H16" si="2">+E3-G3</f>
        <v>893.85043547753912</v>
      </c>
      <c r="I3" s="29">
        <f t="shared" ref="I3:I16" si="3">+H3/G3</f>
        <v>0.43955704738730905</v>
      </c>
      <c r="J3" s="6">
        <f>+[5]Summary!$H$36</f>
        <v>2852.8990141421973</v>
      </c>
      <c r="K3" s="6">
        <f t="shared" ref="K3:K16" si="4">+E3-J3</f>
        <v>74.476855156759484</v>
      </c>
      <c r="L3" s="29">
        <f t="shared" ref="L3:L16" si="5">+K3/J3</f>
        <v>2.6105675240367034E-2</v>
      </c>
      <c r="M3" s="25" t="s">
        <v>52</v>
      </c>
      <c r="O3" t="s">
        <v>29</v>
      </c>
      <c r="P3" s="6" t="s">
        <v>25</v>
      </c>
    </row>
    <row r="4" spans="1:16" x14ac:dyDescent="0.3">
      <c r="A4" t="s">
        <v>15</v>
      </c>
      <c r="B4" s="6">
        <f>+'[6]Summary - BF'!$H$33</f>
        <v>66316.741576809363</v>
      </c>
      <c r="C4" s="38">
        <f>+[7]Summary!$H$35</f>
        <v>7.4999999999999997E-2</v>
      </c>
      <c r="D4" s="28">
        <f t="shared" si="0"/>
        <v>4973.7556182607022</v>
      </c>
      <c r="E4" s="28">
        <f t="shared" si="1"/>
        <v>71290.497195070071</v>
      </c>
      <c r="G4" s="6">
        <f>[3]Summary!E4</f>
        <v>40522.306839247452</v>
      </c>
      <c r="H4" s="6">
        <f t="shared" si="2"/>
        <v>30768.190355822619</v>
      </c>
      <c r="I4" s="29">
        <f t="shared" si="3"/>
        <v>0.75929019731972447</v>
      </c>
      <c r="J4" s="6">
        <f>+[7]Summary!$H$36</f>
        <v>46527.596958871203</v>
      </c>
      <c r="K4" s="6">
        <f t="shared" si="4"/>
        <v>24762.900236198868</v>
      </c>
      <c r="L4" s="29">
        <f t="shared" si="5"/>
        <v>0.53221962565761605</v>
      </c>
      <c r="M4" s="24" t="s">
        <v>54</v>
      </c>
      <c r="O4" t="s">
        <v>29</v>
      </c>
      <c r="P4" s="6" t="s">
        <v>25</v>
      </c>
    </row>
    <row r="5" spans="1:16" ht="26.4" x14ac:dyDescent="0.3">
      <c r="A5" t="s">
        <v>7</v>
      </c>
      <c r="B5" s="6">
        <f>+'[8]Summary - Vol All BF'!$H$33</f>
        <v>242843.95758610716</v>
      </c>
      <c r="C5" s="38">
        <f>+[9]Summary!$H$35</f>
        <v>7.4999999999999997E-2</v>
      </c>
      <c r="D5" s="28">
        <f t="shared" si="0"/>
        <v>18213.296818958035</v>
      </c>
      <c r="E5" s="28">
        <f>+B5+D5</f>
        <v>261057.25440506521</v>
      </c>
      <c r="G5" s="6">
        <f>[3]Summary!E5</f>
        <v>281016.93768909952</v>
      </c>
      <c r="H5" s="6">
        <f>+E5-G5</f>
        <v>-19959.683284034312</v>
      </c>
      <c r="I5" s="29">
        <f>+H5/G5</f>
        <v>-7.102662013247231E-2</v>
      </c>
      <c r="J5" s="6">
        <f>+[9]Summary!$H$36</f>
        <v>88593.393911147272</v>
      </c>
      <c r="K5" s="6">
        <f t="shared" si="4"/>
        <v>172463.86049391795</v>
      </c>
      <c r="L5" s="29">
        <f t="shared" si="5"/>
        <v>1.9466898476300236</v>
      </c>
      <c r="M5" s="39" t="s">
        <v>51</v>
      </c>
      <c r="O5" t="s">
        <v>50</v>
      </c>
      <c r="P5" s="6" t="s">
        <v>25</v>
      </c>
    </row>
    <row r="6" spans="1:16" x14ac:dyDescent="0.3">
      <c r="A6" t="s">
        <v>8</v>
      </c>
      <c r="B6" s="6">
        <f>+'[10]Summary - BF'!$H$33</f>
        <v>45647.363297129654</v>
      </c>
      <c r="C6" s="38">
        <f>+[11]Summary!$H$35</f>
        <v>7.4999999999999997E-2</v>
      </c>
      <c r="D6" s="28">
        <f t="shared" si="0"/>
        <v>3423.5522472847238</v>
      </c>
      <c r="E6" s="28">
        <f t="shared" si="1"/>
        <v>49070.915544414376</v>
      </c>
      <c r="G6" s="6">
        <f>[3]Summary!E6</f>
        <v>46002.816605978456</v>
      </c>
      <c r="H6" s="6">
        <f t="shared" si="2"/>
        <v>3068.09893843592</v>
      </c>
      <c r="I6" s="29">
        <f t="shared" si="3"/>
        <v>6.6693719315377625E-2</v>
      </c>
      <c r="J6" s="6">
        <f>+[11]Summary!$H$36</f>
        <v>32709.246771985087</v>
      </c>
      <c r="K6" s="6">
        <f t="shared" si="4"/>
        <v>16361.66877242929</v>
      </c>
      <c r="L6" s="29">
        <f t="shared" si="5"/>
        <v>0.50021539433438689</v>
      </c>
      <c r="M6" s="25" t="s">
        <v>52</v>
      </c>
      <c r="O6" t="s">
        <v>29</v>
      </c>
      <c r="P6" s="6" t="s">
        <v>25</v>
      </c>
    </row>
    <row r="7" spans="1:16" x14ac:dyDescent="0.3">
      <c r="A7" t="s">
        <v>9</v>
      </c>
      <c r="B7" s="6">
        <f>+[12]Summary!$H$33</f>
        <v>52737.937858006539</v>
      </c>
      <c r="C7" s="38">
        <f>+[13]Summary!$H$35</f>
        <v>7.4999999999999997E-2</v>
      </c>
      <c r="D7" s="28">
        <f t="shared" si="0"/>
        <v>3955.3453393504901</v>
      </c>
      <c r="E7" s="28">
        <f t="shared" si="1"/>
        <v>56693.283197357028</v>
      </c>
      <c r="G7" s="6">
        <f>[3]Summary!E7</f>
        <v>70406.653451535385</v>
      </c>
      <c r="H7" s="6">
        <f t="shared" si="2"/>
        <v>-13713.370254178357</v>
      </c>
      <c r="I7" s="29">
        <f t="shared" si="3"/>
        <v>-0.1947737831853916</v>
      </c>
      <c r="J7" s="6">
        <f>+[13]Summary!$H$36</f>
        <v>43941.36</v>
      </c>
      <c r="K7" s="6">
        <f t="shared" si="4"/>
        <v>12751.923197357028</v>
      </c>
      <c r="L7" s="29">
        <f t="shared" si="5"/>
        <v>0.290203198020203</v>
      </c>
      <c r="M7" s="24"/>
      <c r="O7" t="s">
        <v>29</v>
      </c>
      <c r="P7" s="6" t="s">
        <v>25</v>
      </c>
    </row>
    <row r="8" spans="1:16" x14ac:dyDescent="0.3">
      <c r="A8" t="s">
        <v>10</v>
      </c>
      <c r="B8" s="6">
        <f>+[14]Summary!$H$33</f>
        <v>77313.679947327677</v>
      </c>
      <c r="C8" s="38">
        <f>+[15]Summary!$H$35</f>
        <v>7.4999999999999997E-2</v>
      </c>
      <c r="D8" s="28">
        <f t="shared" si="0"/>
        <v>5798.525996049576</v>
      </c>
      <c r="E8" s="28">
        <f t="shared" si="1"/>
        <v>83112.205943377252</v>
      </c>
      <c r="G8" s="6">
        <f>[3]Summary!E8</f>
        <v>91458.206718460147</v>
      </c>
      <c r="H8" s="6">
        <f t="shared" si="2"/>
        <v>-8346.0007750828954</v>
      </c>
      <c r="I8" s="29">
        <f t="shared" si="3"/>
        <v>-9.1254804511690893E-2</v>
      </c>
      <c r="J8" s="6">
        <f>+[15]Summary!$H$36</f>
        <v>158653.1571364796</v>
      </c>
      <c r="K8" s="6">
        <f t="shared" si="4"/>
        <v>-75540.951193102344</v>
      </c>
      <c r="L8" s="29">
        <f t="shared" si="5"/>
        <v>-0.47613897231253388</v>
      </c>
      <c r="M8" s="25"/>
      <c r="O8" t="s">
        <v>29</v>
      </c>
      <c r="P8" s="6" t="s">
        <v>25</v>
      </c>
    </row>
    <row r="9" spans="1:16" s="30" customFormat="1" x14ac:dyDescent="0.3">
      <c r="A9" s="30" t="s">
        <v>11</v>
      </c>
      <c r="B9" s="31">
        <f>[3]Summary!B9</f>
        <v>96419.205398414633</v>
      </c>
      <c r="C9" s="32">
        <f>+[16]Summary!$H$35</f>
        <v>7.4999999999999997E-2</v>
      </c>
      <c r="D9" s="33">
        <f t="shared" si="0"/>
        <v>7231.4404048810975</v>
      </c>
      <c r="E9" s="33">
        <f t="shared" si="1"/>
        <v>103650.64580329573</v>
      </c>
      <c r="G9" s="31">
        <f>[3]Summary!E9</f>
        <v>103650.64580329573</v>
      </c>
      <c r="H9" s="31">
        <f t="shared" si="2"/>
        <v>0</v>
      </c>
      <c r="I9" s="34">
        <f t="shared" si="3"/>
        <v>0</v>
      </c>
      <c r="J9" s="31">
        <f>+[16]Summary!$H$36</f>
        <v>167515.8389747378</v>
      </c>
      <c r="K9" s="31">
        <f t="shared" si="4"/>
        <v>-63865.193171442064</v>
      </c>
      <c r="L9" s="34">
        <f t="shared" si="5"/>
        <v>-0.38124868407860374</v>
      </c>
      <c r="M9" s="35"/>
      <c r="O9" s="30" t="s">
        <v>29</v>
      </c>
      <c r="P9" s="31" t="s">
        <v>25</v>
      </c>
    </row>
    <row r="10" spans="1:16" x14ac:dyDescent="0.3">
      <c r="A10" t="s">
        <v>12</v>
      </c>
      <c r="B10" s="6">
        <f>+[17]Summary!$H$33</f>
        <v>66036.514801389232</v>
      </c>
      <c r="C10" s="38">
        <f>+[18]Summary!$H$35</f>
        <v>7.4999999999999997E-2</v>
      </c>
      <c r="D10" s="28">
        <f t="shared" si="0"/>
        <v>4952.738610104192</v>
      </c>
      <c r="E10" s="28">
        <f t="shared" si="1"/>
        <v>70989.253411493424</v>
      </c>
      <c r="G10" s="6">
        <f>[3]Summary!E10</f>
        <v>66870.901055892682</v>
      </c>
      <c r="H10" s="6">
        <f t="shared" si="2"/>
        <v>4118.3523556007422</v>
      </c>
      <c r="I10" s="29">
        <f t="shared" si="3"/>
        <v>6.1586613767302179E-2</v>
      </c>
      <c r="J10" s="6">
        <f>+[18]Summary!$H$36</f>
        <v>61403.00276625227</v>
      </c>
      <c r="K10" s="6">
        <f t="shared" si="4"/>
        <v>9586.2506452411544</v>
      </c>
      <c r="L10" s="29">
        <f t="shared" si="5"/>
        <v>0.15612022561394762</v>
      </c>
      <c r="M10" s="24"/>
      <c r="O10" t="s">
        <v>29</v>
      </c>
      <c r="P10" s="6" t="s">
        <v>25</v>
      </c>
    </row>
    <row r="11" spans="1:16" s="30" customFormat="1" x14ac:dyDescent="0.3">
      <c r="A11" s="30" t="s">
        <v>19</v>
      </c>
      <c r="B11" s="31">
        <f>[3]Summary!B11</f>
        <v>198763.94594252511</v>
      </c>
      <c r="C11" s="32">
        <v>0.05</v>
      </c>
      <c r="D11" s="33">
        <f t="shared" si="0"/>
        <v>9938.1972971262567</v>
      </c>
      <c r="E11" s="33">
        <f t="shared" si="1"/>
        <v>208702.14323965137</v>
      </c>
      <c r="G11" s="31">
        <f>[3]Summary!E11</f>
        <v>208702.14323965137</v>
      </c>
      <c r="H11" s="31">
        <f t="shared" si="2"/>
        <v>0</v>
      </c>
      <c r="I11" s="34">
        <f t="shared" si="3"/>
        <v>0</v>
      </c>
      <c r="J11" s="31">
        <f>+[19]Summary!$E$36-[19]Summary!$E$35</f>
        <v>121236.15000000002</v>
      </c>
      <c r="K11" s="31">
        <f t="shared" ref="K11" si="6">+E11-J11</f>
        <v>87465.993239651347</v>
      </c>
      <c r="L11" s="34">
        <f t="shared" ref="L11" si="7">+K11/J11</f>
        <v>0.72145142550016084</v>
      </c>
      <c r="M11" s="35"/>
      <c r="O11" s="30" t="s">
        <v>30</v>
      </c>
      <c r="P11" s="31" t="s">
        <v>25</v>
      </c>
    </row>
    <row r="12" spans="1:16" s="30" customFormat="1" x14ac:dyDescent="0.3">
      <c r="A12" s="30" t="s">
        <v>20</v>
      </c>
      <c r="B12" s="31">
        <f>[3]Summary!B12</f>
        <v>7794.7526975402152</v>
      </c>
      <c r="C12" s="32">
        <v>0.05</v>
      </c>
      <c r="D12" s="33">
        <f t="shared" si="0"/>
        <v>389.73763487701081</v>
      </c>
      <c r="E12" s="33">
        <f t="shared" si="1"/>
        <v>8184.4903324172265</v>
      </c>
      <c r="G12" s="31">
        <f>[3]Summary!E12</f>
        <v>8184.4903324172265</v>
      </c>
      <c r="H12" s="31">
        <f t="shared" si="2"/>
        <v>0</v>
      </c>
      <c r="I12" s="34">
        <f t="shared" si="3"/>
        <v>0</v>
      </c>
      <c r="J12" s="31">
        <f>+[20]Summary!$E$36</f>
        <v>21308.7</v>
      </c>
      <c r="K12" s="31">
        <f t="shared" ref="K12" si="8">+E12-J12</f>
        <v>-13124.209667582774</v>
      </c>
      <c r="L12" s="34">
        <f t="shared" ref="L12" si="9">+K12/J12</f>
        <v>-0.61590851002561275</v>
      </c>
      <c r="M12" s="35"/>
      <c r="O12" s="30" t="s">
        <v>30</v>
      </c>
      <c r="P12" s="31" t="s">
        <v>25</v>
      </c>
    </row>
    <row r="13" spans="1:16" x14ac:dyDescent="0.3">
      <c r="A13" t="s">
        <v>17</v>
      </c>
      <c r="B13" s="6">
        <f>+[21]Summary!$H$33</f>
        <v>21148.367656214825</v>
      </c>
      <c r="C13" s="38">
        <f>+[22]Summary!$H$35</f>
        <v>7.4999999999999997E-2</v>
      </c>
      <c r="D13" s="28">
        <f t="shared" si="0"/>
        <v>1586.1275742161117</v>
      </c>
      <c r="E13" s="28">
        <f t="shared" si="1"/>
        <v>22734.495230430937</v>
      </c>
      <c r="G13" s="6">
        <f>[3]Summary!E13</f>
        <v>18509.175596435849</v>
      </c>
      <c r="H13" s="6">
        <f t="shared" si="2"/>
        <v>4225.3196339950882</v>
      </c>
      <c r="I13" s="29">
        <f t="shared" si="3"/>
        <v>0.22828243278478169</v>
      </c>
      <c r="J13" s="6">
        <f>+[22]Summary!$H$36</f>
        <v>22925.112714356808</v>
      </c>
      <c r="K13" s="6">
        <f t="shared" si="4"/>
        <v>-190.61748392587106</v>
      </c>
      <c r="L13" s="29">
        <f t="shared" si="5"/>
        <v>-8.3147893884289274E-3</v>
      </c>
      <c r="M13" s="25" t="s">
        <v>55</v>
      </c>
      <c r="O13" t="s">
        <v>29</v>
      </c>
      <c r="P13" s="6" t="s">
        <v>25</v>
      </c>
    </row>
    <row r="14" spans="1:16" s="30" customFormat="1" x14ac:dyDescent="0.3">
      <c r="A14" s="30" t="s">
        <v>18</v>
      </c>
      <c r="B14" s="31">
        <f>[3]Summary!B14</f>
        <v>102492.40337272087</v>
      </c>
      <c r="C14" s="32">
        <f>+[23]Summary!$H$35</f>
        <v>7.4999999999999997E-2</v>
      </c>
      <c r="D14" s="33">
        <f t="shared" si="0"/>
        <v>7686.9302529540655</v>
      </c>
      <c r="E14" s="33">
        <f t="shared" si="1"/>
        <v>110179.33362567495</v>
      </c>
      <c r="G14" s="31">
        <f>[3]Summary!E14</f>
        <v>110179.33362567495</v>
      </c>
      <c r="H14" s="31">
        <f t="shared" si="2"/>
        <v>0</v>
      </c>
      <c r="I14" s="34">
        <f t="shared" si="3"/>
        <v>0</v>
      </c>
      <c r="J14" s="31">
        <f>+[23]Summary!$H$36</f>
        <v>60621.568508703676</v>
      </c>
      <c r="K14" s="31">
        <f t="shared" si="4"/>
        <v>49557.76511697127</v>
      </c>
      <c r="L14" s="34">
        <f t="shared" si="5"/>
        <v>0.81749394375792284</v>
      </c>
      <c r="M14" s="35"/>
      <c r="O14" s="30" t="s">
        <v>29</v>
      </c>
      <c r="P14" s="31" t="s">
        <v>25</v>
      </c>
    </row>
    <row r="15" spans="1:16" x14ac:dyDescent="0.3">
      <c r="A15" t="s">
        <v>13</v>
      </c>
      <c r="B15" s="6">
        <f>+[24]Summary!$L$33</f>
        <v>37312.660864339989</v>
      </c>
      <c r="C15" s="38">
        <f>+[25]Summary!$L$35</f>
        <v>7.4999999999999997E-2</v>
      </c>
      <c r="D15" s="28">
        <f t="shared" si="0"/>
        <v>2798.4495648254992</v>
      </c>
      <c r="E15" s="28">
        <f t="shared" si="1"/>
        <v>40111.110429165485</v>
      </c>
      <c r="G15" s="6">
        <f>[3]Summary!E15</f>
        <v>36153.921705407585</v>
      </c>
      <c r="H15" s="6">
        <f t="shared" si="2"/>
        <v>3957.1887237578994</v>
      </c>
      <c r="I15" s="29">
        <f t="shared" si="3"/>
        <v>0.10945392746054484</v>
      </c>
      <c r="J15" s="6">
        <f>+[25]Summary!$L$36</f>
        <v>70721.566596096614</v>
      </c>
      <c r="K15" s="6">
        <f t="shared" si="4"/>
        <v>-30610.45616693113</v>
      </c>
      <c r="L15" s="29">
        <f t="shared" si="5"/>
        <v>-0.43283057262790658</v>
      </c>
      <c r="M15" s="24"/>
      <c r="O15" t="s">
        <v>31</v>
      </c>
      <c r="P15" s="6" t="s">
        <v>25</v>
      </c>
    </row>
    <row r="16" spans="1:16" s="30" customFormat="1" x14ac:dyDescent="0.3">
      <c r="A16" s="30" t="s">
        <v>16</v>
      </c>
      <c r="B16" s="31">
        <f>[3]Summary!B16</f>
        <v>49779.154849274884</v>
      </c>
      <c r="C16" s="32">
        <f>+[26]Summary!$H$35</f>
        <v>7.4999999999999997E-2</v>
      </c>
      <c r="D16" s="33">
        <f t="shared" si="0"/>
        <v>3733.436613695616</v>
      </c>
      <c r="E16" s="33">
        <f t="shared" si="1"/>
        <v>53512.5914629705</v>
      </c>
      <c r="G16" s="31">
        <f>[3]Summary!E16</f>
        <v>53512.5914629705</v>
      </c>
      <c r="H16" s="31">
        <f t="shared" si="2"/>
        <v>0</v>
      </c>
      <c r="I16" s="34">
        <f t="shared" si="3"/>
        <v>0</v>
      </c>
      <c r="J16" s="31">
        <f>+[26]Summary!$H$36</f>
        <v>777303.67606529</v>
      </c>
      <c r="K16" s="31">
        <f t="shared" si="4"/>
        <v>-723791.08460231952</v>
      </c>
      <c r="L16" s="34">
        <f t="shared" si="5"/>
        <v>-0.93115613226756999</v>
      </c>
      <c r="M16" s="35"/>
      <c r="O16" s="30" t="s">
        <v>29</v>
      </c>
      <c r="P16" s="31" t="s">
        <v>25</v>
      </c>
    </row>
    <row r="17" spans="1:13" x14ac:dyDescent="0.3">
      <c r="B17" s="6"/>
      <c r="M17" s="36"/>
    </row>
    <row r="18" spans="1:13" x14ac:dyDescent="0.3">
      <c r="A18" s="4" t="s">
        <v>14</v>
      </c>
      <c r="B18" s="37">
        <f>+SUM(B2:B17)</f>
        <v>1090821.8217550332</v>
      </c>
      <c r="C18" s="4"/>
      <c r="D18" s="37">
        <f>+SUM(D2:D17)</f>
        <v>76647.669165625877</v>
      </c>
      <c r="E18" s="37">
        <f>+SUM(E2:E17)</f>
        <v>1167469.4909206589</v>
      </c>
      <c r="F18" s="4"/>
      <c r="G18" s="37">
        <f>+SUM(G2:G17)</f>
        <v>1144534.7847099171</v>
      </c>
      <c r="H18" s="37">
        <f>+SUM(H2:H17)</f>
        <v>22934.706210742072</v>
      </c>
      <c r="I18" s="29">
        <f>+H18/G18</f>
        <v>2.0038452755767388E-2</v>
      </c>
      <c r="J18" s="37">
        <f>+SUM(J2:J17)</f>
        <v>1686507.4511118878</v>
      </c>
      <c r="K18" s="37">
        <f>+SUM(K2:K17)</f>
        <v>-519037.96019122849</v>
      </c>
      <c r="L18" s="29">
        <f>+K18/J18</f>
        <v>-0.3077590673252199</v>
      </c>
      <c r="M18" s="24"/>
    </row>
    <row r="20" spans="1:13" x14ac:dyDescent="0.3">
      <c r="A20" s="40" t="s">
        <v>17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</sheetData>
  <mergeCells count="1">
    <mergeCell ref="A20:M2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008F-CC6D-4C08-B206-EDDC0B61AD88}">
  <dimension ref="A1:N29"/>
  <sheetViews>
    <sheetView workbookViewId="0">
      <selection activeCell="B5" sqref="B5"/>
    </sheetView>
  </sheetViews>
  <sheetFormatPr defaultRowHeight="13.2" x14ac:dyDescent="0.3"/>
  <cols>
    <col min="2" max="2" width="11.85546875" bestFit="1" customWidth="1"/>
    <col min="3" max="4" width="18.42578125" bestFit="1" customWidth="1"/>
    <col min="5" max="5" width="8.85546875" bestFit="1" customWidth="1"/>
    <col min="6" max="6" width="17.140625" bestFit="1" customWidth="1"/>
    <col min="7" max="8" width="10.85546875" bestFit="1" customWidth="1"/>
    <col min="9" max="9" width="17" bestFit="1" customWidth="1"/>
    <col min="10" max="13" width="13" bestFit="1" customWidth="1"/>
    <col min="14" max="14" width="19" bestFit="1" customWidth="1"/>
  </cols>
  <sheetData>
    <row r="1" spans="1:14" x14ac:dyDescent="0.3">
      <c r="C1" s="10"/>
    </row>
    <row r="2" spans="1:14" x14ac:dyDescent="0.3">
      <c r="A2" s="14" t="s">
        <v>33</v>
      </c>
      <c r="B2" s="15" t="s">
        <v>35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4" x14ac:dyDescent="0.3">
      <c r="A3" s="18" t="s">
        <v>34</v>
      </c>
      <c r="B3" s="13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4" t="s">
        <v>41</v>
      </c>
      <c r="H3" s="4" t="s">
        <v>49</v>
      </c>
      <c r="I3" s="4" t="s">
        <v>42</v>
      </c>
      <c r="J3" s="4" t="s">
        <v>43</v>
      </c>
      <c r="K3" s="4" t="s">
        <v>44</v>
      </c>
      <c r="L3" s="4" t="s">
        <v>45</v>
      </c>
      <c r="M3" s="19" t="s">
        <v>46</v>
      </c>
      <c r="N3" t="s">
        <v>47</v>
      </c>
    </row>
    <row r="4" spans="1:14" x14ac:dyDescent="0.3">
      <c r="A4" s="20" t="s">
        <v>48</v>
      </c>
      <c r="B4" s="21">
        <f>+SUM(B5:B28)</f>
        <v>33453.88956995491</v>
      </c>
      <c r="C4" s="21">
        <f>+SUM(C5:C28)</f>
        <v>0</v>
      </c>
      <c r="D4" s="21">
        <f t="shared" ref="D4:N4" si="0">+SUM(D5:D28)</f>
        <v>0</v>
      </c>
      <c r="E4" s="21">
        <f t="shared" si="0"/>
        <v>0</v>
      </c>
      <c r="F4" s="21">
        <f t="shared" si="0"/>
        <v>0</v>
      </c>
      <c r="G4" s="21">
        <f t="shared" si="0"/>
        <v>0</v>
      </c>
      <c r="H4" s="21">
        <f t="shared" si="0"/>
        <v>0</v>
      </c>
      <c r="I4" s="21">
        <f t="shared" si="0"/>
        <v>0</v>
      </c>
      <c r="J4" s="21">
        <f t="shared" si="0"/>
        <v>0</v>
      </c>
      <c r="K4" s="21">
        <f t="shared" si="0"/>
        <v>0</v>
      </c>
      <c r="L4" s="21">
        <f t="shared" si="0"/>
        <v>0</v>
      </c>
      <c r="M4" s="22">
        <f t="shared" si="0"/>
        <v>0</v>
      </c>
      <c r="N4" s="23">
        <f t="shared" si="0"/>
        <v>33453.88956995491</v>
      </c>
    </row>
    <row r="5" spans="1:14" x14ac:dyDescent="0.3">
      <c r="A5" s="9">
        <f>+[27]Summary!A8</f>
        <v>45108</v>
      </c>
      <c r="B5" s="10">
        <f>+[27]Summary!H8</f>
        <v>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>
        <f t="shared" ref="N5:N6" si="1">+B5-SUM(C5:M5)</f>
        <v>0</v>
      </c>
    </row>
    <row r="6" spans="1:14" x14ac:dyDescent="0.3">
      <c r="A6" s="9">
        <f>+[27]Summary!A9</f>
        <v>45139</v>
      </c>
      <c r="B6" s="10">
        <f>+[27]Summary!H9</f>
        <v>0</v>
      </c>
      <c r="C6" s="11">
        <f>+$B6*[28]Allocation!U5</f>
        <v>0</v>
      </c>
      <c r="D6" s="11">
        <f>+$B6*[28]Allocation!V5</f>
        <v>0</v>
      </c>
      <c r="E6" s="11">
        <f>+$B6*[28]Allocation!W5</f>
        <v>0</v>
      </c>
      <c r="F6" s="11">
        <f>+$B6*[28]Allocation!AH5</f>
        <v>0</v>
      </c>
      <c r="G6" s="11">
        <f>+$B6*[28]Allocation!AI5</f>
        <v>0</v>
      </c>
      <c r="H6" s="11">
        <f>+$B6*[28]Allocation!AB5</f>
        <v>0</v>
      </c>
      <c r="I6" s="11">
        <f>+$B6*[28]Allocation!AC5</f>
        <v>0</v>
      </c>
      <c r="J6" s="11">
        <f>+$B6*[28]Allocation!AD5</f>
        <v>0</v>
      </c>
      <c r="K6" s="11">
        <f>+$B6*[28]Allocation!AE5</f>
        <v>0</v>
      </c>
      <c r="L6" s="11">
        <f>+$B6*[28]Allocation!AF5</f>
        <v>0</v>
      </c>
      <c r="M6" s="11">
        <f>+$B6*[28]Allocation!AG5</f>
        <v>0</v>
      </c>
      <c r="N6" s="12">
        <f t="shared" si="1"/>
        <v>0</v>
      </c>
    </row>
    <row r="7" spans="1:14" x14ac:dyDescent="0.3">
      <c r="A7" s="9">
        <f>+[27]Summary!A10</f>
        <v>45170</v>
      </c>
      <c r="B7" s="10">
        <f>+[27]Summary!H10</f>
        <v>0</v>
      </c>
      <c r="C7" s="11">
        <f>+$B7*[28]Allocation!U6</f>
        <v>0</v>
      </c>
      <c r="D7" s="11">
        <f>+$B7*[28]Allocation!V6</f>
        <v>0</v>
      </c>
      <c r="E7" s="11">
        <f>+$B7*[28]Allocation!W6</f>
        <v>0</v>
      </c>
      <c r="F7" s="11">
        <f>+$B7*[28]Allocation!AH6</f>
        <v>0</v>
      </c>
      <c r="G7" s="11">
        <f>+$B7*[28]Allocation!AI6</f>
        <v>0</v>
      </c>
      <c r="H7" s="11">
        <f>+$B7*[28]Allocation!AB6</f>
        <v>0</v>
      </c>
      <c r="I7" s="11">
        <f>+$B7*[28]Allocation!AC6</f>
        <v>0</v>
      </c>
      <c r="J7" s="11">
        <f>+$B7*[28]Allocation!AD6</f>
        <v>0</v>
      </c>
      <c r="K7" s="11">
        <f>+$B7*[28]Allocation!AE6</f>
        <v>0</v>
      </c>
      <c r="L7" s="11">
        <f>+$B7*[28]Allocation!AF6</f>
        <v>0</v>
      </c>
      <c r="M7" s="11">
        <f>+$B7*[28]Allocation!AG6</f>
        <v>0</v>
      </c>
      <c r="N7" s="12">
        <f t="shared" ref="N7:N28" si="2">+B7-SUM(C7:M7)</f>
        <v>0</v>
      </c>
    </row>
    <row r="8" spans="1:14" x14ac:dyDescent="0.3">
      <c r="A8" s="9">
        <f>+[27]Summary!A11</f>
        <v>45200</v>
      </c>
      <c r="B8" s="10">
        <f>+[27]Summary!H11</f>
        <v>0</v>
      </c>
      <c r="C8" s="11">
        <f>+$B8*[28]Allocation!U7</f>
        <v>0</v>
      </c>
      <c r="D8" s="11">
        <f>+$B8*[28]Allocation!V7</f>
        <v>0</v>
      </c>
      <c r="E8" s="11">
        <f>+$B8*[28]Allocation!W7</f>
        <v>0</v>
      </c>
      <c r="F8" s="11">
        <f>+$B8*[28]Allocation!AH7</f>
        <v>0</v>
      </c>
      <c r="G8" s="11">
        <f>+$B8*[28]Allocation!AI7</f>
        <v>0</v>
      </c>
      <c r="H8" s="11">
        <f>+$B8*[28]Allocation!AB7</f>
        <v>0</v>
      </c>
      <c r="I8" s="11">
        <f>+$B8*[28]Allocation!AC7</f>
        <v>0</v>
      </c>
      <c r="J8" s="11">
        <f>+$B8*[28]Allocation!AD7</f>
        <v>0</v>
      </c>
      <c r="K8" s="11">
        <f>+$B8*[28]Allocation!AE7</f>
        <v>0</v>
      </c>
      <c r="L8" s="11">
        <f>+$B8*[28]Allocation!AF7</f>
        <v>0</v>
      </c>
      <c r="M8" s="11">
        <f>+$B8*[28]Allocation!AG7</f>
        <v>0</v>
      </c>
      <c r="N8" s="12">
        <f t="shared" si="2"/>
        <v>0</v>
      </c>
    </row>
    <row r="9" spans="1:14" x14ac:dyDescent="0.3">
      <c r="A9" s="9">
        <f>+[27]Summary!A12</f>
        <v>45231</v>
      </c>
      <c r="B9" s="10">
        <f>+[27]Summary!H12</f>
        <v>0</v>
      </c>
      <c r="C9" s="11">
        <f>+$B9*[28]Allocation!U8</f>
        <v>0</v>
      </c>
      <c r="D9" s="11">
        <f>+$B9*[28]Allocation!V8</f>
        <v>0</v>
      </c>
      <c r="E9" s="11">
        <f>+$B9*[28]Allocation!W8</f>
        <v>0</v>
      </c>
      <c r="F9" s="11">
        <f>+$B9*[28]Allocation!AH8</f>
        <v>0</v>
      </c>
      <c r="G9" s="11">
        <f>+$B9*[28]Allocation!AI8</f>
        <v>0</v>
      </c>
      <c r="H9" s="11">
        <f>+$B9*[28]Allocation!AB8</f>
        <v>0</v>
      </c>
      <c r="I9" s="11">
        <f>+$B9*[28]Allocation!AC8</f>
        <v>0</v>
      </c>
      <c r="J9" s="11">
        <f>+$B9*[28]Allocation!AD8</f>
        <v>0</v>
      </c>
      <c r="K9" s="11">
        <f>+$B9*[28]Allocation!AE8</f>
        <v>0</v>
      </c>
      <c r="L9" s="11">
        <f>+$B9*[28]Allocation!AF8</f>
        <v>0</v>
      </c>
      <c r="M9" s="11">
        <f>+$B9*[28]Allocation!AG8</f>
        <v>0</v>
      </c>
      <c r="N9" s="12">
        <f t="shared" si="2"/>
        <v>0</v>
      </c>
    </row>
    <row r="10" spans="1:14" x14ac:dyDescent="0.3">
      <c r="A10" s="9">
        <f>+[27]Summary!A13</f>
        <v>45261</v>
      </c>
      <c r="B10" s="10">
        <f>+[27]Summary!H13</f>
        <v>1.7032735299435444</v>
      </c>
      <c r="C10" s="11">
        <f>+$B10*[28]Allocation!U9</f>
        <v>0</v>
      </c>
      <c r="D10" s="11">
        <f>+$B10*[28]Allocation!V9</f>
        <v>0</v>
      </c>
      <c r="E10" s="11">
        <f>+$B10*[28]Allocation!W9</f>
        <v>0</v>
      </c>
      <c r="F10" s="11">
        <f>+$B10*[28]Allocation!AH9</f>
        <v>0</v>
      </c>
      <c r="G10" s="11">
        <f>+$B10*[28]Allocation!AI9</f>
        <v>0</v>
      </c>
      <c r="H10" s="11">
        <f>+$B10*[28]Allocation!AB9</f>
        <v>0</v>
      </c>
      <c r="I10" s="11">
        <f>+$B10*[28]Allocation!AC9</f>
        <v>0</v>
      </c>
      <c r="J10" s="11">
        <f>+$B10*[28]Allocation!AD9</f>
        <v>0</v>
      </c>
      <c r="K10" s="11">
        <f>+$B10*[28]Allocation!AE9</f>
        <v>0</v>
      </c>
      <c r="L10" s="11">
        <f>+$B10*[28]Allocation!AF9</f>
        <v>0</v>
      </c>
      <c r="M10" s="11">
        <f>+$B10*[28]Allocation!AG9</f>
        <v>0</v>
      </c>
      <c r="N10" s="12">
        <f t="shared" si="2"/>
        <v>1.7032735299435444</v>
      </c>
    </row>
    <row r="11" spans="1:14" x14ac:dyDescent="0.3">
      <c r="A11" s="9">
        <f>+[27]Summary!A14</f>
        <v>45292</v>
      </c>
      <c r="B11" s="10">
        <f>+[27]Summary!H14</f>
        <v>98.110090685077012</v>
      </c>
      <c r="C11" s="11">
        <f>+$B11*[28]Allocation!U10</f>
        <v>0</v>
      </c>
      <c r="D11" s="11">
        <f>+$B11*[28]Allocation!V10</f>
        <v>0</v>
      </c>
      <c r="E11" s="11">
        <f>+$B11*[28]Allocation!W10</f>
        <v>0</v>
      </c>
      <c r="F11" s="11">
        <f>+$B11*[28]Allocation!AH10</f>
        <v>0</v>
      </c>
      <c r="G11" s="11">
        <f>+$B11*[28]Allocation!AI10</f>
        <v>0</v>
      </c>
      <c r="H11" s="11">
        <f>+$B11*[28]Allocation!AB10</f>
        <v>0</v>
      </c>
      <c r="I11" s="11">
        <f>+$B11*[28]Allocation!AC10</f>
        <v>0</v>
      </c>
      <c r="J11" s="11">
        <f>+$B11*[28]Allocation!AD10</f>
        <v>0</v>
      </c>
      <c r="K11" s="11">
        <f>+$B11*[28]Allocation!AE10</f>
        <v>0</v>
      </c>
      <c r="L11" s="11">
        <f>+$B11*[28]Allocation!AF10</f>
        <v>0</v>
      </c>
      <c r="M11" s="11">
        <f>+$B11*[28]Allocation!AG10</f>
        <v>0</v>
      </c>
      <c r="N11" s="12">
        <f t="shared" si="2"/>
        <v>98.110090685077012</v>
      </c>
    </row>
    <row r="12" spans="1:14" x14ac:dyDescent="0.3">
      <c r="A12" s="9">
        <f>+[27]Summary!A15</f>
        <v>45323</v>
      </c>
      <c r="B12" s="10">
        <f>+[27]Summary!H15</f>
        <v>781.10676364769461</v>
      </c>
      <c r="C12" s="11">
        <f>+$B12*[28]Allocation!U11</f>
        <v>0</v>
      </c>
      <c r="D12" s="11">
        <f>+$B12*[28]Allocation!V11</f>
        <v>0</v>
      </c>
      <c r="E12" s="11">
        <f>+$B12*[28]Allocation!W11</f>
        <v>0</v>
      </c>
      <c r="F12" s="11">
        <f>+$B12*[28]Allocation!AH11</f>
        <v>0</v>
      </c>
      <c r="G12" s="11">
        <f>+$B12*[28]Allocation!AI11</f>
        <v>0</v>
      </c>
      <c r="H12" s="11">
        <f>+$B12*[28]Allocation!AB11</f>
        <v>0</v>
      </c>
      <c r="I12" s="11">
        <f>+$B12*[28]Allocation!AC11</f>
        <v>0</v>
      </c>
      <c r="J12" s="11">
        <f>+$B12*[28]Allocation!AD11</f>
        <v>0</v>
      </c>
      <c r="K12" s="11">
        <f>+$B12*[28]Allocation!AE11</f>
        <v>0</v>
      </c>
      <c r="L12" s="11">
        <f>+$B12*[28]Allocation!AF11</f>
        <v>0</v>
      </c>
      <c r="M12" s="11">
        <f>+$B12*[28]Allocation!AG11</f>
        <v>0</v>
      </c>
      <c r="N12" s="12">
        <f t="shared" si="2"/>
        <v>781.10676364769461</v>
      </c>
    </row>
    <row r="13" spans="1:14" x14ac:dyDescent="0.3">
      <c r="A13" s="9">
        <f>+[27]Summary!A16</f>
        <v>45352</v>
      </c>
      <c r="B13" s="10">
        <f>+[27]Summary!H16</f>
        <v>1010.3536612073076</v>
      </c>
      <c r="C13" s="11">
        <f>+$B13*[28]Allocation!U12</f>
        <v>0</v>
      </c>
      <c r="D13" s="11">
        <f>+$B13*[28]Allocation!V12</f>
        <v>0</v>
      </c>
      <c r="E13" s="11">
        <f>+$B13*[28]Allocation!W12</f>
        <v>0</v>
      </c>
      <c r="F13" s="11">
        <f>+$B13*[28]Allocation!AH12</f>
        <v>0</v>
      </c>
      <c r="G13" s="11">
        <f>+$B13*[28]Allocation!AI12</f>
        <v>0</v>
      </c>
      <c r="H13" s="11">
        <f>+$B13*[28]Allocation!AB12</f>
        <v>0</v>
      </c>
      <c r="I13" s="11">
        <f>+$B13*[28]Allocation!AC12</f>
        <v>0</v>
      </c>
      <c r="J13" s="11">
        <f>+$B13*[28]Allocation!AD12</f>
        <v>0</v>
      </c>
      <c r="K13" s="11">
        <f>+$B13*[28]Allocation!AE12</f>
        <v>0</v>
      </c>
      <c r="L13" s="11">
        <f>+$B13*[28]Allocation!AF12</f>
        <v>0</v>
      </c>
      <c r="M13" s="11">
        <f>+$B13*[28]Allocation!AG12</f>
        <v>0</v>
      </c>
      <c r="N13" s="12">
        <f t="shared" si="2"/>
        <v>1010.3536612073076</v>
      </c>
    </row>
    <row r="14" spans="1:14" x14ac:dyDescent="0.3">
      <c r="A14" s="9">
        <f>+[27]Summary!A17</f>
        <v>45383</v>
      </c>
      <c r="B14" s="10">
        <f>+[27]Summary!H17</f>
        <v>1110.600079182419</v>
      </c>
      <c r="C14" s="11">
        <f>+$B14*[28]Allocation!U13</f>
        <v>0</v>
      </c>
      <c r="D14" s="11">
        <f>+$B14*[28]Allocation!V13</f>
        <v>0</v>
      </c>
      <c r="E14" s="11">
        <f>+$B14*[28]Allocation!W13</f>
        <v>0</v>
      </c>
      <c r="F14" s="11">
        <f>+$B14*[28]Allocation!AH13</f>
        <v>0</v>
      </c>
      <c r="G14" s="11">
        <f>+$B14*[28]Allocation!AI13</f>
        <v>0</v>
      </c>
      <c r="H14" s="11">
        <f>+$B14*[28]Allocation!AB13</f>
        <v>0</v>
      </c>
      <c r="I14" s="11">
        <f>+$B14*[28]Allocation!AC13</f>
        <v>0</v>
      </c>
      <c r="J14" s="11">
        <f>+$B14*[28]Allocation!AD13</f>
        <v>0</v>
      </c>
      <c r="K14" s="11">
        <f>+$B14*[28]Allocation!AE13</f>
        <v>0</v>
      </c>
      <c r="L14" s="11">
        <f>+$B14*[28]Allocation!AF13</f>
        <v>0</v>
      </c>
      <c r="M14" s="11">
        <f>+$B14*[28]Allocation!AG13</f>
        <v>0</v>
      </c>
      <c r="N14" s="12">
        <f t="shared" si="2"/>
        <v>1110.600079182419</v>
      </c>
    </row>
    <row r="15" spans="1:14" x14ac:dyDescent="0.3">
      <c r="A15" s="9">
        <f>+[27]Summary!A18</f>
        <v>45413</v>
      </c>
      <c r="B15" s="10">
        <f>+[27]Summary!H18</f>
        <v>1447.2988825003267</v>
      </c>
      <c r="C15" s="11">
        <f>+$B15*[28]Allocation!U14</f>
        <v>0</v>
      </c>
      <c r="D15" s="11">
        <f>+$B15*[28]Allocation!V14</f>
        <v>0</v>
      </c>
      <c r="E15" s="11">
        <f>+$B15*[28]Allocation!W14</f>
        <v>0</v>
      </c>
      <c r="F15" s="11">
        <f>+$B15*[28]Allocation!AH14</f>
        <v>0</v>
      </c>
      <c r="G15" s="11">
        <f>+$B15*[28]Allocation!AI14</f>
        <v>0</v>
      </c>
      <c r="H15" s="11">
        <f>+$B15*[28]Allocation!AB14</f>
        <v>0</v>
      </c>
      <c r="I15" s="11">
        <f>+$B15*[28]Allocation!AC14</f>
        <v>0</v>
      </c>
      <c r="J15" s="11">
        <f>+$B15*[28]Allocation!AD14</f>
        <v>0</v>
      </c>
      <c r="K15" s="11">
        <f>+$B15*[28]Allocation!AE14</f>
        <v>0</v>
      </c>
      <c r="L15" s="11">
        <f>+$B15*[28]Allocation!AF14</f>
        <v>0</v>
      </c>
      <c r="M15" s="11">
        <f>+$B15*[28]Allocation!AG14</f>
        <v>0</v>
      </c>
      <c r="N15" s="12">
        <f t="shared" si="2"/>
        <v>1447.2988825003267</v>
      </c>
    </row>
    <row r="16" spans="1:14" x14ac:dyDescent="0.3">
      <c r="A16" s="9">
        <f>+[27]Summary!A19</f>
        <v>45444</v>
      </c>
      <c r="B16" s="10">
        <f>+[27]Summary!H19</f>
        <v>1289.919267286954</v>
      </c>
      <c r="C16" s="11">
        <f>+$B16*[28]Allocation!U15</f>
        <v>0</v>
      </c>
      <c r="D16" s="11">
        <f>+$B16*[28]Allocation!V15</f>
        <v>0</v>
      </c>
      <c r="E16" s="11">
        <f>+$B16*[28]Allocation!W15</f>
        <v>0</v>
      </c>
      <c r="F16" s="11">
        <f>+$B16*[28]Allocation!AH15</f>
        <v>0</v>
      </c>
      <c r="G16" s="11">
        <f>+$B16*[28]Allocation!AI15</f>
        <v>0</v>
      </c>
      <c r="H16" s="11">
        <f>+$B16*[28]Allocation!AB15</f>
        <v>0</v>
      </c>
      <c r="I16" s="11">
        <f>+$B16*[28]Allocation!AC15</f>
        <v>0</v>
      </c>
      <c r="J16" s="11">
        <f>+$B16*[28]Allocation!AD15</f>
        <v>0</v>
      </c>
      <c r="K16" s="11">
        <f>+$B16*[28]Allocation!AE15</f>
        <v>0</v>
      </c>
      <c r="L16" s="11">
        <f>+$B16*[28]Allocation!AF15</f>
        <v>0</v>
      </c>
      <c r="M16" s="11">
        <f>+$B16*[28]Allocation!AG15</f>
        <v>0</v>
      </c>
      <c r="N16" s="12">
        <f t="shared" si="2"/>
        <v>1289.919267286954</v>
      </c>
    </row>
    <row r="17" spans="1:14" x14ac:dyDescent="0.3">
      <c r="A17" s="9">
        <f>+[27]Summary!A20</f>
        <v>45474</v>
      </c>
      <c r="B17" s="10">
        <f>+[27]Summary!H20</f>
        <v>1694.9328809941944</v>
      </c>
      <c r="C17" s="11">
        <f>+$B17*[28]Allocation!U16</f>
        <v>0</v>
      </c>
      <c r="D17" s="11">
        <f>+$B17*[28]Allocation!V16</f>
        <v>0</v>
      </c>
      <c r="E17" s="11">
        <f>+$B17*[28]Allocation!W16</f>
        <v>0</v>
      </c>
      <c r="F17" s="11">
        <f>+$B17*[28]Allocation!AH16</f>
        <v>0</v>
      </c>
      <c r="G17" s="11">
        <f>+$B17*[28]Allocation!AI16</f>
        <v>0</v>
      </c>
      <c r="H17" s="11">
        <f>+$B17*[28]Allocation!AB16</f>
        <v>0</v>
      </c>
      <c r="I17" s="11">
        <f>+$B17*[28]Allocation!AC16</f>
        <v>0</v>
      </c>
      <c r="J17" s="11">
        <f>+$B17*[28]Allocation!AD16</f>
        <v>0</v>
      </c>
      <c r="K17" s="11">
        <f>+$B17*[28]Allocation!AE16</f>
        <v>0</v>
      </c>
      <c r="L17" s="11">
        <f>+$B17*[28]Allocation!AF16</f>
        <v>0</v>
      </c>
      <c r="M17" s="11">
        <f>+$B17*[28]Allocation!AG16</f>
        <v>0</v>
      </c>
      <c r="N17" s="12">
        <f t="shared" si="2"/>
        <v>1694.9328809941944</v>
      </c>
    </row>
    <row r="18" spans="1:14" x14ac:dyDescent="0.3">
      <c r="A18" s="9">
        <f>+[27]Summary!A21</f>
        <v>45505</v>
      </c>
      <c r="B18" s="10">
        <f>+[27]Summary!H21</f>
        <v>2847.643824507948</v>
      </c>
      <c r="C18" s="11">
        <f>+$B18*[28]Allocation!U17</f>
        <v>0</v>
      </c>
      <c r="D18" s="11">
        <f>+$B18*[28]Allocation!V17</f>
        <v>0</v>
      </c>
      <c r="E18" s="11">
        <f>+$B18*[28]Allocation!W17</f>
        <v>0</v>
      </c>
      <c r="F18" s="11">
        <f>+$B18*[28]Allocation!AH17</f>
        <v>0</v>
      </c>
      <c r="G18" s="11">
        <f>+$B18*[28]Allocation!AI17</f>
        <v>0</v>
      </c>
      <c r="H18" s="11">
        <f>+$B18*[28]Allocation!AB17</f>
        <v>0</v>
      </c>
      <c r="I18" s="11">
        <f>+$B18*[28]Allocation!AC17</f>
        <v>0</v>
      </c>
      <c r="J18" s="11">
        <f>+$B18*[28]Allocation!AD17</f>
        <v>0</v>
      </c>
      <c r="K18" s="11">
        <f>+$B18*[28]Allocation!AE17</f>
        <v>0</v>
      </c>
      <c r="L18" s="11">
        <f>+$B18*[28]Allocation!AF17</f>
        <v>0</v>
      </c>
      <c r="M18" s="11">
        <f>+$B18*[28]Allocation!AG17</f>
        <v>0</v>
      </c>
      <c r="N18" s="12">
        <f t="shared" si="2"/>
        <v>2847.643824507948</v>
      </c>
    </row>
    <row r="19" spans="1:14" x14ac:dyDescent="0.3">
      <c r="A19" s="9">
        <f>+[27]Summary!A22</f>
        <v>45536</v>
      </c>
      <c r="B19" s="10">
        <f>+[27]Summary!H22</f>
        <v>2440.8600483703922</v>
      </c>
      <c r="C19" s="11">
        <f>+$B19*[28]Allocation!U18</f>
        <v>0</v>
      </c>
      <c r="D19" s="11">
        <f>+$B19*[28]Allocation!V18</f>
        <v>0</v>
      </c>
      <c r="E19" s="11">
        <f>+$B19*[28]Allocation!W18</f>
        <v>0</v>
      </c>
      <c r="F19" s="11">
        <f>+$B19*[28]Allocation!AH18</f>
        <v>0</v>
      </c>
      <c r="G19" s="11">
        <f>+$B19*[28]Allocation!AI18</f>
        <v>0</v>
      </c>
      <c r="H19" s="11">
        <f>+$B19*[28]Allocation!AB18</f>
        <v>0</v>
      </c>
      <c r="I19" s="11">
        <f>+$B19*[28]Allocation!AC18</f>
        <v>0</v>
      </c>
      <c r="J19" s="11">
        <f>+$B19*[28]Allocation!AD18</f>
        <v>0</v>
      </c>
      <c r="K19" s="11">
        <f>+$B19*[28]Allocation!AE18</f>
        <v>0</v>
      </c>
      <c r="L19" s="11">
        <f>+$B19*[28]Allocation!AF18</f>
        <v>0</v>
      </c>
      <c r="M19" s="11">
        <f>+$B19*[28]Allocation!AG18</f>
        <v>0</v>
      </c>
      <c r="N19" s="12">
        <f t="shared" si="2"/>
        <v>2440.8600483703922</v>
      </c>
    </row>
    <row r="20" spans="1:14" x14ac:dyDescent="0.3">
      <c r="A20" s="9">
        <f>+[27]Summary!A23</f>
        <v>45566</v>
      </c>
      <c r="B20" s="10">
        <f>+[27]Summary!H23</f>
        <v>4107.8313481451769</v>
      </c>
      <c r="C20" s="11">
        <f>+$B20*[28]Allocation!U19</f>
        <v>0</v>
      </c>
      <c r="D20" s="11">
        <f>+$B20*[28]Allocation!V19</f>
        <v>0</v>
      </c>
      <c r="E20" s="11">
        <f>+$B20*[28]Allocation!W19</f>
        <v>0</v>
      </c>
      <c r="F20" s="11">
        <f>+$B20*[28]Allocation!AH19</f>
        <v>0</v>
      </c>
      <c r="G20" s="11">
        <f>+$B20*[28]Allocation!AI19</f>
        <v>0</v>
      </c>
      <c r="H20" s="11">
        <f>+$B20*[28]Allocation!AB19</f>
        <v>0</v>
      </c>
      <c r="I20" s="11">
        <f>+$B20*[28]Allocation!AC19</f>
        <v>0</v>
      </c>
      <c r="J20" s="11">
        <f>+$B20*[28]Allocation!AD19</f>
        <v>0</v>
      </c>
      <c r="K20" s="11">
        <f>+$B20*[28]Allocation!AE19</f>
        <v>0</v>
      </c>
      <c r="L20" s="11">
        <f>+$B20*[28]Allocation!AF19</f>
        <v>0</v>
      </c>
      <c r="M20" s="11">
        <f>+$B20*[28]Allocation!AG19</f>
        <v>0</v>
      </c>
      <c r="N20" s="12">
        <f t="shared" si="2"/>
        <v>4107.8313481451769</v>
      </c>
    </row>
    <row r="21" spans="1:14" x14ac:dyDescent="0.3">
      <c r="A21" s="9">
        <f>+[27]Summary!A24</f>
        <v>45597</v>
      </c>
      <c r="B21" s="10">
        <f>+[27]Summary!H24</f>
        <v>3571.855623320429</v>
      </c>
      <c r="C21" s="11">
        <f>+$B21*[28]Allocation!U20</f>
        <v>0</v>
      </c>
      <c r="D21" s="11">
        <f>+$B21*[28]Allocation!V20</f>
        <v>0</v>
      </c>
      <c r="E21" s="11">
        <f>+$B21*[28]Allocation!W20</f>
        <v>0</v>
      </c>
      <c r="F21" s="11">
        <f>+$B21*[28]Allocation!AH20</f>
        <v>0</v>
      </c>
      <c r="G21" s="11">
        <f>+$B21*[28]Allocation!AI20</f>
        <v>0</v>
      </c>
      <c r="H21" s="11">
        <f>+$B21*[28]Allocation!AB20</f>
        <v>0</v>
      </c>
      <c r="I21" s="11">
        <f>+$B21*[28]Allocation!AC20</f>
        <v>0</v>
      </c>
      <c r="J21" s="11">
        <f>+$B21*[28]Allocation!AD20</f>
        <v>0</v>
      </c>
      <c r="K21" s="11">
        <f>+$B21*[28]Allocation!AE20</f>
        <v>0</v>
      </c>
      <c r="L21" s="11">
        <f>+$B21*[28]Allocation!AF20</f>
        <v>0</v>
      </c>
      <c r="M21" s="11">
        <f>+$B21*[28]Allocation!AG20</f>
        <v>0</v>
      </c>
      <c r="N21" s="12">
        <f t="shared" si="2"/>
        <v>3571.855623320429</v>
      </c>
    </row>
    <row r="22" spans="1:14" x14ac:dyDescent="0.3">
      <c r="A22" s="9">
        <f>+[27]Summary!A25</f>
        <v>45627</v>
      </c>
      <c r="B22" s="10">
        <f>+[27]Summary!H25</f>
        <v>4246.6725183626259</v>
      </c>
      <c r="C22" s="11">
        <f>+$B22*[28]Allocation!U21</f>
        <v>0</v>
      </c>
      <c r="D22" s="11">
        <f>+$B22*[28]Allocation!V21</f>
        <v>0</v>
      </c>
      <c r="E22" s="11">
        <f>+$B22*[28]Allocation!W21</f>
        <v>0</v>
      </c>
      <c r="F22" s="11">
        <f>+$B22*[28]Allocation!AH21</f>
        <v>0</v>
      </c>
      <c r="G22" s="11">
        <f>+$B22*[28]Allocation!AI21</f>
        <v>0</v>
      </c>
      <c r="H22" s="11">
        <f>+$B22*[28]Allocation!AB21</f>
        <v>0</v>
      </c>
      <c r="I22" s="11">
        <f>+$B22*[28]Allocation!AC21</f>
        <v>0</v>
      </c>
      <c r="J22" s="11">
        <f>+$B22*[28]Allocation!AD21</f>
        <v>0</v>
      </c>
      <c r="K22" s="11">
        <f>+$B22*[28]Allocation!AE21</f>
        <v>0</v>
      </c>
      <c r="L22" s="11">
        <f>+$B22*[28]Allocation!AF21</f>
        <v>0</v>
      </c>
      <c r="M22" s="11">
        <f>+$B22*[28]Allocation!AG21</f>
        <v>0</v>
      </c>
      <c r="N22" s="12">
        <f t="shared" si="2"/>
        <v>4246.6725183626259</v>
      </c>
    </row>
    <row r="23" spans="1:14" x14ac:dyDescent="0.3">
      <c r="A23" s="9">
        <f>+[27]Summary!A26</f>
        <v>45658</v>
      </c>
      <c r="B23" s="10">
        <f>+[27]Summary!H26</f>
        <v>5097.2929434053076</v>
      </c>
      <c r="C23" s="11">
        <f>+$B23*[28]Allocation!U22</f>
        <v>0</v>
      </c>
      <c r="D23" s="11">
        <f>+$B23*[28]Allocation!V22</f>
        <v>0</v>
      </c>
      <c r="E23" s="11">
        <f>+$B23*[28]Allocation!W22</f>
        <v>0</v>
      </c>
      <c r="F23" s="11">
        <f>+$B23*[28]Allocation!AH22</f>
        <v>0</v>
      </c>
      <c r="G23" s="11">
        <f>+$B23*[28]Allocation!AI22</f>
        <v>0</v>
      </c>
      <c r="H23" s="11">
        <f>+$B23*[28]Allocation!AB22</f>
        <v>0</v>
      </c>
      <c r="I23" s="11">
        <f>+$B23*[28]Allocation!AC22</f>
        <v>0</v>
      </c>
      <c r="J23" s="11">
        <f>+$B23*[28]Allocation!AD22</f>
        <v>0</v>
      </c>
      <c r="K23" s="11">
        <f>+$B23*[28]Allocation!AE22</f>
        <v>0</v>
      </c>
      <c r="L23" s="11">
        <f>+$B23*[28]Allocation!AF22</f>
        <v>0</v>
      </c>
      <c r="M23" s="11">
        <f>+$B23*[28]Allocation!AG22</f>
        <v>0</v>
      </c>
      <c r="N23" s="12">
        <f t="shared" si="2"/>
        <v>5097.2929434053076</v>
      </c>
    </row>
    <row r="24" spans="1:14" x14ac:dyDescent="0.3">
      <c r="A24" s="9">
        <f>+[27]Summary!A27</f>
        <v>45689</v>
      </c>
      <c r="B24" s="10">
        <f>+[27]Summary!H27</f>
        <v>9386.2545881313708</v>
      </c>
      <c r="C24" s="11">
        <f>+$B24*[28]Allocation!U23</f>
        <v>0</v>
      </c>
      <c r="D24" s="11">
        <f>+$B24*[28]Allocation!V23</f>
        <v>0</v>
      </c>
      <c r="E24" s="11">
        <f>+$B24*[28]Allocation!W23</f>
        <v>0</v>
      </c>
      <c r="F24" s="11">
        <f>+$B24*[28]Allocation!AH23</f>
        <v>0</v>
      </c>
      <c r="G24" s="11">
        <f>+$B24*[28]Allocation!AI23</f>
        <v>0</v>
      </c>
      <c r="H24" s="11">
        <f>+$B24*[28]Allocation!AB23</f>
        <v>0</v>
      </c>
      <c r="I24" s="11">
        <f>+$B24*[28]Allocation!AC23</f>
        <v>0</v>
      </c>
      <c r="J24" s="11">
        <f>+$B24*[28]Allocation!AD23</f>
        <v>0</v>
      </c>
      <c r="K24" s="11">
        <f>+$B24*[28]Allocation!AE23</f>
        <v>0</v>
      </c>
      <c r="L24" s="11">
        <f>+$B24*[28]Allocation!AF23</f>
        <v>0</v>
      </c>
      <c r="M24" s="11">
        <f>+$B24*[28]Allocation!AG23</f>
        <v>0</v>
      </c>
      <c r="N24" s="12">
        <f t="shared" si="2"/>
        <v>9386.2545881313708</v>
      </c>
    </row>
    <row r="25" spans="1:14" x14ac:dyDescent="0.3">
      <c r="A25" s="9">
        <f>+[27]Summary!A28</f>
        <v>45717</v>
      </c>
      <c r="B25" s="10">
        <f>+[27]Summary!H28</f>
        <v>16167.193776677741</v>
      </c>
      <c r="C25" s="11">
        <f>+$B25*[28]Allocation!U24</f>
        <v>0</v>
      </c>
      <c r="D25" s="11">
        <f>+$B25*[28]Allocation!V24</f>
        <v>0</v>
      </c>
      <c r="E25" s="11">
        <f>+$B25*[28]Allocation!W24</f>
        <v>0</v>
      </c>
      <c r="F25" s="11">
        <f>+$B25*[28]Allocation!AH24</f>
        <v>0</v>
      </c>
      <c r="G25" s="11">
        <f>+$B25*[28]Allocation!AI24</f>
        <v>0</v>
      </c>
      <c r="H25" s="11">
        <f>+$B25*[28]Allocation!AB24</f>
        <v>0</v>
      </c>
      <c r="I25" s="11">
        <f>+$B25*[28]Allocation!AC24</f>
        <v>0</v>
      </c>
      <c r="J25" s="11">
        <f>+$B25*[28]Allocation!AD24</f>
        <v>0</v>
      </c>
      <c r="K25" s="11">
        <f>+$B25*[28]Allocation!AE24</f>
        <v>0</v>
      </c>
      <c r="L25" s="11">
        <f>+$B25*[28]Allocation!AF24</f>
        <v>0</v>
      </c>
      <c r="M25" s="11">
        <f>+$B25*[28]Allocation!AG24</f>
        <v>0</v>
      </c>
      <c r="N25" s="12">
        <f t="shared" si="2"/>
        <v>16167.193776677741</v>
      </c>
    </row>
    <row r="26" spans="1:14" x14ac:dyDescent="0.3">
      <c r="A26" s="9">
        <f>+[27]Summary!A29</f>
        <v>45748</v>
      </c>
      <c r="B26" s="10">
        <f>+[27]Summary!H29</f>
        <v>-20842.32</v>
      </c>
      <c r="C26" s="11">
        <f>+$B26*[28]Allocation!U25</f>
        <v>0</v>
      </c>
      <c r="D26" s="11">
        <f>+$B26*[28]Allocation!V25</f>
        <v>0</v>
      </c>
      <c r="E26" s="11">
        <f>+$B26*[28]Allocation!W25</f>
        <v>0</v>
      </c>
      <c r="F26" s="11">
        <f>+$B26*[28]Allocation!AH25</f>
        <v>0</v>
      </c>
      <c r="G26" s="11">
        <f>+$B26*[28]Allocation!AI25</f>
        <v>0</v>
      </c>
      <c r="H26" s="11">
        <f>+$B26*[28]Allocation!AB25</f>
        <v>0</v>
      </c>
      <c r="I26" s="11">
        <f>+$B26*[28]Allocation!AC25</f>
        <v>0</v>
      </c>
      <c r="J26" s="11">
        <f>+$B26*[28]Allocation!AD25</f>
        <v>0</v>
      </c>
      <c r="K26" s="11">
        <f>+$B26*[28]Allocation!AE25</f>
        <v>0</v>
      </c>
      <c r="L26" s="11">
        <f>+$B26*[28]Allocation!AF25</f>
        <v>0</v>
      </c>
      <c r="M26" s="11">
        <f>+$B26*[28]Allocation!AG25</f>
        <v>0</v>
      </c>
      <c r="N26" s="12">
        <f t="shared" si="2"/>
        <v>-20842.32</v>
      </c>
    </row>
    <row r="27" spans="1:14" x14ac:dyDescent="0.3">
      <c r="A27" s="9">
        <f>+[27]Summary!A30</f>
        <v>45778</v>
      </c>
      <c r="B27" s="10">
        <f>+[27]Summary!H30</f>
        <v>-1003.4200000000001</v>
      </c>
      <c r="C27" s="11">
        <f>+$B27*[28]Allocation!U26</f>
        <v>0</v>
      </c>
      <c r="D27" s="11">
        <f>+$B27*[28]Allocation!V26</f>
        <v>0</v>
      </c>
      <c r="E27" s="11">
        <f>+$B27*[28]Allocation!W26</f>
        <v>0</v>
      </c>
      <c r="F27" s="11">
        <f>+$B27*[28]Allocation!AH26</f>
        <v>0</v>
      </c>
      <c r="G27" s="11">
        <f>+$B27*[28]Allocation!AI26</f>
        <v>0</v>
      </c>
      <c r="H27" s="11">
        <f>+$B27*[28]Allocation!AB26</f>
        <v>0</v>
      </c>
      <c r="I27" s="11">
        <f>+$B27*[28]Allocation!AC26</f>
        <v>0</v>
      </c>
      <c r="J27" s="11">
        <f>+$B27*[28]Allocation!AD26</f>
        <v>0</v>
      </c>
      <c r="K27" s="11">
        <f>+$B27*[28]Allocation!AE26</f>
        <v>0</v>
      </c>
      <c r="L27" s="11">
        <f>+$B27*[28]Allocation!AF26</f>
        <v>0</v>
      </c>
      <c r="M27" s="11">
        <f>+$B27*[28]Allocation!AG26</f>
        <v>0</v>
      </c>
      <c r="N27" s="12">
        <f t="shared" si="2"/>
        <v>-1003.4200000000001</v>
      </c>
    </row>
    <row r="28" spans="1:14" x14ac:dyDescent="0.3">
      <c r="A28" s="9">
        <f>+[27]Summary!A31</f>
        <v>45809</v>
      </c>
      <c r="B28" s="10">
        <f>+[27]Summary!H31</f>
        <v>0</v>
      </c>
      <c r="C28" s="11">
        <f>+$B28*[28]Allocation!U27</f>
        <v>0</v>
      </c>
      <c r="D28" s="11">
        <f>+$B28*[28]Allocation!V27</f>
        <v>0</v>
      </c>
      <c r="E28" s="11">
        <f>+$B28*[28]Allocation!W27</f>
        <v>0</v>
      </c>
      <c r="F28" s="11">
        <f>+$B28*[28]Allocation!AH27</f>
        <v>0</v>
      </c>
      <c r="G28" s="11">
        <f>+$B28*[28]Allocation!AI27</f>
        <v>0</v>
      </c>
      <c r="H28" s="11">
        <f>+$B28*[28]Allocation!AB27</f>
        <v>0</v>
      </c>
      <c r="I28" s="11">
        <f>+$B28*[28]Allocation!AC27</f>
        <v>0</v>
      </c>
      <c r="J28" s="11">
        <f>+$B28*[28]Allocation!AD27</f>
        <v>0</v>
      </c>
      <c r="K28" s="11">
        <f>+$B28*[28]Allocation!AE27</f>
        <v>0</v>
      </c>
      <c r="L28" s="11">
        <f>+$B28*[28]Allocation!AF27</f>
        <v>0</v>
      </c>
      <c r="M28" s="11">
        <f>+$B28*[28]Allocation!AG27</f>
        <v>0</v>
      </c>
      <c r="N28" s="12">
        <f t="shared" si="2"/>
        <v>0</v>
      </c>
    </row>
    <row r="29" spans="1:14" x14ac:dyDescent="0.3">
      <c r="A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XCH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2024-08-16T11:17:23Z</dcterms:created>
  <dcterms:modified xsi:type="dcterms:W3CDTF">2025-07-04T15:38:07Z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