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13_ncr:1_{0766BBB1-2793-4F64-AA36-91685054C4C1}" xr6:coauthVersionLast="47" xr6:coauthVersionMax="47" xr10:uidLastSave="{00000000-0000-0000-0000-000000000000}"/>
  <bookViews>
    <workbookView xWindow="-110" yWindow="-110" windowWidth="19420" windowHeight="11620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F26" i="1"/>
  <c r="E26" i="1"/>
  <c r="D26" i="1"/>
  <c r="C26" i="1"/>
  <c r="B26" i="1"/>
  <c r="A26" i="1"/>
  <c r="D16" i="1" l="1"/>
  <c r="D6" i="1"/>
  <c r="D17" i="1" l="1"/>
  <c r="D7" i="1"/>
  <c r="B14" i="1"/>
  <c r="B15" i="1"/>
  <c r="B17" i="1"/>
  <c r="C17" i="1" s="1"/>
  <c r="C15" i="1" l="1"/>
  <c r="C14" i="1"/>
  <c r="D8" i="1"/>
  <c r="D18" i="1"/>
  <c r="E17" i="1"/>
  <c r="F17" i="1" s="1"/>
  <c r="E15" i="1"/>
  <c r="E14" i="1"/>
  <c r="D9" i="1" l="1"/>
  <c r="D10" i="1" s="1"/>
  <c r="D11" i="1" s="1"/>
  <c r="D12" i="1" s="1"/>
  <c r="D13" i="1" s="1"/>
  <c r="D19" i="1"/>
  <c r="F14" i="1"/>
  <c r="F15" i="1"/>
  <c r="B18" i="1"/>
  <c r="C18" i="1" s="1"/>
  <c r="E18" i="1" l="1"/>
  <c r="F18" i="1" s="1"/>
  <c r="B10" i="1" l="1"/>
  <c r="C10" i="1" s="1"/>
  <c r="B9" i="1"/>
  <c r="C9" i="1" s="1"/>
  <c r="B7" i="1"/>
  <c r="C7" i="1" s="1"/>
  <c r="B5" i="1"/>
  <c r="C5" i="1" s="1"/>
  <c r="B13" i="1" l="1"/>
  <c r="C13" i="1" s="1"/>
  <c r="B16" i="1"/>
  <c r="C16" i="1" s="1"/>
  <c r="B12" i="1"/>
  <c r="C12" i="1" s="1"/>
  <c r="B11" i="1"/>
  <c r="C11" i="1" s="1"/>
  <c r="B8" i="1"/>
  <c r="C8" i="1" s="1"/>
  <c r="B6" i="1"/>
  <c r="C6" i="1" s="1"/>
  <c r="B19" i="1"/>
  <c r="C19" i="1" s="1"/>
  <c r="E10" i="1"/>
  <c r="F10" i="1" s="1"/>
  <c r="E9" i="1"/>
  <c r="F9" i="1" s="1"/>
  <c r="E7" i="1"/>
  <c r="F7" i="1" s="1"/>
  <c r="B21" i="1"/>
  <c r="E5" i="1"/>
  <c r="F5" i="1" s="1"/>
  <c r="C21" i="1" l="1"/>
  <c r="E19" i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E21" i="1"/>
  <c r="F19" i="1" l="1"/>
  <c r="F21" i="1"/>
  <c r="K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<sst xmlns="http://schemas.openxmlformats.org/spreadsheetml/2006/main" count="36" uniqueCount="36">
  <si>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</si>
  <si>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</si>
  <si>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</si>
  <si>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</si>
  <si>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</si>
  <si>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</si>
  <si>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</si>
  <si>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</si>
  <si>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</si>
  <si>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</si>
  <si>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</si>
  <si>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</si>
  <si>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</si>
  <si>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</si>
  <si>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</si>
  <si>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</si>
  <si>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</si>
  <si>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</si>
  <si>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</si>
  <si>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</si>
  <si>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</si>
  <si>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</si>
  <si>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</si>
  <si>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Claims Liability Reserves at Septmeber 2024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</si>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</sst>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17" fontId="0" fillId="3" borderId="0" xfId="0" applyNumberFormat="1" applyFill="1"/>
    <xf numFmtId="164" fontId="0" fillId="0" borderId="0" xfId="2" applyNumberFormat="1" applyFont="1" applyFill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microsoft.com/office/2017/10/relationships/person" Target="persons/perso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7619.8399568031218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119547.49906658725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9129.1638785080067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13784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110893.3087176971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39594.873868356415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8">
          <cell r="A8">
            <v>44805</v>
          </cell>
        </row>
        <row r="33">
          <cell r="H33">
            <v>641795.09928444633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/>
      <sheetData sheetId="1">
        <row r="4">
          <cell r="C4">
            <v>-0.15809138743189935</v>
          </cell>
          <cell r="D4">
            <v>-0.1100480846757419</v>
          </cell>
          <cell r="E4">
            <v>274.04327134294022</v>
          </cell>
          <cell r="F4">
            <v>70014.37883711599</v>
          </cell>
          <cell r="G4">
            <v>567773.39487239753</v>
          </cell>
          <cell r="H4">
            <v>10.28437413489991</v>
          </cell>
          <cell r="I4">
            <v>642.12026665509279</v>
          </cell>
          <cell r="J4">
            <v>3075.4681480472773</v>
          </cell>
          <cell r="K4">
            <v>0</v>
          </cell>
          <cell r="L4">
            <v>5.6776542247191424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3390.3031220563489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47305.874897223257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106873.12785662692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56798.012568008111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53940.900161165511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121050.45028156454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156602.22053567567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43588.86801584877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K26"/>
  <sheetViews>
    <sheetView tabSelected="1" topLeftCell="A6" workbookViewId="0">
      <selection activeCell="A26" sqref="A26"/>
    </sheetView>
  </sheetViews>
  <sheetFormatPr defaultRowHeight="11.5" x14ac:dyDescent="0.25"/>
  <cols>
    <col min="1" max="1" width="16.25" bestFit="1" customWidth="1"/>
    <col min="2" max="2" width="15.75" customWidth="1"/>
    <col min="3" max="3" width="16.75" bestFit="1" customWidth="1"/>
    <col min="4" max="4" width="12.125" customWidth="1"/>
    <col min="5" max="5" width="19.375" bestFit="1" customWidth="1"/>
    <col min="6" max="6" width="21.375" bestFit="1" customWidth="1"/>
    <col min="7" max="7" width="12.625" bestFit="1" customWidth="1"/>
    <col min="8" max="8" width="16.625" bestFit="1" customWidth="1"/>
    <col min="9" max="10" width="12.625" bestFit="1" customWidth="1"/>
    <col min="11" max="11" width="19.375" bestFit="1" customWidth="1"/>
  </cols>
  <sheetData>
    <row r="2" spans="1:8" x14ac:dyDescent="0.25">
      <c r="B2" s="6" t="s">
        <v>23</v>
      </c>
    </row>
    <row r="4" spans="1:8" ht="12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8" x14ac:dyDescent="0.25">
      <c r="A5" t="s">
        <v>5</v>
      </c>
      <c r="B5" s="9">
        <f>+[1]Summary!$H$33</f>
        <v>7619.8399568031218</v>
      </c>
      <c r="C5" s="9">
        <f t="shared" ref="C5:C19" si="0">+B5*$C$22</f>
        <v>380.9919978401561</v>
      </c>
      <c r="D5" s="4">
        <v>7.4999999999999997E-2</v>
      </c>
      <c r="E5" s="8">
        <f>+B5*D5</f>
        <v>571.48799676023407</v>
      </c>
      <c r="F5" s="8">
        <f>+B5+C5+E5</f>
        <v>8572.3199514035114</v>
      </c>
      <c r="H5" s="14">
        <v>45536</v>
      </c>
    </row>
    <row r="6" spans="1:8" x14ac:dyDescent="0.25">
      <c r="A6" t="s">
        <v>6</v>
      </c>
      <c r="B6" s="9">
        <f>+[2]Summary!$H$33</f>
        <v>3390.3031220563489</v>
      </c>
      <c r="C6" s="9">
        <f t="shared" si="0"/>
        <v>169.51515610281746</v>
      </c>
      <c r="D6" s="3">
        <f>+D5</f>
        <v>7.4999999999999997E-2</v>
      </c>
      <c r="E6" s="8">
        <f t="shared" ref="E6:E19" si="1">+B6*D6</f>
        <v>254.27273415422616</v>
      </c>
      <c r="F6" s="8">
        <f t="shared" ref="F6:F19" si="2">+B6+C6+E6</f>
        <v>3814.0910123133926</v>
      </c>
      <c r="H6" s="14">
        <v>45536</v>
      </c>
    </row>
    <row r="7" spans="1:8" x14ac:dyDescent="0.25">
      <c r="A7" t="s">
        <v>15</v>
      </c>
      <c r="B7" s="9">
        <f>+[3]Summary!$H$33</f>
        <v>47305.874897223257</v>
      </c>
      <c r="C7" s="9">
        <f t="shared" si="0"/>
        <v>2365.2937448611628</v>
      </c>
      <c r="D7" s="3">
        <f t="shared" ref="D7:D13" si="3">+D6</f>
        <v>7.4999999999999997E-2</v>
      </c>
      <c r="E7" s="8">
        <f t="shared" si="1"/>
        <v>3547.9406172917443</v>
      </c>
      <c r="F7" s="8">
        <f t="shared" si="2"/>
        <v>53219.109259376164</v>
      </c>
      <c r="H7" s="14">
        <v>45536</v>
      </c>
    </row>
    <row r="8" spans="1:8" x14ac:dyDescent="0.25">
      <c r="A8" t="s">
        <v>7</v>
      </c>
      <c r="B8" s="9">
        <f>+[4]Summary!$H$33</f>
        <v>106873.12785662692</v>
      </c>
      <c r="C8" s="9">
        <f t="shared" si="0"/>
        <v>5343.6563928313462</v>
      </c>
      <c r="D8" s="3">
        <f t="shared" si="3"/>
        <v>7.4999999999999997E-2</v>
      </c>
      <c r="E8" s="8">
        <f t="shared" si="1"/>
        <v>8015.4845892470184</v>
      </c>
      <c r="F8" s="8">
        <f t="shared" si="2"/>
        <v>120232.26883870528</v>
      </c>
      <c r="H8" s="14">
        <v>45536</v>
      </c>
    </row>
    <row r="9" spans="1:8" x14ac:dyDescent="0.25">
      <c r="A9" t="s">
        <v>8</v>
      </c>
      <c r="B9" s="9">
        <f>+[5]Summary!$H$33</f>
        <v>56798.012568008111</v>
      </c>
      <c r="C9" s="9">
        <f t="shared" si="0"/>
        <v>2839.9006284004058</v>
      </c>
      <c r="D9" s="3">
        <f t="shared" si="3"/>
        <v>7.4999999999999997E-2</v>
      </c>
      <c r="E9" s="8">
        <f t="shared" si="1"/>
        <v>4259.8509426006085</v>
      </c>
      <c r="F9" s="8">
        <f t="shared" si="2"/>
        <v>63897.764139009123</v>
      </c>
      <c r="H9" s="14">
        <v>45536</v>
      </c>
    </row>
    <row r="10" spans="1:8" x14ac:dyDescent="0.25">
      <c r="A10" t="s">
        <v>9</v>
      </c>
      <c r="B10" s="9">
        <f>+[6]Summary!$H$33</f>
        <v>53940.900161165511</v>
      </c>
      <c r="C10" s="9">
        <f t="shared" si="0"/>
        <v>2697.0450080582759</v>
      </c>
      <c r="D10" s="3">
        <f t="shared" si="3"/>
        <v>7.4999999999999997E-2</v>
      </c>
      <c r="E10" s="8">
        <f t="shared" si="1"/>
        <v>4045.567512087413</v>
      </c>
      <c r="F10" s="8">
        <f t="shared" si="2"/>
        <v>60683.5126813112</v>
      </c>
      <c r="H10" s="14">
        <v>45536</v>
      </c>
    </row>
    <row r="11" spans="1:8" x14ac:dyDescent="0.25">
      <c r="A11" t="s">
        <v>10</v>
      </c>
      <c r="B11" s="9">
        <f>+[7]Summary!$H$33</f>
        <v>121050.45028156454</v>
      </c>
      <c r="C11" s="9">
        <f t="shared" si="0"/>
        <v>6052.5225140782277</v>
      </c>
      <c r="D11" s="3">
        <f t="shared" si="3"/>
        <v>7.4999999999999997E-2</v>
      </c>
      <c r="E11" s="8">
        <f t="shared" si="1"/>
        <v>9078.7837711173397</v>
      </c>
      <c r="F11" s="8">
        <f t="shared" si="2"/>
        <v>136181.7565667601</v>
      </c>
      <c r="H11" s="14">
        <v>45536</v>
      </c>
    </row>
    <row r="12" spans="1:8" x14ac:dyDescent="0.25">
      <c r="A12" t="s">
        <v>11</v>
      </c>
      <c r="B12" s="9">
        <f>+[8]Summary!$H$33</f>
        <v>156602.22053567567</v>
      </c>
      <c r="C12" s="9">
        <f t="shared" si="0"/>
        <v>7830.1110267837839</v>
      </c>
      <c r="D12" s="3">
        <f t="shared" si="3"/>
        <v>7.4999999999999997E-2</v>
      </c>
      <c r="E12" s="17">
        <f t="shared" si="1"/>
        <v>11745.166540175675</v>
      </c>
      <c r="F12" s="17">
        <f t="shared" si="2"/>
        <v>176177.49810263515</v>
      </c>
      <c r="H12" s="14">
        <v>45536</v>
      </c>
    </row>
    <row r="13" spans="1:8" x14ac:dyDescent="0.25">
      <c r="A13" t="s">
        <v>12</v>
      </c>
      <c r="B13" s="9">
        <f>+[9]Summary!$H$33</f>
        <v>43588.86801584877</v>
      </c>
      <c r="C13" s="9">
        <f t="shared" si="0"/>
        <v>2179.4434007924388</v>
      </c>
      <c r="D13" s="3">
        <f t="shared" si="3"/>
        <v>7.4999999999999997E-2</v>
      </c>
      <c r="E13" s="8">
        <f t="shared" si="1"/>
        <v>3269.1651011886574</v>
      </c>
      <c r="F13" s="8">
        <f t="shared" si="2"/>
        <v>49037.476517829862</v>
      </c>
      <c r="H13" s="14">
        <v>45536</v>
      </c>
    </row>
    <row r="14" spans="1:8" x14ac:dyDescent="0.25">
      <c r="A14" t="s">
        <v>19</v>
      </c>
      <c r="B14" s="9">
        <f>+[10]Summary!$H$33</f>
        <v>119547.49906658725</v>
      </c>
      <c r="C14" s="9">
        <f t="shared" si="0"/>
        <v>5977.3749533293631</v>
      </c>
      <c r="D14" s="5">
        <v>0.05</v>
      </c>
      <c r="E14" s="8">
        <f t="shared" si="1"/>
        <v>5977.3749533293631</v>
      </c>
      <c r="F14" s="8">
        <f t="shared" si="2"/>
        <v>131502.24897324597</v>
      </c>
      <c r="H14" s="14">
        <v>45536</v>
      </c>
    </row>
    <row r="15" spans="1:8" x14ac:dyDescent="0.25">
      <c r="A15" t="s">
        <v>20</v>
      </c>
      <c r="B15" s="9">
        <f>+[11]Summary!$H$33</f>
        <v>9129.1638785080067</v>
      </c>
      <c r="C15" s="9">
        <f t="shared" si="0"/>
        <v>456.45819392540034</v>
      </c>
      <c r="D15" s="5">
        <v>0.05</v>
      </c>
      <c r="E15" s="8">
        <f t="shared" si="1"/>
        <v>456.45819392540034</v>
      </c>
      <c r="F15" s="8">
        <f t="shared" si="2"/>
        <v>10042.080266358807</v>
      </c>
      <c r="H15" s="14">
        <v>45536</v>
      </c>
    </row>
    <row r="16" spans="1:8" x14ac:dyDescent="0.25">
      <c r="A16" t="s">
        <v>17</v>
      </c>
      <c r="B16" s="9">
        <f>+[12]Summary!$H$33</f>
        <v>13784</v>
      </c>
      <c r="C16" s="9">
        <f t="shared" si="0"/>
        <v>689.2</v>
      </c>
      <c r="D16" s="3">
        <f>+D5</f>
        <v>7.4999999999999997E-2</v>
      </c>
      <c r="E16" s="8">
        <f t="shared" si="1"/>
        <v>1033.8</v>
      </c>
      <c r="F16" s="8">
        <f t="shared" si="2"/>
        <v>15507</v>
      </c>
      <c r="H16" s="14">
        <v>45536</v>
      </c>
    </row>
    <row r="17" spans="1:11" x14ac:dyDescent="0.25">
      <c r="A17" t="s">
        <v>18</v>
      </c>
      <c r="B17" s="9">
        <f>+[13]Summary!$H$33</f>
        <v>110893.3087176971</v>
      </c>
      <c r="C17" s="9">
        <f t="shared" si="0"/>
        <v>5544.6654358848555</v>
      </c>
      <c r="D17" s="3">
        <f t="shared" ref="D17:D19" si="4">+D6</f>
        <v>7.4999999999999997E-2</v>
      </c>
      <c r="E17" s="8">
        <f t="shared" si="1"/>
        <v>8316.9981538272823</v>
      </c>
      <c r="F17" s="8">
        <f t="shared" si="2"/>
        <v>124754.97230740925</v>
      </c>
      <c r="H17" s="14">
        <v>45536</v>
      </c>
    </row>
    <row r="18" spans="1:11" x14ac:dyDescent="0.25">
      <c r="A18" t="s">
        <v>13</v>
      </c>
      <c r="B18" s="9">
        <f>+[14]Summary!$L$33</f>
        <v>39594.873868356415</v>
      </c>
      <c r="C18" s="9">
        <f t="shared" si="0"/>
        <v>1979.7436934178209</v>
      </c>
      <c r="D18" s="3">
        <f t="shared" si="4"/>
        <v>7.4999999999999997E-2</v>
      </c>
      <c r="E18" s="8">
        <f t="shared" si="1"/>
        <v>2969.615540126731</v>
      </c>
      <c r="F18" s="8">
        <f t="shared" si="2"/>
        <v>44544.233101900965</v>
      </c>
      <c r="H18" s="14">
        <v>45536</v>
      </c>
    </row>
    <row r="19" spans="1:11" s="10" customFormat="1" x14ac:dyDescent="0.25">
      <c r="A19" s="10" t="s">
        <v>16</v>
      </c>
      <c r="B19" s="11">
        <f>+[15]Summary!$H$33</f>
        <v>641795.09928444633</v>
      </c>
      <c r="C19" s="11">
        <f t="shared" si="0"/>
        <v>32089.754964222317</v>
      </c>
      <c r="D19" s="12">
        <f t="shared" si="4"/>
        <v>7.4999999999999997E-2</v>
      </c>
      <c r="E19" s="13">
        <f t="shared" si="1"/>
        <v>48134.632446333475</v>
      </c>
      <c r="F19" s="13">
        <f t="shared" si="2"/>
        <v>722019.48669500207</v>
      </c>
      <c r="H19" s="16">
        <v>45505</v>
      </c>
    </row>
    <row r="20" spans="1:11" x14ac:dyDescent="0.25">
      <c r="B20" s="9"/>
      <c r="C20" s="9"/>
    </row>
    <row r="21" spans="1:11" x14ac:dyDescent="0.25">
      <c r="A21" s="6" t="s">
        <v>14</v>
      </c>
      <c r="B21" s="7">
        <f>+SUM(B5:B20)</f>
        <v>1531913.5422105675</v>
      </c>
      <c r="C21" s="7">
        <f>+SUM(C5:C20)</f>
        <v>76595.67711052837</v>
      </c>
      <c r="D21" s="6"/>
      <c r="E21" s="7">
        <f>+SUM(E5:E20)</f>
        <v>111676.59909216517</v>
      </c>
      <c r="F21" s="7">
        <f>+SUM(F5:F20)</f>
        <v>1720185.8184132609</v>
      </c>
    </row>
    <row r="22" spans="1:11" x14ac:dyDescent="0.25">
      <c r="C22" s="15">
        <v>0.05</v>
      </c>
    </row>
    <row r="24" spans="1:11" x14ac:dyDescent="0.25">
      <c r="A24" s="6" t="s">
        <v>24</v>
      </c>
    </row>
    <row r="25" spans="1:11" x14ac:dyDescent="0.25">
      <c r="A25" s="6" t="s">
        <v>25</v>
      </c>
      <c r="B25" s="6" t="s">
        <v>26</v>
      </c>
      <c r="C25" s="6" t="s">
        <v>27</v>
      </c>
      <c r="D25" s="6" t="s">
        <v>28</v>
      </c>
      <c r="E25" s="6" t="s">
        <v>29</v>
      </c>
      <c r="F25" s="6" t="s">
        <v>30</v>
      </c>
      <c r="G25" s="6" t="s">
        <v>31</v>
      </c>
      <c r="H25" s="6" t="s">
        <v>32</v>
      </c>
      <c r="I25" s="6" t="s">
        <v>33</v>
      </c>
      <c r="J25" s="18" t="s">
        <v>34</v>
      </c>
      <c r="K25" s="19" t="s">
        <v>35</v>
      </c>
    </row>
    <row r="26" spans="1:11" x14ac:dyDescent="0.25">
      <c r="A26" s="8">
        <f>+'[16]XCH Allocation'!C4*(1+$D$19)+'[16]XCH Allocation'!C4*$C$22</f>
        <v>-0.17785281086088678</v>
      </c>
      <c r="B26" s="8">
        <f>+'[16]XCH Allocation'!D4*(1+$D$19)+'[16]XCH Allocation'!D4*$C$22</f>
        <v>-0.12380409526020962</v>
      </c>
      <c r="C26" s="8">
        <f>+'[16]XCH Allocation'!E4*(1+$D$19)+'[16]XCH Allocation'!E4*$C$22</f>
        <v>308.29868026080771</v>
      </c>
      <c r="D26" s="8">
        <f>+'[16]XCH Allocation'!F4*(1+$D$19)+'[16]XCH Allocation'!F4*$C$22</f>
        <v>78766.176191755483</v>
      </c>
      <c r="E26" s="8">
        <f>+'[16]XCH Allocation'!G4*(1+$D$19)+'[16]XCH Allocation'!G4*$C$22</f>
        <v>638745.06923144718</v>
      </c>
      <c r="F26" s="8">
        <f>+'[16]XCH Allocation'!H4*(1+$D$19)+'[16]XCH Allocation'!H4*$C$22</f>
        <v>11.569920901762398</v>
      </c>
      <c r="G26" s="8">
        <f>+'[16]XCH Allocation'!I4*(1+$D$19)+'[16]XCH Allocation'!I4*$C$22</f>
        <v>722.38529998697936</v>
      </c>
      <c r="H26" s="8">
        <f>+'[16]XCH Allocation'!J4*(1+$D$19)+'[16]XCH Allocation'!J4*$C$22</f>
        <v>3459.9016665531867</v>
      </c>
      <c r="I26" s="8">
        <f>+'[16]XCH Allocation'!K4*(1+$D$19)+'[16]XCH Allocation'!K4*$C$22</f>
        <v>0</v>
      </c>
      <c r="J26" s="8">
        <f>+'[16]XCH Allocation'!L4*(1+$D$19)+'[16]XCH Allocation'!L4*$C$22</f>
        <v>6.3873610028090351</v>
      </c>
      <c r="K26" s="20">
        <f>+SUM(A26:J26)-F19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2024-10-16T17:38:27Z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