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joranias\Documents\GitHub\DMI_IBNP\Process Results\"/>
    </mc:Choice>
  </mc:AlternateContent>
  <xr:revisionPtr revIDLastSave="0" documentId="13_ncr:1_{D90E49CF-0C0B-4AC7-BF80-C9D01AB39684}" xr6:coauthVersionLast="47" xr6:coauthVersionMax="47" xr10:uidLastSave="{00000000-0000-0000-0000-000000000000}"/>
  <bookViews>
    <workbookView xWindow="-110" yWindow="-110" windowWidth="19420" windowHeight="11620" activeTab="1" xr2:uid="{9B94C235-4B85-4887-832D-FBC296CFB081}"/>
  </bookViews>
  <sheets>
    <sheet name="Summary" sheetId="1" r:id="rId1"/>
    <sheet name="XCH Alloca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B28" i="2"/>
  <c r="B27" i="2"/>
  <c r="B26" i="2"/>
  <c r="B25" i="2"/>
  <c r="B24" i="2"/>
  <c r="B23" i="2"/>
  <c r="B22" i="2"/>
  <c r="B21" i="2"/>
  <c r="B20" i="2"/>
  <c r="B19" i="2"/>
  <c r="B18" i="2"/>
  <c r="B17" i="2"/>
  <c r="B16" i="2"/>
  <c r="B15" i="2"/>
  <c r="B14" i="2"/>
  <c r="B13" i="2"/>
  <c r="B12" i="2"/>
  <c r="B11" i="2"/>
  <c r="B10" i="2"/>
  <c r="B9" i="2"/>
  <c r="B8" i="2"/>
  <c r="B7" i="2"/>
  <c r="B6" i="2"/>
  <c r="B5" i="2"/>
  <c r="A28" i="2"/>
  <c r="A27" i="2"/>
  <c r="A26" i="2"/>
  <c r="A25" i="2"/>
  <c r="A24" i="2"/>
  <c r="A23" i="2"/>
  <c r="A22" i="2"/>
  <c r="A21" i="2"/>
  <c r="A20" i="2"/>
  <c r="A19" i="2"/>
  <c r="A18" i="2"/>
  <c r="A17" i="2"/>
  <c r="A16" i="2"/>
  <c r="A15" i="2"/>
  <c r="A14" i="2"/>
  <c r="A13" i="2"/>
  <c r="A12" i="2"/>
  <c r="A11" i="2"/>
  <c r="A10" i="2"/>
  <c r="A9" i="2"/>
  <c r="A8" i="2"/>
  <c r="A7" i="2"/>
  <c r="A6" i="2"/>
  <c r="A5" i="2"/>
  <c r="B11" i="1" l="1"/>
  <c r="G16" i="1"/>
  <c r="G15" i="1"/>
  <c r="G13" i="1"/>
  <c r="G12" i="1"/>
  <c r="G11" i="1"/>
  <c r="G10" i="1"/>
  <c r="G9" i="1"/>
  <c r="G8" i="1"/>
  <c r="G7" i="1"/>
  <c r="G6" i="1"/>
  <c r="G5" i="1"/>
  <c r="G4" i="1"/>
  <c r="G3" i="1"/>
  <c r="G2" i="1"/>
  <c r="G18" i="1" l="1"/>
  <c r="J11" i="1" l="1"/>
  <c r="J14" i="1"/>
  <c r="B14" i="1" l="1"/>
  <c r="J12" i="1" l="1"/>
  <c r="J16" i="1" l="1"/>
  <c r="C16" i="1"/>
  <c r="J15" i="1"/>
  <c r="C15" i="1"/>
  <c r="C14" i="1"/>
  <c r="D14" i="1" s="1"/>
  <c r="E14" i="1" s="1"/>
  <c r="K14" i="1" s="1"/>
  <c r="L14" i="1" s="1"/>
  <c r="J13" i="1"/>
  <c r="C13" i="1"/>
  <c r="D11" i="1"/>
  <c r="E11" i="1" s="1"/>
  <c r="J10" i="1"/>
  <c r="C10" i="1"/>
  <c r="J9" i="1"/>
  <c r="C9" i="1"/>
  <c r="J8" i="1"/>
  <c r="C8" i="1"/>
  <c r="J7" i="1"/>
  <c r="C7" i="1"/>
  <c r="J6" i="1"/>
  <c r="C6" i="1"/>
  <c r="J5" i="1"/>
  <c r="C5" i="1"/>
  <c r="J4" i="1"/>
  <c r="C4" i="1"/>
  <c r="J3" i="1"/>
  <c r="C3" i="1"/>
  <c r="J2" i="1"/>
  <c r="C2" i="1"/>
  <c r="K11" i="1" l="1"/>
  <c r="L11" i="1" s="1"/>
  <c r="H11" i="1"/>
  <c r="I11" i="1" s="1"/>
  <c r="B15" i="1"/>
  <c r="J18" i="1"/>
  <c r="D15" i="1" l="1"/>
  <c r="E15" i="1" s="1"/>
  <c r="K15" i="1" l="1"/>
  <c r="L15" i="1" s="1"/>
  <c r="H15" i="1"/>
  <c r="I15" i="1" s="1"/>
  <c r="B7" i="1"/>
  <c r="B6" i="1"/>
  <c r="B4" i="1"/>
  <c r="B2" i="1"/>
  <c r="B10" i="1" l="1"/>
  <c r="B13" i="1"/>
  <c r="B9" i="1"/>
  <c r="B8" i="1"/>
  <c r="B5" i="1"/>
  <c r="B3" i="1"/>
  <c r="B16" i="1"/>
  <c r="D7" i="1"/>
  <c r="E7" i="1" s="1"/>
  <c r="D6" i="1"/>
  <c r="E6" i="1" s="1"/>
  <c r="D4" i="1"/>
  <c r="E4" i="1" s="1"/>
  <c r="D2" i="1"/>
  <c r="K7" i="1" l="1"/>
  <c r="L7" i="1" s="1"/>
  <c r="H7" i="1"/>
  <c r="I7" i="1" s="1"/>
  <c r="K6" i="1"/>
  <c r="L6" i="1" s="1"/>
  <c r="H6" i="1"/>
  <c r="I6" i="1" s="1"/>
  <c r="K4" i="1"/>
  <c r="L4" i="1" s="1"/>
  <c r="H4" i="1"/>
  <c r="I4" i="1" s="1"/>
  <c r="D16" i="1"/>
  <c r="E16" i="1" s="1"/>
  <c r="D3" i="1"/>
  <c r="E3" i="1" s="1"/>
  <c r="D5" i="1"/>
  <c r="E5" i="1" s="1"/>
  <c r="D8" i="1"/>
  <c r="E8" i="1" s="1"/>
  <c r="D9" i="1"/>
  <c r="E9" i="1" s="1"/>
  <c r="D13" i="1"/>
  <c r="E13" i="1" s="1"/>
  <c r="D10" i="1"/>
  <c r="E10" i="1" s="1"/>
  <c r="E2" i="1"/>
  <c r="H2" i="1" s="1"/>
  <c r="I2" i="1" s="1"/>
  <c r="K13" i="1" l="1"/>
  <c r="L13" i="1" s="1"/>
  <c r="H13" i="1"/>
  <c r="I13" i="1" s="1"/>
  <c r="K10" i="1"/>
  <c r="L10" i="1" s="1"/>
  <c r="H10" i="1"/>
  <c r="I10" i="1" s="1"/>
  <c r="K9" i="1"/>
  <c r="L9" i="1" s="1"/>
  <c r="H9" i="1"/>
  <c r="I9" i="1" s="1"/>
  <c r="K8" i="1"/>
  <c r="L8" i="1" s="1"/>
  <c r="H8" i="1"/>
  <c r="I8" i="1" s="1"/>
  <c r="K5" i="1"/>
  <c r="L5" i="1" s="1"/>
  <c r="H5" i="1"/>
  <c r="I5" i="1" s="1"/>
  <c r="K16" i="1"/>
  <c r="L16" i="1" s="1"/>
  <c r="H16" i="1"/>
  <c r="I16" i="1" s="1"/>
  <c r="K3" i="1"/>
  <c r="L3" i="1" s="1"/>
  <c r="H3" i="1"/>
  <c r="I3" i="1"/>
  <c r="K2" i="1"/>
  <c r="L2" i="1" l="1"/>
  <c r="B12" i="1" l="1"/>
  <c r="D12" i="1" l="1"/>
  <c r="B18" i="1"/>
  <c r="E12" i="1" l="1"/>
  <c r="D18" i="1"/>
  <c r="K12" i="1" l="1"/>
  <c r="H12" i="1"/>
  <c r="E18" i="1"/>
  <c r="I12" i="1" l="1"/>
  <c r="H18" i="1"/>
  <c r="I18" i="1" s="1"/>
  <c r="L12" i="1"/>
  <c r="K18" i="1"/>
  <c r="L18" i="1" s="1"/>
  <c r="L28" i="2" l="1"/>
  <c r="K28" i="2"/>
  <c r="J28" i="2"/>
  <c r="I28" i="2"/>
  <c r="H28" i="2"/>
  <c r="G28" i="2"/>
  <c r="F28" i="2"/>
  <c r="E28" i="2"/>
  <c r="D28" i="2"/>
  <c r="L27" i="2"/>
  <c r="K27" i="2"/>
  <c r="J27" i="2"/>
  <c r="I27" i="2"/>
  <c r="H27" i="2"/>
  <c r="G27" i="2"/>
  <c r="F27" i="2"/>
  <c r="E27" i="2"/>
  <c r="D27" i="2"/>
  <c r="L26" i="2"/>
  <c r="K26" i="2"/>
  <c r="J26" i="2"/>
  <c r="I26" i="2"/>
  <c r="H26" i="2"/>
  <c r="G26" i="2"/>
  <c r="F26" i="2"/>
  <c r="E26" i="2"/>
  <c r="D26" i="2"/>
  <c r="L25" i="2"/>
  <c r="K25" i="2"/>
  <c r="J25" i="2"/>
  <c r="I25" i="2"/>
  <c r="H25" i="2"/>
  <c r="G25" i="2"/>
  <c r="F25" i="2"/>
  <c r="E25" i="2"/>
  <c r="D25" i="2"/>
  <c r="L24" i="2"/>
  <c r="K24" i="2"/>
  <c r="J24" i="2"/>
  <c r="I24" i="2"/>
  <c r="H24" i="2"/>
  <c r="G24" i="2"/>
  <c r="F24" i="2"/>
  <c r="E24" i="2"/>
  <c r="D24" i="2"/>
  <c r="L23" i="2"/>
  <c r="K23" i="2"/>
  <c r="J23" i="2"/>
  <c r="I23" i="2"/>
  <c r="H23" i="2"/>
  <c r="G23" i="2"/>
  <c r="F23" i="2"/>
  <c r="E23" i="2"/>
  <c r="D23" i="2"/>
  <c r="L22" i="2"/>
  <c r="K22" i="2"/>
  <c r="J22" i="2"/>
  <c r="I22" i="2"/>
  <c r="H22" i="2"/>
  <c r="G22" i="2"/>
  <c r="F22" i="2"/>
  <c r="E22" i="2"/>
  <c r="D22" i="2"/>
  <c r="L21" i="2"/>
  <c r="K21" i="2"/>
  <c r="J21" i="2"/>
  <c r="I21" i="2"/>
  <c r="H21" i="2"/>
  <c r="G21" i="2"/>
  <c r="F21" i="2"/>
  <c r="E21" i="2"/>
  <c r="D21" i="2"/>
  <c r="L20" i="2"/>
  <c r="K20" i="2"/>
  <c r="J20" i="2"/>
  <c r="I20" i="2"/>
  <c r="H20" i="2"/>
  <c r="G20" i="2"/>
  <c r="F20" i="2"/>
  <c r="E20" i="2"/>
  <c r="D20" i="2"/>
  <c r="L19" i="2"/>
  <c r="K19" i="2"/>
  <c r="J19" i="2"/>
  <c r="I19" i="2"/>
  <c r="H19" i="2"/>
  <c r="G19" i="2"/>
  <c r="F19" i="2"/>
  <c r="E19" i="2"/>
  <c r="D19" i="2"/>
  <c r="L18" i="2"/>
  <c r="K18" i="2"/>
  <c r="J18" i="2"/>
  <c r="I18" i="2"/>
  <c r="H18" i="2"/>
  <c r="G18" i="2"/>
  <c r="F18" i="2"/>
  <c r="E18" i="2"/>
  <c r="D18" i="2"/>
  <c r="L17" i="2"/>
  <c r="K17" i="2"/>
  <c r="J17" i="2"/>
  <c r="I17" i="2"/>
  <c r="H17" i="2"/>
  <c r="G17" i="2"/>
  <c r="F17" i="2"/>
  <c r="E17" i="2"/>
  <c r="D17" i="2"/>
  <c r="L16" i="2"/>
  <c r="K16" i="2"/>
  <c r="J16" i="2"/>
  <c r="I16" i="2"/>
  <c r="H16" i="2"/>
  <c r="G16" i="2"/>
  <c r="F16" i="2"/>
  <c r="E16" i="2"/>
  <c r="D16" i="2"/>
  <c r="L15" i="2"/>
  <c r="K15" i="2"/>
  <c r="J15" i="2"/>
  <c r="I15" i="2"/>
  <c r="H15" i="2"/>
  <c r="G15" i="2"/>
  <c r="F15" i="2"/>
  <c r="E15" i="2"/>
  <c r="D15" i="2"/>
  <c r="L14" i="2"/>
  <c r="K14" i="2"/>
  <c r="J14" i="2"/>
  <c r="I14" i="2"/>
  <c r="H14" i="2"/>
  <c r="G14" i="2"/>
  <c r="F14" i="2"/>
  <c r="E14" i="2"/>
  <c r="D14" i="2"/>
  <c r="L13" i="2"/>
  <c r="K13" i="2"/>
  <c r="J13" i="2"/>
  <c r="I13" i="2"/>
  <c r="H13" i="2"/>
  <c r="G13" i="2"/>
  <c r="F13" i="2"/>
  <c r="E13" i="2"/>
  <c r="D13" i="2"/>
  <c r="L12" i="2"/>
  <c r="K12" i="2"/>
  <c r="J12" i="2"/>
  <c r="I12" i="2"/>
  <c r="H12" i="2"/>
  <c r="G12" i="2"/>
  <c r="F12" i="2"/>
  <c r="E12" i="2"/>
  <c r="D12" i="2"/>
  <c r="L11" i="2"/>
  <c r="K11" i="2"/>
  <c r="J11" i="2"/>
  <c r="I11" i="2"/>
  <c r="H11" i="2"/>
  <c r="G11" i="2"/>
  <c r="F11" i="2"/>
  <c r="E11" i="2"/>
  <c r="D11" i="2"/>
  <c r="L10" i="2"/>
  <c r="K10" i="2"/>
  <c r="J10" i="2"/>
  <c r="I10" i="2"/>
  <c r="H10" i="2"/>
  <c r="G10" i="2"/>
  <c r="F10" i="2"/>
  <c r="E10" i="2"/>
  <c r="D10" i="2"/>
  <c r="L9" i="2"/>
  <c r="K9" i="2"/>
  <c r="J9" i="2"/>
  <c r="I9" i="2"/>
  <c r="H9" i="2"/>
  <c r="G9" i="2"/>
  <c r="F9" i="2"/>
  <c r="E9" i="2"/>
  <c r="D9" i="2"/>
  <c r="L8" i="2"/>
  <c r="K8" i="2"/>
  <c r="J8" i="2"/>
  <c r="I8" i="2"/>
  <c r="H8" i="2"/>
  <c r="G8" i="2"/>
  <c r="F8" i="2"/>
  <c r="E8" i="2"/>
  <c r="D8" i="2"/>
  <c r="L7" i="2"/>
  <c r="K7" i="2"/>
  <c r="J7" i="2"/>
  <c r="I7" i="2"/>
  <c r="H7" i="2"/>
  <c r="G7" i="2"/>
  <c r="F7" i="2"/>
  <c r="E7" i="2"/>
  <c r="D7" i="2"/>
  <c r="L6" i="2"/>
  <c r="K6" i="2"/>
  <c r="J6" i="2"/>
  <c r="I6" i="2"/>
  <c r="H6" i="2"/>
  <c r="G6" i="2"/>
  <c r="F6" i="2"/>
  <c r="E6" i="2"/>
  <c r="D6" i="2"/>
  <c r="L5" i="2"/>
  <c r="L4" i="2" s="1"/>
  <c r="K5" i="2"/>
  <c r="K4" i="2" s="1"/>
  <c r="J5" i="2"/>
  <c r="J4" i="2" s="1"/>
  <c r="I5" i="2"/>
  <c r="I4" i="2" s="1"/>
  <c r="H5" i="2"/>
  <c r="H4" i="2" s="1"/>
  <c r="G5" i="2"/>
  <c r="G4" i="2" s="1"/>
  <c r="F5" i="2"/>
  <c r="F4" i="2" s="1"/>
  <c r="E5" i="2"/>
  <c r="E4" i="2" s="1"/>
  <c r="D5" i="2"/>
  <c r="D4" i="2" s="1"/>
  <c r="C6" i="2" l="1"/>
  <c r="M6" i="2" s="1"/>
  <c r="C7" i="2"/>
  <c r="M7" i="2" s="1"/>
  <c r="C8" i="2"/>
  <c r="M8" i="2" s="1"/>
  <c r="C9" i="2"/>
  <c r="M9" i="2" s="1"/>
  <c r="C10" i="2"/>
  <c r="M10" i="2" s="1"/>
  <c r="C11" i="2"/>
  <c r="M11" i="2" s="1"/>
  <c r="C12" i="2"/>
  <c r="M12" i="2" s="1"/>
  <c r="C13" i="2"/>
  <c r="M13" i="2" s="1"/>
  <c r="C14" i="2"/>
  <c r="M14" i="2" s="1"/>
  <c r="C15" i="2"/>
  <c r="M15" i="2" s="1"/>
  <c r="C16" i="2"/>
  <c r="M16" i="2" s="1"/>
  <c r="C17" i="2"/>
  <c r="M17" i="2" s="1"/>
  <c r="C18" i="2"/>
  <c r="M18" i="2" s="1"/>
  <c r="C19" i="2"/>
  <c r="M19" i="2" s="1"/>
  <c r="C20" i="2"/>
  <c r="M20" i="2" s="1"/>
  <c r="C21" i="2"/>
  <c r="M21" i="2" s="1"/>
  <c r="C22" i="2"/>
  <c r="M22" i="2" s="1"/>
  <c r="C23" i="2"/>
  <c r="M23" i="2" s="1"/>
  <c r="C24" i="2"/>
  <c r="M24" i="2" s="1"/>
  <c r="C25" i="2"/>
  <c r="M25" i="2" s="1"/>
  <c r="C26" i="2"/>
  <c r="M26" i="2" s="1"/>
  <c r="C27" i="2"/>
  <c r="M27" i="2" s="1"/>
  <c r="C28" i="2"/>
  <c r="M28" i="2" s="1"/>
  <c r="C5" i="2"/>
  <c r="C4" i="2" l="1"/>
  <c r="M5" i="2"/>
  <c r="M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tc={1B03B1B4-47AE-484A-985F-89FB3AF1A870}</author>
    <author>tc={4EA062A0-BE3E-4ACB-98F3-2F60190870C5}</author>
  </authors>
  <commentList>
    <comment ref="G11" authorId="0" shapeId="0" xr:uid="{1B03B1B4-47AE-484A-985F-89FB3AF1A870}">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 ref="J11" authorId="1" shapeId="0" xr:uid="{4EA062A0-BE3E-4ACB-98F3-2F60190870C5}">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List>
</comments>
</file>

<file path=xl/sharedStrings.xml><?xml version="1.0" encoding="utf-8"?>
<sst xmlns="http://schemas.openxmlformats.org/spreadsheetml/2006/main" count="87" uniqueCount="57">
  <si>
    <t>Company_Code</t>
  </si>
  <si>
    <t>Claim Liability</t>
  </si>
  <si>
    <t>LAE Percentage</t>
  </si>
  <si>
    <t>LAE Liability</t>
  </si>
  <si>
    <t>Claim_Liability_Total</t>
  </si>
  <si>
    <t>ASL</t>
  </si>
  <si>
    <t>AMH</t>
  </si>
  <si>
    <t>GTL</t>
  </si>
  <si>
    <t>NFL</t>
  </si>
  <si>
    <t>NSL</t>
  </si>
  <si>
    <t>PEN</t>
  </si>
  <si>
    <t>PHS</t>
  </si>
  <si>
    <t>PRT</t>
  </si>
  <si>
    <t>USH</t>
  </si>
  <si>
    <t>Total</t>
  </si>
  <si>
    <t>GBR</t>
  </si>
  <si>
    <t>XCH</t>
  </si>
  <si>
    <t>SLI</t>
  </si>
  <si>
    <t>ULI</t>
  </si>
  <si>
    <t>PLICA-NonMS</t>
  </si>
  <si>
    <t>PLICA-MS</t>
  </si>
  <si>
    <t>Pattern Selection</t>
  </si>
  <si>
    <t>Difference</t>
  </si>
  <si>
    <t>Difference %</t>
  </si>
  <si>
    <t>Comment</t>
  </si>
  <si>
    <t>NA</t>
  </si>
  <si>
    <t>Threshold</t>
  </si>
  <si>
    <t>Prior From Unified Files</t>
  </si>
  <si>
    <t>Average Simple12 &amp; Simple6</t>
  </si>
  <si>
    <t>Average Simple3 &amp; Simple6</t>
  </si>
  <si>
    <t>Average Simple12</t>
  </si>
  <si>
    <t>Simple12MS and Avergae 3, 6 and 12 NMS</t>
  </si>
  <si>
    <t>Prior From ARM Scen 6</t>
  </si>
  <si>
    <t>Paid for July, Aug and Sep is very low compared to other accident months but we are setting the sale Ultimate claims. This results on a higher IBNP</t>
  </si>
  <si>
    <t>Triangle is almost empty. We should select Volume All or 12 to ionclude some information in the triangle. Other option is use patterns from other block, since this is not technical the best option.</t>
  </si>
  <si>
    <t>No payments for Aus and Sept. At march there were some big amounts for months that now has lower compeltion factors. This results in a lower IBNP</t>
  </si>
  <si>
    <t>No payments for Sept. Our patterns are longer. At March Unified had a negative IBNP pof 50k for Accident month Jan-24 that wasn't observed in the actual movements.</t>
  </si>
  <si>
    <t>There was a bgf payment for Accident month Dec-23 that generated IBNP´at march but at September the compeltion factor is 1. Results in a lower IBNP</t>
  </si>
  <si>
    <t>At Aug-24. Should I consider valuation March?</t>
  </si>
  <si>
    <t>No paid claims for Jul, Aug and Sept, but Ultimate selectiong by Loss Ratio. Results on higher IBNP</t>
  </si>
  <si>
    <t>Mannually Removed big movement from July-24 to Aug-24 for Accident month Oct-2022 that increased the tail of the patterns.</t>
  </si>
  <si>
    <t>Incurral</t>
  </si>
  <si>
    <t>Month</t>
  </si>
  <si>
    <t>Claim</t>
  </si>
  <si>
    <t>Liability</t>
  </si>
  <si>
    <t>TY 2020</t>
  </si>
  <si>
    <t>TY 2019</t>
  </si>
  <si>
    <t>TY 2021</t>
  </si>
  <si>
    <t>TY 2022</t>
  </si>
  <si>
    <t>TY 2023</t>
  </si>
  <si>
    <t>Pre-HCCUA 2019</t>
  </si>
  <si>
    <t>HCCUA 2022</t>
  </si>
  <si>
    <t>HCCUA 2023</t>
  </si>
  <si>
    <t>HCCUA 2020</t>
  </si>
  <si>
    <t>HCCUA 2021</t>
  </si>
  <si>
    <t>Check</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</si>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</sst>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mmm\-yy;@"/>
  </numFmts>
  <fonts count="6" x14ac:knownFonts="1">
    <font>
      <sz val="9"/>
      <color theme="1"/>
      <name val="Arial Narrow"/>
      <family val="2"/>
    </font>
    <font>
      <sz val="9"/>
      <color theme="1"/>
      <name val="Arial Narrow"/>
      <family val="2"/>
    </font>
    <font>
      <sz val="9"/>
      <color rgb="FFFF0000"/>
      <name val="Arial Narrow"/>
      <family val="2"/>
    </font>
    <font>
      <b/>
      <sz val="9"/>
      <color theme="1"/>
      <name val="Arial Narrow"/>
      <family val="2"/>
    </font>
    <font>
      <b/>
      <sz val="9"/>
      <color theme="0"/>
      <name val="Aptos Narrow"/>
      <family val="2"/>
    </font>
    <font>
      <sz val="9"/>
      <color theme="3"/>
      <name val="Arial Narrow"/>
      <family val="2"/>
    </font>
  </fonts>
  <fills count="4">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s>
  <borders count="9">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8">
    <xf numFmtId="0" fontId="0" fillId="0" borderId="0" xfId="0"/>
    <xf numFmtId="0" fontId="4" fillId="2" borderId="1" xfId="0" applyFont="1" applyFill="1" applyBorder="1" applyAlignment="1">
      <alignment horizontal="center"/>
    </xf>
    <xf numFmtId="0" fontId="4" fillId="2" borderId="0" xfId="0" applyFont="1" applyFill="1" applyAlignment="1">
      <alignment horizontal="center"/>
    </xf>
    <xf numFmtId="10" fontId="0" fillId="0" borderId="0" xfId="0" applyNumberFormat="1"/>
    <xf numFmtId="10" fontId="5" fillId="0" borderId="0" xfId="0" applyNumberFormat="1" applyFont="1"/>
    <xf numFmtId="10" fontId="2" fillId="0" borderId="0" xfId="1" applyNumberFormat="1" applyFont="1"/>
    <xf numFmtId="0" fontId="3" fillId="0" borderId="0" xfId="0" applyFont="1"/>
    <xf numFmtId="164" fontId="3" fillId="0" borderId="0" xfId="0" applyNumberFormat="1" applyFont="1"/>
    <xf numFmtId="164" fontId="0" fillId="0" borderId="0" xfId="2" applyNumberFormat="1" applyFont="1"/>
    <xf numFmtId="164" fontId="0" fillId="0" borderId="0" xfId="0" applyNumberFormat="1"/>
    <xf numFmtId="9" fontId="0" fillId="0" borderId="0" xfId="1" applyFont="1"/>
    <xf numFmtId="9" fontId="0" fillId="0" borderId="0" xfId="1" applyFont="1" applyAlignment="1">
      <alignment wrapText="1"/>
    </xf>
    <xf numFmtId="0" fontId="0" fillId="0" borderId="0" xfId="0" applyAlignment="1">
      <alignment wrapText="1"/>
    </xf>
    <xf numFmtId="164" fontId="2" fillId="0" borderId="0" xfId="0" applyNumberFormat="1" applyFont="1"/>
    <xf numFmtId="0" fontId="0" fillId="3" borderId="0" xfId="0" applyFill="1"/>
    <xf numFmtId="164" fontId="0" fillId="3" borderId="0" xfId="0" applyNumberFormat="1" applyFill="1"/>
    <xf numFmtId="10" fontId="0" fillId="3" borderId="0" xfId="0" applyNumberFormat="1" applyFill="1"/>
    <xf numFmtId="164" fontId="0" fillId="3" borderId="0" xfId="2" applyNumberFormat="1" applyFont="1" applyFill="1"/>
    <xf numFmtId="9" fontId="0" fillId="3" borderId="0" xfId="1" applyFont="1" applyFill="1"/>
    <xf numFmtId="9" fontId="0" fillId="3" borderId="0" xfId="1" applyFont="1" applyFill="1" applyAlignment="1">
      <alignment wrapText="1"/>
    </xf>
    <xf numFmtId="164" fontId="0" fillId="0" borderId="0" xfId="2" applyNumberFormat="1" applyFont="1" applyFill="1"/>
    <xf numFmtId="9" fontId="0" fillId="0" borderId="0" xfId="1" applyFont="1" applyFill="1"/>
    <xf numFmtId="9" fontId="0" fillId="0" borderId="0" xfId="1" applyFont="1" applyFill="1" applyAlignment="1">
      <alignment wrapText="1"/>
    </xf>
    <xf numFmtId="165" fontId="0" fillId="0" borderId="0" xfId="0" applyNumberFormat="1"/>
    <xf numFmtId="43" fontId="0" fillId="0" borderId="0" xfId="0" applyNumberFormat="1"/>
    <xf numFmtId="43" fontId="0" fillId="0" borderId="0" xfId="2" applyFont="1"/>
    <xf numFmtId="43" fontId="2" fillId="0" borderId="0" xfId="0" applyNumberFormat="1" applyFont="1"/>
    <xf numFmtId="0" fontId="3"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applyAlignment="1">
      <alignment horizontal="center"/>
    </xf>
    <xf numFmtId="0" fontId="3" fillId="0" borderId="2" xfId="0" applyFont="1" applyBorder="1"/>
    <xf numFmtId="0" fontId="3" fillId="0" borderId="7" xfId="0" applyFont="1" applyBorder="1" applyAlignment="1">
      <alignment horizontal="center"/>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0" fillId="0" borderId="0" xfId="0" applyNumberFormat="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ASL.xlsx" TargetMode="External"/><Relationship Id="rId1" Type="http://schemas.openxmlformats.org/officeDocument/2006/relationships/externalLinkPath" Target="Unified_IBNP_ASL.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NFL.xlsx" TargetMode="External"/><Relationship Id="rId1" Type="http://schemas.openxmlformats.org/officeDocument/2006/relationships/externalLinkPath" Target="Unified_IBNP_NFL.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FL\NFL%20Claim%20Liability%2003-24.xlsx" TargetMode="External"/><Relationship Id="rId1" Type="http://schemas.openxmlformats.org/officeDocument/2006/relationships/externalLinkPath" Target="file:///\\RDS02\Unified$\04_Inforce_Management\01_Products_Specs\Health_Block_Information\20240613_ShareFile_WriteUps\NFL\NFL%20Claim%20Liability%2003-2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NSL.xlsx" TargetMode="External"/><Relationship Id="rId1" Type="http://schemas.openxmlformats.org/officeDocument/2006/relationships/externalLinkPath" Target="Unified_IBNP_NSL.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SL\NSL%20Claim%20Liability%20033124.xlsx" TargetMode="External"/><Relationship Id="rId1" Type="http://schemas.openxmlformats.org/officeDocument/2006/relationships/externalLinkPath" Target="file:///\\RDS02\Unified$\04_Inforce_Management\01_Products_Specs\Health_Block_Information\20240613_ShareFile_WriteUps\NSL\NSL%20Claim%20Liability%20033124.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PEN.xlsx" TargetMode="External"/><Relationship Id="rId1" Type="http://schemas.openxmlformats.org/officeDocument/2006/relationships/externalLinkPath" Target="Unified_IBNP_PEN.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EN\PEN%20Claim%20Liability%2003-24.xlsx" TargetMode="External"/><Relationship Id="rId1" Type="http://schemas.openxmlformats.org/officeDocument/2006/relationships/externalLinkPath" Target="file:///\\RDS02\Unified$\04_Inforce_Management\01_Products_Specs\Health_Block_Information\20240613_ShareFile_WriteUps\PEN\PEN%20Claim%20Liability%2003-24.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PHS.xlsx" TargetMode="External"/><Relationship Id="rId1" Type="http://schemas.openxmlformats.org/officeDocument/2006/relationships/externalLinkPath" Target="Unified_IBNP_PHS.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HS\PHS%20Claim%20Liability%2003-24.xlsx" TargetMode="External"/><Relationship Id="rId1" Type="http://schemas.openxmlformats.org/officeDocument/2006/relationships/externalLinkPath" Target="file:///\\RDS02\Unified$\04_Inforce_Management\01_Products_Specs\Health_Block_Information\20240613_ShareFile_WriteUps\PHS\PHS%20Claim%20Liability%2003-24.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PRT.xlsx" TargetMode="External"/><Relationship Id="rId1" Type="http://schemas.openxmlformats.org/officeDocument/2006/relationships/externalLinkPath" Target="Unified_IBNP_PRT.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RT\PRT%20Claim%20Liability%203-24.xlsx" TargetMode="External"/><Relationship Id="rId1" Type="http://schemas.openxmlformats.org/officeDocument/2006/relationships/externalLinkPath" Target="file:///\\RDS02\Unified$\04_Inforce_Management\01_Products_Specs\Health_Block_Information\20240613_ShareFile_WriteUps\PRT\PRT%20Claim%20Liability%203-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merican%20Standard%20Life\ASL%20Claim%20Liability%2003-24.xlsx" TargetMode="External"/><Relationship Id="rId1" Type="http://schemas.openxmlformats.org/officeDocument/2006/relationships/externalLinkPath" Target="file:///\\RDS02\Unified$\04_Inforce_Management\01_Products_Specs\Health_Block_Information\20240613_ShareFile_WriteUps\American%20Standard%20Life\ASL%20Claim%20Liability%2003-24.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NMS_PLICA.xlsx" TargetMode="External"/><Relationship Id="rId1" Type="http://schemas.openxmlformats.org/officeDocument/2006/relationships/externalLinkPath" Target="Unified_IBNP_NMS_PLICA.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MS_PLICA.xlsx" TargetMode="External"/><Relationship Id="rId1" Type="http://schemas.openxmlformats.org/officeDocument/2006/relationships/externalLinkPath" Target="Unified_IBNP_MS_PLICA.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SLI.xlsx" TargetMode="External"/><Relationship Id="rId1" Type="http://schemas.openxmlformats.org/officeDocument/2006/relationships/externalLinkPath" Target="Unified_IBNP_SLI.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SLICA\SLI%20Claim%20Liability%2003-24.xlsx" TargetMode="External"/><Relationship Id="rId1" Type="http://schemas.openxmlformats.org/officeDocument/2006/relationships/externalLinkPath" Target="file:///\\RDS02\Unified$\04_Inforce_Management\01_Products_Specs\Health_Block_Information\20240613_ShareFile_WriteUps\SLICA\SLI%20Claim%20Liability%2003-24.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ULI.xlsx" TargetMode="External"/><Relationship Id="rId1" Type="http://schemas.openxmlformats.org/officeDocument/2006/relationships/externalLinkPath" Target="Unified_IBNP_ULI.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LI%20Med%20Supp\NB%20MS%20Claim%20Liability%20033124.xlsx" TargetMode="External"/><Relationship Id="rId1" Type="http://schemas.openxmlformats.org/officeDocument/2006/relationships/externalLinkPath" Target="file:///\\RDS02\Unified$\04_Inforce_Management\01_Products_Specs\Health_Block_Information\20240613_ShareFile_WriteUps\ULI%20Med%20Supp\NB%20MS%20Claim%20Liability%20033124.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Split_USH.xlsx" TargetMode="External"/><Relationship Id="rId1" Type="http://schemas.openxmlformats.org/officeDocument/2006/relationships/externalLinkPath" Target="Unified_IBNP_Split_USH.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SH\USH%20Claim%20Liability%2003-24%20-%20Split%20MS.xlsx" TargetMode="External"/><Relationship Id="rId1" Type="http://schemas.openxmlformats.org/officeDocument/2006/relationships/externalLinkPath" Target="file:///\\RDS02\Unified$\04_Inforce_Management\01_Products_Specs\Health_Block_Information\20240613_ShareFile_WriteUps\USH\USH%20Claim%20Liability%2003-24%20-%20Split%20M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RDS02\Unified$\04_Inforce_Management\03_ARM%20IBNP%20Process\01_Scenarios\Scenario%206\Unified_Claims_Liability_Summary_6.xlsx" TargetMode="External"/><Relationship Id="rId1" Type="http://schemas.openxmlformats.org/officeDocument/2006/relationships/externalLinkPath" Target="file:///\\RDS02\Unified$\04_Inforce_Management\03_ARM%20IBNP%20Process\01_Scenarios\Scenario%206\Unified_Claims_Liability_Summary_6.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XCH.xlsx" TargetMode="External"/><Relationship Id="rId1" Type="http://schemas.openxmlformats.org/officeDocument/2006/relationships/externalLinkPath" Target="Unified_IBNP_XCH.xlsx" TargetMode="External"/></Relationships>
</file>

<file path=xl/externalLinks/_rels/externalLink3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Xchange%20Benefits\XChange%20Claim%20Liability%20033124.xlsx" TargetMode="External"/><Relationship Id="rId1" Type="http://schemas.openxmlformats.org/officeDocument/2006/relationships/externalLinkPath" Target="file:///\\RDS02\Unified$\04_Inforce_Management\01_Products_Specs\Health_Block_Information\20240613_ShareFile_WriteUps\Xchange%20Benefits\XChange%20Claim%20Liability%20033124.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Allocation_XCH.xlsx" TargetMode="External"/><Relationship Id="rId1" Type="http://schemas.openxmlformats.org/officeDocument/2006/relationships/externalLinkPath" Target="Allocation_XCH.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AMH.xlsx" TargetMode="External"/><Relationship Id="rId1" Type="http://schemas.openxmlformats.org/officeDocument/2006/relationships/externalLinkPath" Target="Unified_IBNP_AMH.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 Id="rId1"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GBR.xlsx" TargetMode="External"/><Relationship Id="rId1" Type="http://schemas.openxmlformats.org/officeDocument/2006/relationships/externalLinkPath" Target="Unified_IBNP_GBR.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erber%20Life\Gerber%20Claim%20Liability%20033124.xlsx" TargetMode="External"/><Relationship Id="rId1" Type="http://schemas.openxmlformats.org/officeDocument/2006/relationships/externalLinkPath" Target="file:///\\RDS02\Unified$\04_Inforce_Management\01_Products_Specs\Health_Block_Information\20240613_ShareFile_WriteUps\Gerber%20Life\Gerber%20Claim%20Liability%20033124.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joranias\Documents\GitHub\DMI_IBNP\Process%20Results\Unified_IBNP_GTL.xlsx" TargetMode="External"/><Relationship Id="rId1" Type="http://schemas.openxmlformats.org/officeDocument/2006/relationships/externalLinkPath" Target="Unified_IBNP_GTL.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TL\GTL%20Claim%20Liability%203-24.xlsx" TargetMode="External"/><Relationship Id="rId1" Type="http://schemas.openxmlformats.org/officeDocument/2006/relationships/externalLinkPath" Target="file:///\\RDS02\Unified$\04_Inforce_Management\01_Products_Specs\Health_Block_Information\20240613_ShareFile_WriteUps\GTL\GTL%20Claim%20Liability%20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7619.8399568031218</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56798.012568008111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32709.246771985087</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53940.900161165511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CODE TABLE"/>
      <sheetName val="Split_By_LOB"/>
      <sheetName val="EOB Information"/>
      <sheetName val="Claim Triangle"/>
      <sheetName val="Sch H"/>
      <sheetName val="PL"/>
      <sheetName val="Premium"/>
      <sheetName val="Summary"/>
      <sheetName val="Assume split"/>
      <sheetName val="Completion Factors"/>
    </sheetNames>
    <sheetDataSet>
      <sheetData sheetId="0"/>
      <sheetData sheetId="1"/>
      <sheetData sheetId="2"/>
      <sheetData sheetId="3"/>
      <sheetData sheetId="4"/>
      <sheetData sheetId="5"/>
      <sheetData sheetId="6"/>
      <sheetData sheetId="7">
        <row r="35">
          <cell r="H35">
            <v>7.4999999999999997E-2</v>
          </cell>
        </row>
        <row r="36">
          <cell r="H36">
            <v>43941.36</v>
          </cell>
        </row>
      </sheetData>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121050.45028156454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PT"/>
      <sheetName val="Sch H"/>
      <sheetName val="Completion Factors"/>
      <sheetName val="Summary"/>
      <sheetName val="Premium"/>
      <sheetName val="PL"/>
    </sheetNames>
    <sheetDataSet>
      <sheetData sheetId="0"/>
      <sheetData sheetId="1"/>
      <sheetData sheetId="2"/>
      <sheetData sheetId="3"/>
      <sheetData sheetId="4"/>
      <sheetData sheetId="5">
        <row r="35">
          <cell r="H35">
            <v>7.4999999999999997E-2</v>
          </cell>
        </row>
        <row r="36">
          <cell r="H36">
            <v>158653.1571364796</v>
          </cell>
        </row>
      </sheetData>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156602.22053567567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OB"/>
      <sheetName val="Claim Triangle"/>
      <sheetName val="Completion Factors"/>
      <sheetName val="Summary"/>
      <sheetName val="Premium"/>
    </sheetNames>
    <sheetDataSet>
      <sheetData sheetId="0"/>
      <sheetData sheetId="1"/>
      <sheetData sheetId="2"/>
      <sheetData sheetId="3">
        <row r="35">
          <cell r="H35">
            <v>7.4999999999999997E-2</v>
          </cell>
        </row>
        <row r="36">
          <cell r="H36">
            <v>167515.8389747378</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43588.86801584877</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CL_By_LOB"/>
      <sheetName val="Claim Data"/>
      <sheetName val="PlanCodeTable"/>
      <sheetName val="PT"/>
      <sheetName val="Summary"/>
      <sheetName val="Premium"/>
      <sheetName val="PL"/>
    </sheetNames>
    <sheetDataSet>
      <sheetData sheetId="0"/>
      <sheetData sheetId="1"/>
      <sheetData sheetId="2"/>
      <sheetData sheetId="3"/>
      <sheetData sheetId="4"/>
      <sheetData sheetId="5"/>
      <sheetData sheetId="6">
        <row r="35">
          <cell r="H35">
            <v>7.4999999999999997E-2</v>
          </cell>
        </row>
        <row r="36">
          <cell r="H36">
            <v>61403.00276625227</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_by_LOB"/>
      <sheetName val="EOB Information"/>
      <sheetName val="PT"/>
      <sheetName val="Sch H"/>
      <sheetName val="Completion Factors"/>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10194.181693825194</v>
          </cell>
        </row>
      </sheetData>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119547.49906658725</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Sheet2"/>
      <sheetName val="Sheet3"/>
    </sheetNames>
    <sheetDataSet>
      <sheetData sheetId="0">
        <row r="35">
          <cell r="E35">
            <v>507000</v>
          </cell>
        </row>
        <row r="36">
          <cell r="E36">
            <v>628236.15</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9129.1638785080067</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36">
          <cell r="E36">
            <v>21308.7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13784</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CL_By_LOB"/>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22925.112714356808</v>
          </cell>
        </row>
      </sheetData>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110893.3087176971</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aims"/>
      <sheetName val="Summary"/>
      <sheetName val="Completion Factors"/>
      <sheetName val="Premium"/>
    </sheetNames>
    <sheetDataSet>
      <sheetData sheetId="0"/>
      <sheetData sheetId="1">
        <row r="35">
          <cell r="H35">
            <v>7.4999999999999997E-2</v>
          </cell>
        </row>
        <row r="36">
          <cell r="H36">
            <v>60621.568508703676</v>
          </cell>
        </row>
      </sheetData>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L33">
            <v>39594.873868356415</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 H"/>
      <sheetName val="CL_By_LOB"/>
      <sheetName val="EOB Information"/>
      <sheetName val="PT"/>
      <sheetName val="Completion Factors"/>
      <sheetName val="Summary"/>
      <sheetName val="Premium"/>
      <sheetName val="PL"/>
      <sheetName val="Plan Code Table"/>
      <sheetName val="For Data for State Pages - IBNR"/>
    </sheetNames>
    <sheetDataSet>
      <sheetData sheetId="0"/>
      <sheetData sheetId="1"/>
      <sheetData sheetId="2"/>
      <sheetData sheetId="3"/>
      <sheetData sheetId="4"/>
      <sheetData sheetId="5">
        <row r="35">
          <cell r="L35">
            <v>7.4999999999999997E-2</v>
          </cell>
        </row>
        <row r="36">
          <cell r="L36">
            <v>70721.566596096614</v>
          </cell>
        </row>
      </sheetData>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2">
          <cell r="E2">
            <v>8631.7475542030043</v>
          </cell>
        </row>
        <row r="3">
          <cell r="E3">
            <v>2852.5798682179311</v>
          </cell>
        </row>
        <row r="4">
          <cell r="E4">
            <v>49112.790852981903</v>
          </cell>
        </row>
        <row r="5">
          <cell r="E5">
            <v>88425.599779025026</v>
          </cell>
        </row>
        <row r="6">
          <cell r="E6">
            <v>33054.387942767222</v>
          </cell>
        </row>
        <row r="7">
          <cell r="E7">
            <v>45180.636489733821</v>
          </cell>
        </row>
        <row r="8">
          <cell r="E8">
            <v>167297.80469924136</v>
          </cell>
        </row>
        <row r="9">
          <cell r="E9">
            <v>163969.81611895896</v>
          </cell>
        </row>
        <row r="10">
          <cell r="E10">
            <v>62332.1531384915</v>
          </cell>
        </row>
        <row r="11">
          <cell r="E11">
            <v>43650.86019604317</v>
          </cell>
        </row>
        <row r="12">
          <cell r="E12">
            <v>7699.4075557553952</v>
          </cell>
        </row>
        <row r="13">
          <cell r="E13">
            <v>13668.394487239271</v>
          </cell>
        </row>
        <row r="15">
          <cell r="E15">
            <v>75281.134751770049</v>
          </cell>
        </row>
        <row r="16">
          <cell r="E16">
            <v>880192.11819421395</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A8">
            <v>44805</v>
          </cell>
          <cell r="H8">
            <v>0</v>
          </cell>
        </row>
        <row r="9">
          <cell r="A9">
            <v>44835</v>
          </cell>
          <cell r="H9">
            <v>0</v>
          </cell>
        </row>
        <row r="10">
          <cell r="A10">
            <v>44866</v>
          </cell>
          <cell r="H10">
            <v>27.144330718670972</v>
          </cell>
        </row>
        <row r="11">
          <cell r="A11">
            <v>44896</v>
          </cell>
          <cell r="H11">
            <v>88.232248612708645</v>
          </cell>
        </row>
        <row r="12">
          <cell r="A12">
            <v>44927</v>
          </cell>
          <cell r="H12">
            <v>92.377428843727103</v>
          </cell>
        </row>
        <row r="13">
          <cell r="A13">
            <v>44958</v>
          </cell>
          <cell r="H13">
            <v>107.21873964028782</v>
          </cell>
        </row>
        <row r="14">
          <cell r="A14">
            <v>44986</v>
          </cell>
          <cell r="H14">
            <v>196.62058278254699</v>
          </cell>
        </row>
        <row r="15">
          <cell r="A15">
            <v>45017</v>
          </cell>
          <cell r="H15">
            <v>122.27101556447451</v>
          </cell>
        </row>
        <row r="16">
          <cell r="A16">
            <v>45047</v>
          </cell>
          <cell r="H16">
            <v>159.61588665016461</v>
          </cell>
        </row>
        <row r="17">
          <cell r="A17">
            <v>45078</v>
          </cell>
          <cell r="H17">
            <v>211.4543047529296</v>
          </cell>
        </row>
        <row r="18">
          <cell r="A18">
            <v>45108</v>
          </cell>
          <cell r="H18">
            <v>342.62754623574438</v>
          </cell>
        </row>
        <row r="19">
          <cell r="A19">
            <v>45139</v>
          </cell>
          <cell r="H19">
            <v>915.23139995508245</v>
          </cell>
        </row>
        <row r="20">
          <cell r="A20">
            <v>45170</v>
          </cell>
          <cell r="H20">
            <v>1824.5925900268194</v>
          </cell>
        </row>
        <row r="21">
          <cell r="A21">
            <v>45200</v>
          </cell>
          <cell r="H21">
            <v>3362.1916688863421</v>
          </cell>
        </row>
        <row r="22">
          <cell r="A22">
            <v>45231</v>
          </cell>
          <cell r="H22">
            <v>5100.7230321582756</v>
          </cell>
        </row>
        <row r="23">
          <cell r="A23">
            <v>45261</v>
          </cell>
          <cell r="H23">
            <v>10059.103449498245</v>
          </cell>
        </row>
        <row r="24">
          <cell r="A24">
            <v>45292</v>
          </cell>
          <cell r="H24">
            <v>11627.668516698672</v>
          </cell>
        </row>
        <row r="25">
          <cell r="A25">
            <v>45323</v>
          </cell>
          <cell r="H25">
            <v>14463.44618215441</v>
          </cell>
        </row>
        <row r="26">
          <cell r="A26">
            <v>45352</v>
          </cell>
          <cell r="H26">
            <v>24200.177276954928</v>
          </cell>
        </row>
        <row r="27">
          <cell r="A27">
            <v>45383</v>
          </cell>
          <cell r="H27">
            <v>36046.401042131969</v>
          </cell>
        </row>
        <row r="28">
          <cell r="A28">
            <v>45413</v>
          </cell>
          <cell r="H28">
            <v>74667.982042180345</v>
          </cell>
        </row>
        <row r="29">
          <cell r="A29">
            <v>45444</v>
          </cell>
          <cell r="H29">
            <v>111438.52</v>
          </cell>
        </row>
        <row r="30">
          <cell r="A30">
            <v>45474</v>
          </cell>
          <cell r="H30">
            <v>161620.5</v>
          </cell>
        </row>
        <row r="31">
          <cell r="A31">
            <v>45505</v>
          </cell>
          <cell r="H31">
            <v>185121</v>
          </cell>
        </row>
        <row r="33">
          <cell r="H33">
            <v>641795.09928444633</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remium"/>
      <sheetName val="Summary"/>
    </sheetNames>
    <sheetDataSet>
      <sheetData sheetId="0"/>
      <sheetData sheetId="1"/>
      <sheetData sheetId="2">
        <row r="35">
          <cell r="H35">
            <v>7.4999999999999997E-2</v>
          </cell>
        </row>
        <row r="36">
          <cell r="H36">
            <v>777303.67606529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ocation"/>
    </sheetNames>
    <sheetDataSet>
      <sheetData sheetId="0">
        <row r="5">
          <cell r="P5">
            <v>-6.048555699783016E-4</v>
          </cell>
          <cell r="Q5">
            <v>-2.0412307448071485E-4</v>
          </cell>
          <cell r="R5">
            <v>0.93418740727917249</v>
          </cell>
          <cell r="S5">
            <v>2.0690170371176694E-2</v>
          </cell>
          <cell r="T5">
            <v>0</v>
          </cell>
          <cell r="U5">
            <v>6.2915532016515305E-5</v>
          </cell>
          <cell r="V5">
            <v>1.483283792798515E-2</v>
          </cell>
          <cell r="W5">
            <v>0</v>
          </cell>
          <cell r="X5">
            <v>0</v>
          </cell>
          <cell r="Y5">
            <v>3.1035647534108392E-2</v>
          </cell>
        </row>
        <row r="6">
          <cell r="P6">
            <v>0</v>
          </cell>
          <cell r="Q6">
            <v>0</v>
          </cell>
          <cell r="R6">
            <v>0.813142841416161</v>
          </cell>
          <cell r="S6">
            <v>0.14318775410419382</v>
          </cell>
          <cell r="T6">
            <v>0</v>
          </cell>
          <cell r="U6">
            <v>6.2359420971839409E-5</v>
          </cell>
          <cell r="V6">
            <v>1.848054780038785E-2</v>
          </cell>
          <cell r="W6">
            <v>0</v>
          </cell>
          <cell r="X6">
            <v>0</v>
          </cell>
          <cell r="Y6">
            <v>2.5126497258285571E-2</v>
          </cell>
        </row>
        <row r="7">
          <cell r="P7">
            <v>0</v>
          </cell>
          <cell r="Q7">
            <v>0</v>
          </cell>
          <cell r="R7">
            <v>0.65403663535598233</v>
          </cell>
          <cell r="S7">
            <v>0.30334342481941906</v>
          </cell>
          <cell r="T7">
            <v>0</v>
          </cell>
          <cell r="U7">
            <v>6.1878584915148467E-5</v>
          </cell>
          <cell r="V7">
            <v>2.1663280097291158E-2</v>
          </cell>
          <cell r="W7">
            <v>0</v>
          </cell>
          <cell r="X7">
            <v>0</v>
          </cell>
          <cell r="Y7">
            <v>2.0894781142392342E-2</v>
          </cell>
        </row>
        <row r="8">
          <cell r="P8">
            <v>0</v>
          </cell>
          <cell r="Q8">
            <v>0</v>
          </cell>
          <cell r="R8">
            <v>0.5083850309158614</v>
          </cell>
          <cell r="S8">
            <v>0.45196614406678126</v>
          </cell>
          <cell r="T8">
            <v>0</v>
          </cell>
          <cell r="U8">
            <v>6.0224915841959472E-5</v>
          </cell>
          <cell r="V8">
            <v>2.2607818407314333E-2</v>
          </cell>
          <cell r="W8">
            <v>0</v>
          </cell>
          <cell r="X8">
            <v>0</v>
          </cell>
          <cell r="Y8">
            <v>1.6980781694201055E-2</v>
          </cell>
        </row>
        <row r="9">
          <cell r="P9">
            <v>-6.046185983817515E-4</v>
          </cell>
          <cell r="Q9">
            <v>-3.0230929919087575E-4</v>
          </cell>
          <cell r="R9">
            <v>0.35802325920062283</v>
          </cell>
          <cell r="S9">
            <v>0.60631354390718606</v>
          </cell>
          <cell r="T9">
            <v>0</v>
          </cell>
          <cell r="U9">
            <v>5.9151171998214713E-5</v>
          </cell>
          <cell r="V9">
            <v>2.3014718068661948E-2</v>
          </cell>
          <cell r="W9">
            <v>0</v>
          </cell>
          <cell r="X9">
            <v>0</v>
          </cell>
          <cell r="Y9">
            <v>1.3496255549103517E-2</v>
          </cell>
        </row>
        <row r="10">
          <cell r="P10">
            <v>0</v>
          </cell>
          <cell r="Q10">
            <v>0</v>
          </cell>
          <cell r="R10">
            <v>0.28269546513094335</v>
          </cell>
          <cell r="S10">
            <v>0.68154708697031741</v>
          </cell>
          <cell r="T10">
            <v>0</v>
          </cell>
          <cell r="U10">
            <v>6.0078264700074186E-5</v>
          </cell>
          <cell r="V10">
            <v>2.6671872315138706E-2</v>
          </cell>
          <cell r="W10">
            <v>0</v>
          </cell>
          <cell r="X10">
            <v>0</v>
          </cell>
          <cell r="Y10">
            <v>9.0254973189004949E-3</v>
          </cell>
        </row>
        <row r="11">
          <cell r="P11">
            <v>0</v>
          </cell>
          <cell r="Q11">
            <v>0</v>
          </cell>
          <cell r="R11">
            <v>0.22630157016140917</v>
          </cell>
          <cell r="S11">
            <v>0.74011236618797738</v>
          </cell>
          <cell r="T11">
            <v>0</v>
          </cell>
          <cell r="U11">
            <v>5.8628195851531839E-5</v>
          </cell>
          <cell r="V11">
            <v>2.8439206652282358E-2</v>
          </cell>
          <cell r="W11">
            <v>0</v>
          </cell>
          <cell r="X11">
            <v>0</v>
          </cell>
          <cell r="Y11">
            <v>5.0882288024795596E-3</v>
          </cell>
        </row>
        <row r="12">
          <cell r="P12">
            <v>-3.0198826632140913E-5</v>
          </cell>
          <cell r="Q12">
            <v>0</v>
          </cell>
          <cell r="R12">
            <v>0.18239153822238025</v>
          </cell>
          <cell r="S12">
            <v>0.78563957417075536</v>
          </cell>
          <cell r="T12">
            <v>0</v>
          </cell>
          <cell r="U12">
            <v>6.0810137237320177E-5</v>
          </cell>
          <cell r="V12">
            <v>2.9406182930113798E-2</v>
          </cell>
          <cell r="W12">
            <v>0</v>
          </cell>
          <cell r="X12">
            <v>0</v>
          </cell>
          <cell r="Y12">
            <v>2.5320933661452816E-3</v>
          </cell>
        </row>
        <row r="13">
          <cell r="P13">
            <v>0</v>
          </cell>
          <cell r="Q13">
            <v>0</v>
          </cell>
          <cell r="R13">
            <v>0.13666504441442962</v>
          </cell>
          <cell r="S13">
            <v>0.83214103936268446</v>
          </cell>
          <cell r="T13">
            <v>0</v>
          </cell>
          <cell r="U13">
            <v>6.0113803736433784E-5</v>
          </cell>
          <cell r="V13">
            <v>3.0584215212039651E-2</v>
          </cell>
          <cell r="W13">
            <v>0</v>
          </cell>
          <cell r="X13">
            <v>0</v>
          </cell>
          <cell r="Y13">
            <v>5.4958720710978454E-4</v>
          </cell>
        </row>
        <row r="14">
          <cell r="P14">
            <v>-4.6603844171567949E-4</v>
          </cell>
          <cell r="Q14">
            <v>-3.8836536809639961E-4</v>
          </cell>
          <cell r="R14">
            <v>0.1036107444884834</v>
          </cell>
          <cell r="S14">
            <v>0.86604629879192185</v>
          </cell>
          <cell r="T14">
            <v>0</v>
          </cell>
          <cell r="U14">
            <v>6.0791425861936421E-5</v>
          </cell>
          <cell r="V14">
            <v>2.9793538557543027E-2</v>
          </cell>
          <cell r="W14">
            <v>1.3430305460018315E-3</v>
          </cell>
          <cell r="X14">
            <v>0</v>
          </cell>
          <cell r="Y14">
            <v>0</v>
          </cell>
        </row>
        <row r="15">
          <cell r="P15">
            <v>0</v>
          </cell>
          <cell r="Q15">
            <v>0</v>
          </cell>
          <cell r="R15">
            <v>6.8547616547481233E-2</v>
          </cell>
          <cell r="S15">
            <v>0.90151872965887636</v>
          </cell>
          <cell r="T15">
            <v>0</v>
          </cell>
          <cell r="U15">
            <v>0</v>
          </cell>
          <cell r="V15">
            <v>2.7079924995399365E-2</v>
          </cell>
          <cell r="W15">
            <v>2.8537287982430223E-3</v>
          </cell>
          <cell r="X15">
            <v>0</v>
          </cell>
          <cell r="Y15">
            <v>0</v>
          </cell>
        </row>
        <row r="16">
          <cell r="P16">
            <v>0</v>
          </cell>
          <cell r="Q16">
            <v>0</v>
          </cell>
          <cell r="R16">
            <v>3.3533569659606813E-2</v>
          </cell>
          <cell r="S16">
            <v>0.93741469812708411</v>
          </cell>
          <cell r="T16">
            <v>1.3596095883780166E-4</v>
          </cell>
          <cell r="U16">
            <v>6.1109577304684499E-5</v>
          </cell>
          <cell r="V16">
            <v>2.2974060423680904E-2</v>
          </cell>
          <cell r="W16">
            <v>5.8806012534858816E-3</v>
          </cell>
          <cell r="X16">
            <v>0</v>
          </cell>
          <cell r="Y16">
            <v>0</v>
          </cell>
        </row>
        <row r="17">
          <cell r="P17">
            <v>0</v>
          </cell>
          <cell r="Q17">
            <v>0</v>
          </cell>
          <cell r="R17">
            <v>-1.3492807307259162E-3</v>
          </cell>
          <cell r="S17">
            <v>0.95428403112286442</v>
          </cell>
          <cell r="T17">
            <v>1.9065519212912631E-2</v>
          </cell>
          <cell r="U17">
            <v>6.1695825587014508E-5</v>
          </cell>
          <cell r="V17">
            <v>1.9361527667875966E-2</v>
          </cell>
          <cell r="W17">
            <v>8.5765069014859079E-3</v>
          </cell>
          <cell r="X17">
            <v>0</v>
          </cell>
          <cell r="Y17">
            <v>0</v>
          </cell>
        </row>
        <row r="18">
          <cell r="P18">
            <v>0</v>
          </cell>
          <cell r="Q18">
            <v>0</v>
          </cell>
          <cell r="R18">
            <v>-7.6778724766180483E-4</v>
          </cell>
          <cell r="S18">
            <v>0.78682092788677149</v>
          </cell>
          <cell r="T18">
            <v>0.18819745287983075</v>
          </cell>
          <cell r="U18">
            <v>5.9074568399093469E-5</v>
          </cell>
          <cell r="V18">
            <v>1.5740318936381982E-2</v>
          </cell>
          <cell r="W18">
            <v>9.9500129762784099E-3</v>
          </cell>
          <cell r="X18">
            <v>0</v>
          </cell>
          <cell r="Y18">
            <v>0</v>
          </cell>
        </row>
        <row r="19">
          <cell r="P19">
            <v>0</v>
          </cell>
          <cell r="Q19">
            <v>0</v>
          </cell>
          <cell r="R19">
            <v>-7.0833015526297849E-5</v>
          </cell>
          <cell r="S19">
            <v>0.61184831793213501</v>
          </cell>
          <cell r="T19">
            <v>0.36517842643746079</v>
          </cell>
          <cell r="U19">
            <v>5.5438002016640781E-5</v>
          </cell>
          <cell r="V19">
            <v>1.2152443404271029E-2</v>
          </cell>
          <cell r="W19">
            <v>1.0836207239642754E-2</v>
          </cell>
          <cell r="X19">
            <v>0</v>
          </cell>
          <cell r="Y19">
            <v>0</v>
          </cell>
        </row>
        <row r="20">
          <cell r="P20">
            <v>0</v>
          </cell>
          <cell r="Q20">
            <v>0</v>
          </cell>
          <cell r="R20">
            <v>-1.6756445682918427E-4</v>
          </cell>
          <cell r="S20">
            <v>0.46550671556396689</v>
          </cell>
          <cell r="T20">
            <v>0.51272962972815073</v>
          </cell>
          <cell r="U20">
            <v>5.3674024392545534E-5</v>
          </cell>
          <cell r="V20">
            <v>1.003892948193877E-2</v>
          </cell>
          <cell r="W20">
            <v>1.1838615658380219E-2</v>
          </cell>
          <cell r="X20">
            <v>0</v>
          </cell>
          <cell r="Y20">
            <v>0</v>
          </cell>
        </row>
        <row r="21">
          <cell r="P21">
            <v>0</v>
          </cell>
          <cell r="Q21">
            <v>0</v>
          </cell>
          <cell r="R21">
            <v>0</v>
          </cell>
          <cell r="S21">
            <v>0.31035870687022543</v>
          </cell>
          <cell r="T21">
            <v>0.66940859788427531</v>
          </cell>
          <cell r="U21">
            <v>5.123312650984576E-5</v>
          </cell>
          <cell r="V21">
            <v>7.7282831360511268E-3</v>
          </cell>
          <cell r="W21">
            <v>1.2453178982938202E-2</v>
          </cell>
          <cell r="X21">
            <v>0</v>
          </cell>
          <cell r="Y21">
            <v>0</v>
          </cell>
        </row>
        <row r="22">
          <cell r="P22">
            <v>0</v>
          </cell>
          <cell r="Q22">
            <v>0</v>
          </cell>
          <cell r="R22">
            <v>-4.32075991002226E-4</v>
          </cell>
          <cell r="S22">
            <v>0.24311049773062993</v>
          </cell>
          <cell r="T22">
            <v>0.73715647524345573</v>
          </cell>
          <cell r="U22">
            <v>5.3275793193071507E-5</v>
          </cell>
          <cell r="V22">
            <v>5.5092977387356454E-3</v>
          </cell>
          <cell r="W22">
            <v>1.4602529484987836E-2</v>
          </cell>
          <cell r="X22">
            <v>0</v>
          </cell>
          <cell r="Y22">
            <v>0</v>
          </cell>
        </row>
        <row r="23">
          <cell r="P23">
            <v>0</v>
          </cell>
          <cell r="Q23">
            <v>0</v>
          </cell>
          <cell r="R23">
            <v>0</v>
          </cell>
          <cell r="S23">
            <v>0.19362542046004541</v>
          </cell>
          <cell r="T23">
            <v>0.78793241435654604</v>
          </cell>
          <cell r="U23">
            <v>5.1944673309697292E-5</v>
          </cell>
          <cell r="V23">
            <v>3.1522038284773281E-3</v>
          </cell>
          <cell r="W23">
            <v>1.5238016681621509E-2</v>
          </cell>
          <cell r="X23">
            <v>0</v>
          </cell>
          <cell r="Y23">
            <v>0</v>
          </cell>
        </row>
        <row r="24">
          <cell r="P24">
            <v>0</v>
          </cell>
          <cell r="Q24">
            <v>0</v>
          </cell>
          <cell r="R24">
            <v>-9.1742064811208799E-5</v>
          </cell>
          <cell r="S24">
            <v>0.14624780635233983</v>
          </cell>
          <cell r="T24">
            <v>0.83521649044077151</v>
          </cell>
          <cell r="U24">
            <v>5.318459786779442E-5</v>
          </cell>
          <cell r="V24">
            <v>1.5475464069276289E-3</v>
          </cell>
          <cell r="W24">
            <v>1.7026714266904351E-2</v>
          </cell>
          <cell r="X24">
            <v>0</v>
          </cell>
          <cell r="Y24">
            <v>0</v>
          </cell>
        </row>
        <row r="25">
          <cell r="P25">
            <v>0</v>
          </cell>
          <cell r="Q25">
            <v>0</v>
          </cell>
          <cell r="R25">
            <v>0</v>
          </cell>
          <cell r="S25">
            <v>0.12355505391246421</v>
          </cell>
          <cell r="T25">
            <v>0.85578835684295074</v>
          </cell>
          <cell r="U25">
            <v>6.018375775501553E-5</v>
          </cell>
          <cell r="V25">
            <v>4.1580605666219567E-4</v>
          </cell>
          <cell r="W25">
            <v>2.0180599430167864E-2</v>
          </cell>
          <cell r="X25">
            <v>0</v>
          </cell>
          <cell r="Y25">
            <v>0</v>
          </cell>
        </row>
        <row r="26">
          <cell r="P26">
            <v>0</v>
          </cell>
          <cell r="Q26">
            <v>0</v>
          </cell>
          <cell r="R26">
            <v>0</v>
          </cell>
          <cell r="S26">
            <v>0.10275020898796096</v>
          </cell>
          <cell r="T26">
            <v>0.89724979101203906</v>
          </cell>
          <cell r="U26">
            <v>0</v>
          </cell>
          <cell r="V26">
            <v>0</v>
          </cell>
          <cell r="W26">
            <v>0</v>
          </cell>
          <cell r="X26">
            <v>0</v>
          </cell>
          <cell r="Y26">
            <v>0</v>
          </cell>
        </row>
        <row r="27">
          <cell r="P27">
            <v>0</v>
          </cell>
          <cell r="Q27">
            <v>0</v>
          </cell>
          <cell r="R27">
            <v>0</v>
          </cell>
          <cell r="S27">
            <v>7.1474053311938054E-2</v>
          </cell>
          <cell r="T27">
            <v>0.92852594668806199</v>
          </cell>
          <cell r="U27">
            <v>0</v>
          </cell>
          <cell r="V27">
            <v>0</v>
          </cell>
          <cell r="W27">
            <v>0</v>
          </cell>
          <cell r="X27">
            <v>0</v>
          </cell>
          <cell r="Y27">
            <v>0</v>
          </cell>
        </row>
        <row r="28">
          <cell r="P28">
            <v>0</v>
          </cell>
          <cell r="Q28">
            <v>0</v>
          </cell>
          <cell r="R28">
            <v>0</v>
          </cell>
          <cell r="S28">
            <v>3.5720906052447571E-2</v>
          </cell>
          <cell r="T28">
            <v>0.9642790939475524</v>
          </cell>
          <cell r="U28">
            <v>0</v>
          </cell>
          <cell r="V28">
            <v>0</v>
          </cell>
          <cell r="W28">
            <v>0</v>
          </cell>
          <cell r="X28">
            <v>0</v>
          </cell>
          <cell r="Y28">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3390.3031220563489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Claim Triangle"/>
      <sheetName val="Completion Factors"/>
      <sheetName val="Premium"/>
      <sheetName val="PL"/>
      <sheetName val="Summary"/>
      <sheetName val="Assume split"/>
      <sheetName val="PLAN LOOKUP"/>
    </sheetNames>
    <sheetDataSet>
      <sheetData sheetId="0"/>
      <sheetData sheetId="1"/>
      <sheetData sheetId="2"/>
      <sheetData sheetId="3"/>
      <sheetData sheetId="4"/>
      <sheetData sheetId="5"/>
      <sheetData sheetId="6">
        <row r="35">
          <cell r="H35">
            <v>7.4999999999999997E-2</v>
          </cell>
        </row>
        <row r="36">
          <cell r="H36">
            <v>2852.8990141421973</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47305.874897223257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L_Split_By_LOB"/>
      <sheetName val="EOB Information"/>
      <sheetName val="PT"/>
      <sheetName val="Summary"/>
      <sheetName val="Completion Factors"/>
      <sheetName val="Premium"/>
      <sheetName val="PL"/>
    </sheetNames>
    <sheetDataSet>
      <sheetData sheetId="0"/>
      <sheetData sheetId="1"/>
      <sheetData sheetId="2"/>
      <sheetData sheetId="3"/>
      <sheetData sheetId="4">
        <row r="35">
          <cell r="H35">
            <v>7.4999999999999997E-2</v>
          </cell>
        </row>
        <row r="36">
          <cell r="H36">
            <v>46527.596958871203</v>
          </cell>
        </row>
      </sheetData>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106873.12785662692</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L_By_LOB"/>
      <sheetName val="EOB"/>
      <sheetName val="Plan_Code_Table"/>
      <sheetName val="Claim Triangle"/>
      <sheetName val="Completion Factors"/>
      <sheetName val="Premium"/>
      <sheetName val="Summary"/>
      <sheetName val="Split"/>
      <sheetName val="PL"/>
    </sheetNames>
    <sheetDataSet>
      <sheetData sheetId="0"/>
      <sheetData sheetId="1"/>
      <sheetData sheetId="2"/>
      <sheetData sheetId="3"/>
      <sheetData sheetId="4"/>
      <sheetData sheetId="5"/>
      <sheetData sheetId="6"/>
      <sheetData sheetId="7">
        <row r="35">
          <cell r="H35">
            <v>7.4999999999999997E-2</v>
          </cell>
        </row>
        <row r="36">
          <cell r="H36">
            <v>88593.393911147272</v>
          </cell>
        </row>
      </sheetData>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Julia Oranias" id="{FC6D6499-D49C-4EF0-B72D-3446266526EE}" userId="S::joranias@actrisk.com::f83fb233-9eca-431f-9d3a-a35e583d3cea" providerId="AD"/>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1" dT="2024-10-08T17:48:23.40" personId="{FC6D6499-D49C-4EF0-B72D-3446266526EE}" id="{1B03B1B4-47AE-484A-985F-89FB3AF1A870}">
    <text>Unified has not booked the 507k reserve for LL according to Kevin’s email</text>
  </threadedComment>
  <threadedComment ref="J11" dT="2024-10-08T17:48:23.40" personId="{FC6D6499-D49C-4EF0-B72D-3446266526EE}" id="{4EA062A0-BE3E-4ACB-98F3-2F60190870C5}">
    <text>Unified has not booked the 507k reserve for LL according to Kevin’s email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D66-6A3A-466E-8973-92ABD33CCFF7}">
  <dimension ref="A1:P18"/>
  <sheetViews>
    <sheetView workbookViewId="0">
      <selection activeCell="M10" sqref="M10"/>
    </sheetView>
  </sheetViews>
  <sheetFormatPr defaultRowHeight="11.5" x14ac:dyDescent="0.25"/>
  <cols>
    <col min="1" max="1" width="15.875" bestFit="1" customWidth="1"/>
    <col min="2" max="2" width="14.875" bestFit="1" customWidth="1"/>
    <col min="3" max="3" width="15.5" bestFit="1" customWidth="1"/>
    <col min="4" max="4" width="12.5" bestFit="1" customWidth="1"/>
    <col min="5" max="5" width="21" bestFit="1" customWidth="1"/>
    <col min="7" max="7" width="23.25" bestFit="1" customWidth="1"/>
    <col min="8" max="9" width="18.25" customWidth="1"/>
    <col min="10" max="10" width="23.25" bestFit="1" customWidth="1"/>
    <col min="11" max="12" width="18.25" customWidth="1"/>
    <col min="13" max="13" width="34" customWidth="1"/>
    <col min="14" max="14" width="3.875" customWidth="1"/>
    <col min="15" max="15" width="40.25" bestFit="1" customWidth="1"/>
    <col min="16" max="16" width="13.625" bestFit="1" customWidth="1"/>
  </cols>
  <sheetData>
    <row r="1" spans="1:16" ht="12" x14ac:dyDescent="0.3">
      <c r="A1" s="1" t="s">
        <v>0</v>
      </c>
      <c r="B1" s="1" t="s">
        <v>1</v>
      </c>
      <c r="C1" s="1" t="s">
        <v>2</v>
      </c>
      <c r="D1" s="1" t="s">
        <v>3</v>
      </c>
      <c r="E1" s="1" t="s">
        <v>4</v>
      </c>
      <c r="G1" s="2" t="s">
        <v>32</v>
      </c>
      <c r="H1" s="2" t="s">
        <v>22</v>
      </c>
      <c r="I1" s="2" t="s">
        <v>23</v>
      </c>
      <c r="J1" s="2" t="s">
        <v>27</v>
      </c>
      <c r="K1" s="2" t="s">
        <v>22</v>
      </c>
      <c r="L1" s="2" t="s">
        <v>23</v>
      </c>
      <c r="M1" s="2" t="s">
        <v>24</v>
      </c>
      <c r="O1" s="2" t="s">
        <v>21</v>
      </c>
      <c r="P1" s="2" t="s">
        <v>26</v>
      </c>
    </row>
    <row r="2" spans="1:16" x14ac:dyDescent="0.25">
      <c r="A2" t="s">
        <v>5</v>
      </c>
      <c r="B2" s="9">
        <f>+[1]Summary!$H$33</f>
        <v>7619.8399568031218</v>
      </c>
      <c r="C2" s="4">
        <f>+[2]Summary!$H$35</f>
        <v>7.4999999999999997E-2</v>
      </c>
      <c r="D2" s="8">
        <f>+B2*C2</f>
        <v>571.48799676023407</v>
      </c>
      <c r="E2" s="8">
        <f>+B2+D2</f>
        <v>8191.3279535633555</v>
      </c>
      <c r="G2" s="9">
        <f>+[3]Summary!E2</f>
        <v>8631.7475542030043</v>
      </c>
      <c r="H2" s="9">
        <f>+E2-G2</f>
        <v>-440.41960063964871</v>
      </c>
      <c r="I2" s="10">
        <f>+H2/G2</f>
        <v>-5.1023225351996986E-2</v>
      </c>
      <c r="J2" s="9">
        <f>+[2]Summary!$H$36</f>
        <v>10194.181693825194</v>
      </c>
      <c r="K2" s="9">
        <f>+E2-J2</f>
        <v>-2002.8537402618385</v>
      </c>
      <c r="L2" s="10">
        <f>+K2/J2</f>
        <v>-0.19647028083431203</v>
      </c>
      <c r="M2" s="11"/>
      <c r="O2" t="s">
        <v>28</v>
      </c>
      <c r="P2" s="9" t="s">
        <v>25</v>
      </c>
    </row>
    <row r="3" spans="1:16" x14ac:dyDescent="0.25">
      <c r="A3" t="s">
        <v>6</v>
      </c>
      <c r="B3" s="9">
        <f>+[4]Summary!$H$33</f>
        <v>3390.3031220563489</v>
      </c>
      <c r="C3" s="3">
        <f>+[5]Summary!$H$35</f>
        <v>7.4999999999999997E-2</v>
      </c>
      <c r="D3" s="8">
        <f t="shared" ref="D3:D16" si="0">+B3*C3</f>
        <v>254.27273415422616</v>
      </c>
      <c r="E3" s="8">
        <f t="shared" ref="E3:E16" si="1">+B3+D3</f>
        <v>3644.5758562105752</v>
      </c>
      <c r="G3" s="9">
        <f>+[3]Summary!E3</f>
        <v>2852.5798682179311</v>
      </c>
      <c r="H3" s="9">
        <f t="shared" ref="H3:H16" si="2">+E3-G3</f>
        <v>791.99598799264413</v>
      </c>
      <c r="I3" s="10">
        <f t="shared" ref="I3:I16" si="3">+H3/G3</f>
        <v>0.27764200288191099</v>
      </c>
      <c r="J3" s="9">
        <f>+[5]Summary!$H$36</f>
        <v>2852.8990141421973</v>
      </c>
      <c r="K3" s="9">
        <f t="shared" ref="K3:K16" si="4">+E3-J3</f>
        <v>791.67684206837794</v>
      </c>
      <c r="L3" s="10">
        <f t="shared" ref="L3:L16" si="5">+K3/J3</f>
        <v>0.2774990766038094</v>
      </c>
      <c r="M3" s="11"/>
      <c r="O3" t="s">
        <v>29</v>
      </c>
      <c r="P3" s="9" t="s">
        <v>25</v>
      </c>
    </row>
    <row r="4" spans="1:16" x14ac:dyDescent="0.25">
      <c r="A4" t="s">
        <v>15</v>
      </c>
      <c r="B4" s="9">
        <f>+[6]Summary!$H$33</f>
        <v>47305.874897223257</v>
      </c>
      <c r="C4" s="3">
        <f>+[7]Summary!$H$35</f>
        <v>7.4999999999999997E-2</v>
      </c>
      <c r="D4" s="8">
        <f t="shared" si="0"/>
        <v>3547.9406172917443</v>
      </c>
      <c r="E4" s="8">
        <f t="shared" si="1"/>
        <v>50853.815514515001</v>
      </c>
      <c r="G4" s="9">
        <f>+[3]Summary!E4</f>
        <v>49112.790852981903</v>
      </c>
      <c r="H4" s="9">
        <f t="shared" si="2"/>
        <v>1741.024661533098</v>
      </c>
      <c r="I4" s="10">
        <f t="shared" si="3"/>
        <v>3.5449515926407403E-2</v>
      </c>
      <c r="J4" s="9">
        <f>+[7]Summary!$H$36</f>
        <v>46527.596958871203</v>
      </c>
      <c r="K4" s="9">
        <f t="shared" si="4"/>
        <v>4326.218555643798</v>
      </c>
      <c r="L4" s="10">
        <f t="shared" si="5"/>
        <v>9.2981775084323107E-2</v>
      </c>
      <c r="M4" s="11"/>
      <c r="O4" t="s">
        <v>29</v>
      </c>
      <c r="P4" s="9" t="s">
        <v>25</v>
      </c>
    </row>
    <row r="5" spans="1:16" ht="46" x14ac:dyDescent="0.25">
      <c r="A5" t="s">
        <v>7</v>
      </c>
      <c r="B5" s="9">
        <f>+[8]Summary!$H$33</f>
        <v>106873.12785662692</v>
      </c>
      <c r="C5" s="3">
        <f>+[9]Summary!$H$35</f>
        <v>7.4999999999999997E-2</v>
      </c>
      <c r="D5" s="8">
        <f t="shared" si="0"/>
        <v>8015.4845892470184</v>
      </c>
      <c r="E5" s="8">
        <f>+B5+D5</f>
        <v>114888.61244587394</v>
      </c>
      <c r="G5" s="9">
        <f>+[3]Summary!E5</f>
        <v>88425.599779025026</v>
      </c>
      <c r="H5" s="9">
        <f t="shared" si="2"/>
        <v>26463.01266684891</v>
      </c>
      <c r="I5" s="10">
        <f t="shared" si="3"/>
        <v>0.29926868161459802</v>
      </c>
      <c r="J5" s="9">
        <f>+[9]Summary!$H$36</f>
        <v>88593.393911147272</v>
      </c>
      <c r="K5" s="9">
        <f t="shared" si="4"/>
        <v>26295.218534726664</v>
      </c>
      <c r="L5" s="10">
        <f t="shared" si="5"/>
        <v>0.2968078924834831</v>
      </c>
      <c r="M5" s="11" t="s">
        <v>40</v>
      </c>
      <c r="O5" t="s">
        <v>29</v>
      </c>
      <c r="P5" s="9" t="s">
        <v>25</v>
      </c>
    </row>
    <row r="6" spans="1:16" ht="46" x14ac:dyDescent="0.25">
      <c r="A6" t="s">
        <v>8</v>
      </c>
      <c r="B6" s="9">
        <f>+[10]Summary!$H$33</f>
        <v>56798.012568008111</v>
      </c>
      <c r="C6" s="3">
        <f>+[11]Summary!$H$35</f>
        <v>7.4999999999999997E-2</v>
      </c>
      <c r="D6" s="8">
        <f t="shared" si="0"/>
        <v>4259.8509426006085</v>
      </c>
      <c r="E6" s="8">
        <f t="shared" si="1"/>
        <v>61057.863510608717</v>
      </c>
      <c r="G6" s="9">
        <f>+[3]Summary!E6</f>
        <v>33054.387942767222</v>
      </c>
      <c r="H6" s="9">
        <f t="shared" si="2"/>
        <v>28003.475567841495</v>
      </c>
      <c r="I6" s="10">
        <f t="shared" si="3"/>
        <v>0.84719389196764905</v>
      </c>
      <c r="J6" s="9">
        <f>+[11]Summary!$H$36</f>
        <v>32709.246771985087</v>
      </c>
      <c r="K6" s="9">
        <f t="shared" si="4"/>
        <v>28348.61673862363</v>
      </c>
      <c r="L6" s="10">
        <f t="shared" si="5"/>
        <v>0.86668509783306102</v>
      </c>
      <c r="M6" s="11" t="s">
        <v>33</v>
      </c>
      <c r="O6" t="s">
        <v>29</v>
      </c>
      <c r="P6" s="9" t="s">
        <v>25</v>
      </c>
    </row>
    <row r="7" spans="1:16" ht="34.5" x14ac:dyDescent="0.25">
      <c r="A7" t="s">
        <v>9</v>
      </c>
      <c r="B7" s="9">
        <f>+[12]Summary!$H$33</f>
        <v>53940.900161165511</v>
      </c>
      <c r="C7" s="3">
        <f>+[13]Summary!$H$35</f>
        <v>7.4999999999999997E-2</v>
      </c>
      <c r="D7" s="8">
        <f t="shared" si="0"/>
        <v>4045.567512087413</v>
      </c>
      <c r="E7" s="8">
        <f t="shared" si="1"/>
        <v>57986.467673252926</v>
      </c>
      <c r="G7" s="9">
        <f>+[3]Summary!E7</f>
        <v>45180.636489733821</v>
      </c>
      <c r="H7" s="9">
        <f t="shared" si="2"/>
        <v>12805.831183519105</v>
      </c>
      <c r="I7" s="10">
        <f t="shared" si="3"/>
        <v>0.28343627222757062</v>
      </c>
      <c r="J7" s="9">
        <f>+[13]Summary!$H$36</f>
        <v>43941.36</v>
      </c>
      <c r="K7" s="9">
        <f t="shared" si="4"/>
        <v>14045.107673252925</v>
      </c>
      <c r="L7" s="10">
        <f t="shared" si="5"/>
        <v>0.31963297615851954</v>
      </c>
      <c r="M7" s="11" t="s">
        <v>39</v>
      </c>
      <c r="O7" t="s">
        <v>29</v>
      </c>
      <c r="P7" s="9" t="s">
        <v>25</v>
      </c>
    </row>
    <row r="8" spans="1:16" x14ac:dyDescent="0.25">
      <c r="A8" t="s">
        <v>10</v>
      </c>
      <c r="B8" s="9">
        <f>+[14]Summary!$H$33</f>
        <v>121050.45028156454</v>
      </c>
      <c r="C8" s="3">
        <f>+[15]Summary!$H$35</f>
        <v>7.4999999999999997E-2</v>
      </c>
      <c r="D8" s="8">
        <f t="shared" si="0"/>
        <v>9078.7837711173397</v>
      </c>
      <c r="E8" s="8">
        <f t="shared" si="1"/>
        <v>130129.23405268187</v>
      </c>
      <c r="G8" s="9">
        <f>+[3]Summary!E8</f>
        <v>167297.80469924136</v>
      </c>
      <c r="H8" s="9">
        <f t="shared" si="2"/>
        <v>-37168.570646559485</v>
      </c>
      <c r="I8" s="10">
        <f t="shared" si="3"/>
        <v>-0.22217010386585206</v>
      </c>
      <c r="J8" s="9">
        <f>+[15]Summary!$H$36</f>
        <v>158653.1571364796</v>
      </c>
      <c r="K8" s="9">
        <f t="shared" si="4"/>
        <v>-28523.923083797723</v>
      </c>
      <c r="L8" s="10">
        <f t="shared" si="5"/>
        <v>-0.17978793235901597</v>
      </c>
      <c r="M8" s="11"/>
      <c r="O8" t="s">
        <v>29</v>
      </c>
      <c r="P8" s="9" t="s">
        <v>25</v>
      </c>
    </row>
    <row r="9" spans="1:16" x14ac:dyDescent="0.25">
      <c r="A9" t="s">
        <v>11</v>
      </c>
      <c r="B9" s="9">
        <f>+[16]Summary!$H$33</f>
        <v>156602.22053567567</v>
      </c>
      <c r="C9" s="3">
        <f>+[17]Summary!$H$35</f>
        <v>7.4999999999999997E-2</v>
      </c>
      <c r="D9" s="20">
        <f t="shared" si="0"/>
        <v>11745.166540175675</v>
      </c>
      <c r="E9" s="20">
        <f t="shared" si="1"/>
        <v>168347.38707585135</v>
      </c>
      <c r="G9" s="9">
        <f>+[3]Summary!E9</f>
        <v>163969.81611895896</v>
      </c>
      <c r="H9" s="9">
        <f t="shared" si="2"/>
        <v>4377.5709568923921</v>
      </c>
      <c r="I9" s="21">
        <f t="shared" si="3"/>
        <v>2.6697419442835105E-2</v>
      </c>
      <c r="J9" s="9">
        <f>+[17]Summary!$H$36</f>
        <v>167515.8389747378</v>
      </c>
      <c r="K9" s="9">
        <f t="shared" si="4"/>
        <v>831.54810111355619</v>
      </c>
      <c r="L9" s="21">
        <f t="shared" si="5"/>
        <v>4.9639968745818575E-3</v>
      </c>
      <c r="M9" s="22"/>
      <c r="O9" t="s">
        <v>29</v>
      </c>
      <c r="P9" s="9" t="s">
        <v>25</v>
      </c>
    </row>
    <row r="10" spans="1:16" ht="46" x14ac:dyDescent="0.25">
      <c r="A10" t="s">
        <v>12</v>
      </c>
      <c r="B10" s="9">
        <f>+[18]Summary!$H$33</f>
        <v>43588.86801584877</v>
      </c>
      <c r="C10" s="3">
        <f>+[19]Summary!$H$35</f>
        <v>7.4999999999999997E-2</v>
      </c>
      <c r="D10" s="8">
        <f t="shared" si="0"/>
        <v>3269.1651011886574</v>
      </c>
      <c r="E10" s="8">
        <f t="shared" si="1"/>
        <v>46858.033117037427</v>
      </c>
      <c r="G10" s="9">
        <f>+[3]Summary!E10</f>
        <v>62332.1531384915</v>
      </c>
      <c r="H10" s="9">
        <f t="shared" si="2"/>
        <v>-15474.120021454073</v>
      </c>
      <c r="I10" s="10">
        <f t="shared" si="3"/>
        <v>-0.24825261510015861</v>
      </c>
      <c r="J10" s="9">
        <f>+[19]Summary!$H$36</f>
        <v>61403.00276625227</v>
      </c>
      <c r="K10" s="9">
        <f t="shared" si="4"/>
        <v>-14544.969649214843</v>
      </c>
      <c r="L10" s="10">
        <f t="shared" si="5"/>
        <v>-0.23687717202665715</v>
      </c>
      <c r="M10" s="11" t="s">
        <v>35</v>
      </c>
      <c r="O10" t="s">
        <v>29</v>
      </c>
      <c r="P10" s="9" t="s">
        <v>25</v>
      </c>
    </row>
    <row r="11" spans="1:16" x14ac:dyDescent="0.25">
      <c r="A11" t="s">
        <v>19</v>
      </c>
      <c r="B11" s="9">
        <f>+[20]Summary!$H$33</f>
        <v>119547.49906658725</v>
      </c>
      <c r="C11" s="5">
        <v>0.05</v>
      </c>
      <c r="D11" s="8">
        <f t="shared" si="0"/>
        <v>5977.3749533293631</v>
      </c>
      <c r="E11" s="8">
        <f t="shared" si="1"/>
        <v>125524.87401991661</v>
      </c>
      <c r="G11" s="13">
        <f>+[3]Summary!E11</f>
        <v>43650.86019604317</v>
      </c>
      <c r="H11" s="9">
        <f t="shared" si="2"/>
        <v>81874.013823873436</v>
      </c>
      <c r="I11" s="10">
        <f t="shared" si="3"/>
        <v>1.8756563663617123</v>
      </c>
      <c r="J11" s="13">
        <f>+[21]Summary!$E$36-[21]Summary!$E$35</f>
        <v>121236.15000000002</v>
      </c>
      <c r="K11" s="9">
        <f t="shared" ref="K11" si="6">+E11-J11</f>
        <v>4288.7240199165826</v>
      </c>
      <c r="L11" s="10">
        <f t="shared" ref="L11" si="7">+K11/J11</f>
        <v>3.53749605205756E-2</v>
      </c>
      <c r="M11" s="11"/>
      <c r="O11" t="s">
        <v>30</v>
      </c>
      <c r="P11" s="9" t="s">
        <v>25</v>
      </c>
    </row>
    <row r="12" spans="1:16" x14ac:dyDescent="0.25">
      <c r="A12" t="s">
        <v>20</v>
      </c>
      <c r="B12" s="9">
        <f>+[22]Summary!$H$33</f>
        <v>9129.1638785080067</v>
      </c>
      <c r="C12" s="5">
        <v>0.05</v>
      </c>
      <c r="D12" s="8">
        <f t="shared" si="0"/>
        <v>456.45819392540034</v>
      </c>
      <c r="E12" s="8">
        <f t="shared" si="1"/>
        <v>9585.6220724334071</v>
      </c>
      <c r="G12" s="9">
        <f>+[3]Summary!E12</f>
        <v>7699.4075557553952</v>
      </c>
      <c r="H12" s="9">
        <f t="shared" si="2"/>
        <v>1886.2145166780119</v>
      </c>
      <c r="I12" s="10">
        <f t="shared" si="3"/>
        <v>0.24498177334021565</v>
      </c>
      <c r="J12" s="9">
        <f>+[23]Summary!$E$36</f>
        <v>21308.7</v>
      </c>
      <c r="K12" s="9">
        <f t="shared" ref="K12" si="8">+E12-J12</f>
        <v>-11723.077927566594</v>
      </c>
      <c r="L12" s="10">
        <f t="shared" ref="L12" si="9">+K12/J12</f>
        <v>-0.55015453441864559</v>
      </c>
      <c r="M12" s="11"/>
      <c r="O12" t="s">
        <v>30</v>
      </c>
      <c r="P12" s="9" t="s">
        <v>25</v>
      </c>
    </row>
    <row r="13" spans="1:16" ht="57.5" x14ac:dyDescent="0.25">
      <c r="A13" t="s">
        <v>17</v>
      </c>
      <c r="B13" s="9">
        <f>+[24]Summary!$H$33</f>
        <v>13784</v>
      </c>
      <c r="C13" s="3">
        <f>+[25]Summary!$H$35</f>
        <v>7.4999999999999997E-2</v>
      </c>
      <c r="D13" s="8">
        <f t="shared" si="0"/>
        <v>1033.8</v>
      </c>
      <c r="E13" s="8">
        <f t="shared" si="1"/>
        <v>14817.8</v>
      </c>
      <c r="G13" s="9">
        <f>+[3]Summary!E13</f>
        <v>13668.394487239271</v>
      </c>
      <c r="H13" s="9">
        <f t="shared" si="2"/>
        <v>1149.405512760728</v>
      </c>
      <c r="I13" s="10">
        <f t="shared" si="3"/>
        <v>8.4092210964045996E-2</v>
      </c>
      <c r="J13" s="9">
        <f>+[25]Summary!$H$36</f>
        <v>22925.112714356808</v>
      </c>
      <c r="K13" s="9">
        <f t="shared" si="4"/>
        <v>-8107.312714356809</v>
      </c>
      <c r="L13" s="10">
        <f t="shared" si="5"/>
        <v>-0.3536433087755167</v>
      </c>
      <c r="M13" s="11" t="s">
        <v>34</v>
      </c>
      <c r="O13" t="s">
        <v>29</v>
      </c>
      <c r="P13" s="9" t="s">
        <v>25</v>
      </c>
    </row>
    <row r="14" spans="1:16" ht="57.5" x14ac:dyDescent="0.25">
      <c r="A14" t="s">
        <v>18</v>
      </c>
      <c r="B14" s="9">
        <f>+[26]Summary!$H$33</f>
        <v>110893.3087176971</v>
      </c>
      <c r="C14" s="3">
        <f>+[27]Summary!$H$35</f>
        <v>7.4999999999999997E-2</v>
      </c>
      <c r="D14" s="8">
        <f t="shared" si="0"/>
        <v>8316.9981538272823</v>
      </c>
      <c r="E14" s="8">
        <f t="shared" si="1"/>
        <v>119210.30687152439</v>
      </c>
      <c r="G14" s="9" t="s">
        <v>25</v>
      </c>
      <c r="H14" s="9" t="s">
        <v>25</v>
      </c>
      <c r="I14" s="10" t="s">
        <v>25</v>
      </c>
      <c r="J14" s="9">
        <f>+[27]Summary!$H$36</f>
        <v>60621.568508703676</v>
      </c>
      <c r="K14" s="9">
        <f t="shared" si="4"/>
        <v>58588.73836282071</v>
      </c>
      <c r="L14" s="10">
        <f t="shared" si="5"/>
        <v>0.96646688306009265</v>
      </c>
      <c r="M14" s="11" t="s">
        <v>36</v>
      </c>
      <c r="O14" t="s">
        <v>29</v>
      </c>
      <c r="P14" s="9" t="s">
        <v>25</v>
      </c>
    </row>
    <row r="15" spans="1:16" ht="46" x14ac:dyDescent="0.25">
      <c r="A15" t="s">
        <v>13</v>
      </c>
      <c r="B15" s="9">
        <f>+[28]Summary!$L$33</f>
        <v>39594.873868356415</v>
      </c>
      <c r="C15" s="3">
        <f>+[29]Summary!$L$35</f>
        <v>7.4999999999999997E-2</v>
      </c>
      <c r="D15" s="8">
        <f t="shared" si="0"/>
        <v>2969.615540126731</v>
      </c>
      <c r="E15" s="8">
        <f t="shared" si="1"/>
        <v>42564.489408483147</v>
      </c>
      <c r="G15" s="9">
        <f>+[3]Summary!E15</f>
        <v>75281.134751770049</v>
      </c>
      <c r="H15" s="9">
        <f t="shared" si="2"/>
        <v>-32716.645343286902</v>
      </c>
      <c r="I15" s="10">
        <f t="shared" si="3"/>
        <v>-0.43459288241557292</v>
      </c>
      <c r="J15" s="9">
        <f>+[29]Summary!$L$36</f>
        <v>70721.566596096614</v>
      </c>
      <c r="K15" s="9">
        <f t="shared" si="4"/>
        <v>-28157.077187613468</v>
      </c>
      <c r="L15" s="10">
        <f t="shared" si="5"/>
        <v>-0.3981398962557422</v>
      </c>
      <c r="M15" s="11" t="s">
        <v>37</v>
      </c>
      <c r="O15" t="s">
        <v>31</v>
      </c>
      <c r="P15" s="9" t="s">
        <v>25</v>
      </c>
    </row>
    <row r="16" spans="1:16" s="14" customFormat="1" ht="23" x14ac:dyDescent="0.25">
      <c r="A16" s="14" t="s">
        <v>16</v>
      </c>
      <c r="B16" s="15">
        <f>+[30]Summary!$H$33</f>
        <v>641795.09928444633</v>
      </c>
      <c r="C16" s="16">
        <f>+[31]Summary!$H$35</f>
        <v>7.4999999999999997E-2</v>
      </c>
      <c r="D16" s="17">
        <f t="shared" si="0"/>
        <v>48134.632446333475</v>
      </c>
      <c r="E16" s="17">
        <f t="shared" si="1"/>
        <v>689929.73173077987</v>
      </c>
      <c r="G16" s="15">
        <f>+[3]Summary!E16</f>
        <v>880192.11819421395</v>
      </c>
      <c r="H16" s="15">
        <f t="shared" si="2"/>
        <v>-190262.38646343409</v>
      </c>
      <c r="I16" s="18">
        <f t="shared" si="3"/>
        <v>-0.21616006611576222</v>
      </c>
      <c r="J16" s="15">
        <f>+[31]Summary!$H$36</f>
        <v>777303.67606529</v>
      </c>
      <c r="K16" s="15">
        <f t="shared" si="4"/>
        <v>-87373.944334510132</v>
      </c>
      <c r="L16" s="18">
        <f t="shared" si="5"/>
        <v>-0.11240644683014611</v>
      </c>
      <c r="M16" s="19" t="s">
        <v>38</v>
      </c>
      <c r="O16" s="14" t="s">
        <v>29</v>
      </c>
      <c r="P16" s="15" t="s">
        <v>25</v>
      </c>
    </row>
    <row r="17" spans="1:13" x14ac:dyDescent="0.25">
      <c r="B17" s="9"/>
      <c r="M17" s="12"/>
    </row>
    <row r="18" spans="1:13" x14ac:dyDescent="0.25">
      <c r="A18" s="6" t="s">
        <v>14</v>
      </c>
      <c r="B18" s="7">
        <f>+SUM(B2:B17)</f>
        <v>1531913.5422105675</v>
      </c>
      <c r="C18" s="6"/>
      <c r="D18" s="7">
        <f>+SUM(D2:D17)</f>
        <v>111676.59909216517</v>
      </c>
      <c r="E18" s="7">
        <f>+SUM(E2:E17)</f>
        <v>1643590.1413027328</v>
      </c>
      <c r="F18" s="6"/>
      <c r="G18" s="7">
        <f>+SUM(G2:G17)</f>
        <v>1641349.4316286426</v>
      </c>
      <c r="H18" s="7">
        <f>+SUM(H2:H17)</f>
        <v>-116969.59719743438</v>
      </c>
      <c r="I18" s="10">
        <f>+H18/G18</f>
        <v>-7.1264287142909194E-2</v>
      </c>
      <c r="J18" s="7">
        <f>+SUM(J2:J17)</f>
        <v>1686507.4511118878</v>
      </c>
      <c r="K18" s="7">
        <f>+SUM(K2:K17)</f>
        <v>-42917.309809155166</v>
      </c>
      <c r="L18" s="10">
        <f>+K18/J18</f>
        <v>-2.5447447493256233E-2</v>
      </c>
      <c r="M18" s="1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008F-CC6D-4C08-B206-EDDC0B61AD88}">
  <dimension ref="A1:M29"/>
  <sheetViews>
    <sheetView tabSelected="1" workbookViewId="0">
      <selection activeCell="C4" sqref="C4"/>
    </sheetView>
  </sheetViews>
  <sheetFormatPr defaultRowHeight="11.5" x14ac:dyDescent="0.25"/>
  <cols>
    <col min="2" max="2" width="11.125" bestFit="1" customWidth="1"/>
    <col min="3" max="5" width="7.625" bestFit="1" customWidth="1"/>
    <col min="6" max="6" width="10.125" bestFit="1" customWidth="1"/>
    <col min="7" max="7" width="11.125" bestFit="1" customWidth="1"/>
    <col min="8" max="8" width="15.75" bestFit="1" customWidth="1"/>
    <col min="9" max="12" width="12.125" bestFit="1" customWidth="1"/>
    <col min="13" max="13" width="11.125" bestFit="1" customWidth="1"/>
  </cols>
  <sheetData>
    <row r="1" spans="1:13" x14ac:dyDescent="0.25">
      <c r="C1" s="24"/>
    </row>
    <row r="2" spans="1:13" x14ac:dyDescent="0.25">
      <c r="A2" s="28" t="s">
        <v>41</v>
      </c>
      <c r="B2" s="29" t="s">
        <v>43</v>
      </c>
      <c r="C2" s="30"/>
      <c r="D2" s="30"/>
      <c r="E2" s="30"/>
      <c r="F2" s="30"/>
      <c r="G2" s="30"/>
      <c r="H2" s="30"/>
      <c r="I2" s="30"/>
      <c r="J2" s="30"/>
      <c r="K2" s="30"/>
      <c r="L2" s="31"/>
    </row>
    <row r="3" spans="1:13" x14ac:dyDescent="0.25">
      <c r="A3" s="32" t="s">
        <v>42</v>
      </c>
      <c r="B3" s="27" t="s">
        <v>44</v>
      </c>
      <c r="C3" s="6" t="s">
        <v>45</v>
      </c>
      <c r="D3" s="6" t="s">
        <v>46</v>
      </c>
      <c r="E3" s="6" t="s">
        <v>47</v>
      </c>
      <c r="F3" s="6" t="s">
        <v>48</v>
      </c>
      <c r="G3" s="6" t="s">
        <v>49</v>
      </c>
      <c r="H3" s="6" t="s">
        <v>50</v>
      </c>
      <c r="I3" s="6" t="s">
        <v>51</v>
      </c>
      <c r="J3" s="6" t="s">
        <v>52</v>
      </c>
      <c r="K3" s="6" t="s">
        <v>53</v>
      </c>
      <c r="L3" s="33" t="s">
        <v>54</v>
      </c>
      <c r="M3" t="s">
        <v>55</v>
      </c>
    </row>
    <row r="4" spans="1:13" x14ac:dyDescent="0.25">
      <c r="A4" s="34" t="s">
        <v>56</v>
      </c>
      <c r="B4" s="35">
        <f>+SUM(B5:B28)</f>
        <v>641795.09928444633</v>
      </c>
      <c r="C4" s="35">
        <f>+SUM(C5:C28)</f>
        <v>-0.15809138743189935</v>
      </c>
      <c r="D4" s="35">
        <f t="shared" ref="D4:M4" si="0">+SUM(D5:D28)</f>
        <v>-0.1100480846757419</v>
      </c>
      <c r="E4" s="35">
        <f t="shared" si="0"/>
        <v>274.04327134294022</v>
      </c>
      <c r="F4" s="35">
        <f t="shared" si="0"/>
        <v>70014.37883711599</v>
      </c>
      <c r="G4" s="35">
        <f t="shared" si="0"/>
        <v>567773.39487239753</v>
      </c>
      <c r="H4" s="35">
        <f t="shared" si="0"/>
        <v>10.28437413489991</v>
      </c>
      <c r="I4" s="35">
        <f t="shared" si="0"/>
        <v>642.12026665509279</v>
      </c>
      <c r="J4" s="35">
        <f t="shared" si="0"/>
        <v>3075.4681480472773</v>
      </c>
      <c r="K4" s="35">
        <f t="shared" si="0"/>
        <v>0</v>
      </c>
      <c r="L4" s="36">
        <f t="shared" si="0"/>
        <v>5.6776542247191424</v>
      </c>
      <c r="M4" s="37">
        <f t="shared" si="0"/>
        <v>0</v>
      </c>
    </row>
    <row r="5" spans="1:13" x14ac:dyDescent="0.25">
      <c r="A5" s="23">
        <f>+[30]Summary!A8</f>
        <v>44805</v>
      </c>
      <c r="B5" s="24">
        <f>+[30]Summary!H8</f>
        <v>0</v>
      </c>
      <c r="C5" s="25">
        <f>+$B5*[32]Allocation!P5</f>
        <v>0</v>
      </c>
      <c r="D5" s="25">
        <f>+$B5*[32]Allocation!Q5</f>
        <v>0</v>
      </c>
      <c r="E5" s="25">
        <f>+$B5*[32]Allocation!R5</f>
        <v>0</v>
      </c>
      <c r="F5" s="25">
        <f>+$B5*[32]Allocation!S5</f>
        <v>0</v>
      </c>
      <c r="G5" s="25">
        <f>+$B5*[32]Allocation!T5</f>
        <v>0</v>
      </c>
      <c r="H5" s="25">
        <f>+$B5*[32]Allocation!U5</f>
        <v>0</v>
      </c>
      <c r="I5" s="25">
        <f>+$B5*[32]Allocation!V5</f>
        <v>0</v>
      </c>
      <c r="J5" s="25">
        <f>+$B5*[32]Allocation!W5</f>
        <v>0</v>
      </c>
      <c r="K5" s="25">
        <f>+$B5*[32]Allocation!X5</f>
        <v>0</v>
      </c>
      <c r="L5" s="25">
        <f>+$B5*[32]Allocation!Y5</f>
        <v>0</v>
      </c>
      <c r="M5" s="26">
        <f>+B5-SUM(C5:L5)</f>
        <v>0</v>
      </c>
    </row>
    <row r="6" spans="1:13" x14ac:dyDescent="0.25">
      <c r="A6" s="23">
        <f>+[30]Summary!A9</f>
        <v>44835</v>
      </c>
      <c r="B6" s="24">
        <f>+[30]Summary!H9</f>
        <v>0</v>
      </c>
      <c r="C6" s="25">
        <f>+$B6*[32]Allocation!P6</f>
        <v>0</v>
      </c>
      <c r="D6" s="25">
        <f>+$B6*[32]Allocation!Q6</f>
        <v>0</v>
      </c>
      <c r="E6" s="25">
        <f>+$B6*[32]Allocation!R6</f>
        <v>0</v>
      </c>
      <c r="F6" s="25">
        <f>+$B6*[32]Allocation!S6</f>
        <v>0</v>
      </c>
      <c r="G6" s="25">
        <f>+$B6*[32]Allocation!T6</f>
        <v>0</v>
      </c>
      <c r="H6" s="25">
        <f>+$B6*[32]Allocation!U6</f>
        <v>0</v>
      </c>
      <c r="I6" s="25">
        <f>+$B6*[32]Allocation!V6</f>
        <v>0</v>
      </c>
      <c r="J6" s="25">
        <f>+$B6*[32]Allocation!W6</f>
        <v>0</v>
      </c>
      <c r="K6" s="25">
        <f>+$B6*[32]Allocation!X6</f>
        <v>0</v>
      </c>
      <c r="L6" s="25">
        <f>+$B6*[32]Allocation!Y6</f>
        <v>0</v>
      </c>
      <c r="M6" s="26">
        <f t="shared" ref="M6:M28" si="1">+B6-SUM(C6:L6)</f>
        <v>0</v>
      </c>
    </row>
    <row r="7" spans="1:13" x14ac:dyDescent="0.25">
      <c r="A7" s="23">
        <f>+[30]Summary!A10</f>
        <v>44866</v>
      </c>
      <c r="B7" s="24">
        <f>+[30]Summary!H10</f>
        <v>27.144330718670972</v>
      </c>
      <c r="C7" s="25">
        <f>+$B7*[32]Allocation!P7</f>
        <v>0</v>
      </c>
      <c r="D7" s="25">
        <f>+$B7*[32]Allocation!Q7</f>
        <v>0</v>
      </c>
      <c r="E7" s="25">
        <f>+$B7*[32]Allocation!R7</f>
        <v>17.753386732229597</v>
      </c>
      <c r="F7" s="25">
        <f>+$B7*[32]Allocation!S7</f>
        <v>8.234054244632615</v>
      </c>
      <c r="G7" s="25">
        <f>+$B7*[32]Allocation!T7</f>
        <v>0</v>
      </c>
      <c r="H7" s="25">
        <f>+$B7*[32]Allocation!U7</f>
        <v>1.6796527733401547E-3</v>
      </c>
      <c r="I7" s="25">
        <f>+$B7*[32]Allocation!V7</f>
        <v>0.58803523941207381</v>
      </c>
      <c r="J7" s="25">
        <f>+$B7*[32]Allocation!W7</f>
        <v>0</v>
      </c>
      <c r="K7" s="25">
        <f>+$B7*[32]Allocation!X7</f>
        <v>0</v>
      </c>
      <c r="L7" s="25">
        <f>+$B7*[32]Allocation!Y7</f>
        <v>0.56717484962334741</v>
      </c>
      <c r="M7" s="26">
        <f t="shared" si="1"/>
        <v>0</v>
      </c>
    </row>
    <row r="8" spans="1:13" x14ac:dyDescent="0.25">
      <c r="A8" s="23">
        <f>+[30]Summary!A11</f>
        <v>44896</v>
      </c>
      <c r="B8" s="24">
        <f>+[30]Summary!H11</f>
        <v>88.232248612708645</v>
      </c>
      <c r="C8" s="25">
        <f>+$B8*[32]Allocation!P8</f>
        <v>0</v>
      </c>
      <c r="D8" s="25">
        <f>+$B8*[32]Allocation!Q8</f>
        <v>0</v>
      </c>
      <c r="E8" s="25">
        <f>+$B8*[32]Allocation!R8</f>
        <v>44.855954438747851</v>
      </c>
      <c r="F8" s="25">
        <f>+$B8*[32]Allocation!S8</f>
        <v>39.877989187827538</v>
      </c>
      <c r="G8" s="25">
        <f>+$B8*[32]Allocation!T8</f>
        <v>0</v>
      </c>
      <c r="H8" s="25">
        <f>+$B8*[32]Allocation!U8</f>
        <v>5.3137797472472235E-3</v>
      </c>
      <c r="I8" s="25">
        <f>+$B8*[32]Allocation!V8</f>
        <v>1.9947386543051291</v>
      </c>
      <c r="J8" s="25">
        <f>+$B8*[32]Allocation!W8</f>
        <v>0</v>
      </c>
      <c r="K8" s="25">
        <f>+$B8*[32]Allocation!X8</f>
        <v>0</v>
      </c>
      <c r="L8" s="25">
        <f>+$B8*[32]Allocation!Y8</f>
        <v>1.4982525520808794</v>
      </c>
      <c r="M8" s="26">
        <f t="shared" si="1"/>
        <v>0</v>
      </c>
    </row>
    <row r="9" spans="1:13" x14ac:dyDescent="0.25">
      <c r="A9" s="23">
        <f>+[30]Summary!A12</f>
        <v>44927</v>
      </c>
      <c r="B9" s="24">
        <f>+[30]Summary!H12</f>
        <v>92.377428843727103</v>
      </c>
      <c r="C9" s="25">
        <f>+$B9*[32]Allocation!P9</f>
        <v>-5.5853111549604262E-2</v>
      </c>
      <c r="D9" s="25">
        <f>+$B9*[32]Allocation!Q9</f>
        <v>-2.7926555774802131E-2</v>
      </c>
      <c r="E9" s="25">
        <f>+$B9*[32]Allocation!R9</f>
        <v>33.0732681512048</v>
      </c>
      <c r="F9" s="25">
        <f>+$B9*[32]Allocation!S9</f>
        <v>56.009686259274091</v>
      </c>
      <c r="G9" s="25">
        <f>+$B9*[32]Allocation!T9</f>
        <v>0</v>
      </c>
      <c r="H9" s="25">
        <f>+$B9*[32]Allocation!U9</f>
        <v>5.4642331822881427E-3</v>
      </c>
      <c r="I9" s="25">
        <f>+$B9*[32]Allocation!V9</f>
        <v>2.1260404807462594</v>
      </c>
      <c r="J9" s="25">
        <f>+$B9*[32]Allocation!W9</f>
        <v>0</v>
      </c>
      <c r="K9" s="25">
        <f>+$B9*[32]Allocation!X9</f>
        <v>0</v>
      </c>
      <c r="L9" s="25">
        <f>+$B9*[32]Allocation!Y9</f>
        <v>1.2467493866440671</v>
      </c>
      <c r="M9" s="26">
        <f t="shared" si="1"/>
        <v>0</v>
      </c>
    </row>
    <row r="10" spans="1:13" x14ac:dyDescent="0.25">
      <c r="A10" s="23">
        <f>+[30]Summary!A13</f>
        <v>44958</v>
      </c>
      <c r="B10" s="24">
        <f>+[30]Summary!H13</f>
        <v>107.21873964028782</v>
      </c>
      <c r="C10" s="25">
        <f>+$B10*[32]Allocation!P10</f>
        <v>0</v>
      </c>
      <c r="D10" s="25">
        <f>+$B10*[32]Allocation!Q10</f>
        <v>0</v>
      </c>
      <c r="E10" s="25">
        <f>+$B10*[32]Allocation!R10</f>
        <v>30.31025147336468</v>
      </c>
      <c r="F10" s="25">
        <f>+$B10*[32]Allocation!S10</f>
        <v>73.074619670467058</v>
      </c>
      <c r="G10" s="25">
        <f>+$B10*[32]Allocation!T10</f>
        <v>0</v>
      </c>
      <c r="H10" s="25">
        <f>+$B10*[32]Allocation!U10</f>
        <v>6.4415158209175484E-3</v>
      </c>
      <c r="I10" s="25">
        <f>+$B10*[32]Allocation!V10</f>
        <v>2.8597245334758576</v>
      </c>
      <c r="J10" s="25">
        <f>+$B10*[32]Allocation!W10</f>
        <v>0</v>
      </c>
      <c r="K10" s="25">
        <f>+$B10*[32]Allocation!X10</f>
        <v>0</v>
      </c>
      <c r="L10" s="25">
        <f>+$B10*[32]Allocation!Y10</f>
        <v>0.96770244715930798</v>
      </c>
      <c r="M10" s="26">
        <f t="shared" si="1"/>
        <v>0</v>
      </c>
    </row>
    <row r="11" spans="1:13" x14ac:dyDescent="0.25">
      <c r="A11" s="23">
        <f>+[30]Summary!A14</f>
        <v>44986</v>
      </c>
      <c r="B11" s="24">
        <f>+[30]Summary!H14</f>
        <v>196.62058278254699</v>
      </c>
      <c r="C11" s="25">
        <f>+$B11*[32]Allocation!P11</f>
        <v>0</v>
      </c>
      <c r="D11" s="25">
        <f>+$B11*[32]Allocation!Q11</f>
        <v>0</v>
      </c>
      <c r="E11" s="25">
        <f>+$B11*[32]Allocation!R11</f>
        <v>44.495546609741716</v>
      </c>
      <c r="F11" s="25">
        <f>+$B11*[32]Allocation!S11</f>
        <v>145.52132476444993</v>
      </c>
      <c r="G11" s="25">
        <f>+$B11*[32]Allocation!T11</f>
        <v>0</v>
      </c>
      <c r="H11" s="25">
        <f>+$B11*[32]Allocation!U11</f>
        <v>1.1527510035817494E-2</v>
      </c>
      <c r="I11" s="25">
        <f>+$B11*[32]Allocation!V11</f>
        <v>5.5917333858450444</v>
      </c>
      <c r="J11" s="25">
        <f>+$B11*[32]Allocation!W11</f>
        <v>0</v>
      </c>
      <c r="K11" s="25">
        <f>+$B11*[32]Allocation!X11</f>
        <v>0</v>
      </c>
      <c r="L11" s="25">
        <f>+$B11*[32]Allocation!Y11</f>
        <v>1.0004505124744723</v>
      </c>
      <c r="M11" s="26">
        <f t="shared" si="1"/>
        <v>0</v>
      </c>
    </row>
    <row r="12" spans="1:13" x14ac:dyDescent="0.25">
      <c r="A12" s="23">
        <f>+[30]Summary!A15</f>
        <v>45017</v>
      </c>
      <c r="B12" s="24">
        <f>+[30]Summary!H15</f>
        <v>122.27101556447451</v>
      </c>
      <c r="C12" s="25">
        <f>+$B12*[32]Allocation!P12</f>
        <v>-3.6924412011673691E-3</v>
      </c>
      <c r="D12" s="25">
        <f>+$B12*[32]Allocation!Q12</f>
        <v>0</v>
      </c>
      <c r="E12" s="25">
        <f>+$B12*[32]Allocation!R12</f>
        <v>22.301198608817103</v>
      </c>
      <c r="F12" s="25">
        <f>+$B12*[32]Allocation!S12</f>
        <v>96.060948601499561</v>
      </c>
      <c r="G12" s="25">
        <f>+$B12*[32]Allocation!T12</f>
        <v>0</v>
      </c>
      <c r="H12" s="25">
        <f>+$B12*[32]Allocation!U12</f>
        <v>7.4353172366222065E-3</v>
      </c>
      <c r="I12" s="25">
        <f>+$B12*[32]Allocation!V12</f>
        <v>3.5955238507397289</v>
      </c>
      <c r="J12" s="25">
        <f>+$B12*[32]Allocation!W12</f>
        <v>0</v>
      </c>
      <c r="K12" s="25">
        <f>+$B12*[32]Allocation!X12</f>
        <v>0</v>
      </c>
      <c r="L12" s="25">
        <f>+$B12*[32]Allocation!Y12</f>
        <v>0.3096016273826524</v>
      </c>
      <c r="M12" s="26">
        <f t="shared" si="1"/>
        <v>0</v>
      </c>
    </row>
    <row r="13" spans="1:13" x14ac:dyDescent="0.25">
      <c r="A13" s="23">
        <f>+[30]Summary!A16</f>
        <v>45047</v>
      </c>
      <c r="B13" s="24">
        <f>+[30]Summary!H16</f>
        <v>159.61588665016461</v>
      </c>
      <c r="C13" s="25">
        <f>+$B13*[32]Allocation!P13</f>
        <v>0</v>
      </c>
      <c r="D13" s="25">
        <f>+$B13*[32]Allocation!Q13</f>
        <v>0</v>
      </c>
      <c r="E13" s="25">
        <f>+$B13*[32]Allocation!R13</f>
        <v>21.813912238293309</v>
      </c>
      <c r="F13" s="25">
        <f>+$B13*[32]Allocation!S13</f>
        <v>132.8229298158644</v>
      </c>
      <c r="G13" s="25">
        <f>+$B13*[32]Allocation!T13</f>
        <v>0</v>
      </c>
      <c r="H13" s="25">
        <f>+$B13*[32]Allocation!U13</f>
        <v>9.5951180833048575E-3</v>
      </c>
      <c r="I13" s="25">
        <f>+$B13*[32]Allocation!V13</f>
        <v>4.8817266285691616</v>
      </c>
      <c r="J13" s="25">
        <f>+$B13*[32]Allocation!W13</f>
        <v>0</v>
      </c>
      <c r="K13" s="25">
        <f>+$B13*[32]Allocation!X13</f>
        <v>0</v>
      </c>
      <c r="L13" s="25">
        <f>+$B13*[32]Allocation!Y13</f>
        <v>8.7722849354415919E-2</v>
      </c>
      <c r="M13" s="26">
        <f t="shared" si="1"/>
        <v>0</v>
      </c>
    </row>
    <row r="14" spans="1:13" x14ac:dyDescent="0.25">
      <c r="A14" s="23">
        <f>+[30]Summary!A17</f>
        <v>45078</v>
      </c>
      <c r="B14" s="24">
        <f>+[30]Summary!H17</f>
        <v>211.4543047529296</v>
      </c>
      <c r="C14" s="25">
        <f>+$B14*[32]Allocation!P14</f>
        <v>-9.8545834681127709E-2</v>
      </c>
      <c r="D14" s="25">
        <f>+$B14*[32]Allocation!Q14</f>
        <v>-8.2121528900939766E-2</v>
      </c>
      <c r="E14" s="25">
        <f>+$B14*[32]Allocation!R14</f>
        <v>21.908937940745691</v>
      </c>
      <c r="F14" s="25">
        <f>+$B14*[32]Allocation!S14</f>
        <v>183.12921799489376</v>
      </c>
      <c r="G14" s="25">
        <f>+$B14*[32]Allocation!T14</f>
        <v>0</v>
      </c>
      <c r="H14" s="25">
        <f>+$B14*[32]Allocation!U14</f>
        <v>1.2854608690575029E-2</v>
      </c>
      <c r="I14" s="25">
        <f>+$B14*[32]Allocation!V14</f>
        <v>6.2999719818148616</v>
      </c>
      <c r="J14" s="25">
        <f>+$B14*[32]Allocation!W14</f>
        <v>0.28398959036676469</v>
      </c>
      <c r="K14" s="25">
        <f>+$B14*[32]Allocation!X14</f>
        <v>0</v>
      </c>
      <c r="L14" s="25">
        <f>+$B14*[32]Allocation!Y14</f>
        <v>0</v>
      </c>
      <c r="M14" s="26">
        <f t="shared" si="1"/>
        <v>0</v>
      </c>
    </row>
    <row r="15" spans="1:13" x14ac:dyDescent="0.25">
      <c r="A15" s="23">
        <f>+[30]Summary!A18</f>
        <v>45108</v>
      </c>
      <c r="B15" s="24">
        <f>+[30]Summary!H18</f>
        <v>342.62754623574438</v>
      </c>
      <c r="C15" s="25">
        <f>+$B15*[32]Allocation!P15</f>
        <v>0</v>
      </c>
      <c r="D15" s="25">
        <f>+$B15*[32]Allocation!Q15</f>
        <v>0</v>
      </c>
      <c r="E15" s="25">
        <f>+$B15*[32]Allocation!R15</f>
        <v>23.486301657972202</v>
      </c>
      <c r="F15" s="25">
        <f>+$B15*[32]Allocation!S15</f>
        <v>308.88515022858621</v>
      </c>
      <c r="G15" s="25">
        <f>+$B15*[32]Allocation!T15</f>
        <v>0</v>
      </c>
      <c r="H15" s="25">
        <f>+$B15*[32]Allocation!U15</f>
        <v>0</v>
      </c>
      <c r="I15" s="25">
        <f>+$B15*[32]Allocation!V15</f>
        <v>9.2783282534216855</v>
      </c>
      <c r="J15" s="25">
        <f>+$B15*[32]Allocation!W15</f>
        <v>0.9777660957642863</v>
      </c>
      <c r="K15" s="25">
        <f>+$B15*[32]Allocation!X15</f>
        <v>0</v>
      </c>
      <c r="L15" s="25">
        <f>+$B15*[32]Allocation!Y15</f>
        <v>0</v>
      </c>
      <c r="M15" s="26">
        <f t="shared" si="1"/>
        <v>0</v>
      </c>
    </row>
    <row r="16" spans="1:13" x14ac:dyDescent="0.25">
      <c r="A16" s="23">
        <f>+[30]Summary!A19</f>
        <v>45139</v>
      </c>
      <c r="B16" s="24">
        <f>+[30]Summary!H19</f>
        <v>915.23139995508245</v>
      </c>
      <c r="C16" s="25">
        <f>+$B16*[32]Allocation!P16</f>
        <v>0</v>
      </c>
      <c r="D16" s="25">
        <f>+$B16*[32]Allocation!Q16</f>
        <v>0</v>
      </c>
      <c r="E16" s="25">
        <f>+$B16*[32]Allocation!R16</f>
        <v>30.690975905053222</v>
      </c>
      <c r="F16" s="25">
        <f>+$B16*[32]Allocation!S16</f>
        <v>857.9513665053222</v>
      </c>
      <c r="G16" s="25">
        <f>+$B16*[32]Allocation!T16</f>
        <v>0.12443573869635655</v>
      </c>
      <c r="H16" s="25">
        <f>+$B16*[32]Allocation!U16</f>
        <v>5.5929403987229731E-2</v>
      </c>
      <c r="I16" s="25">
        <f>+$B16*[32]Allocation!V16</f>
        <v>21.026581484218127</v>
      </c>
      <c r="J16" s="25">
        <f>+$B16*[32]Allocation!W16</f>
        <v>5.3821109178054964</v>
      </c>
      <c r="K16" s="25">
        <f>+$B16*[32]Allocation!X16</f>
        <v>0</v>
      </c>
      <c r="L16" s="25">
        <f>+$B16*[32]Allocation!Y16</f>
        <v>0</v>
      </c>
      <c r="M16" s="26">
        <f t="shared" si="1"/>
        <v>0</v>
      </c>
    </row>
    <row r="17" spans="1:13" x14ac:dyDescent="0.25">
      <c r="A17" s="23">
        <f>+[30]Summary!A20</f>
        <v>45170</v>
      </c>
      <c r="B17" s="24">
        <f>+[30]Summary!H20</f>
        <v>1824.5925900268194</v>
      </c>
      <c r="C17" s="25">
        <f>+$B17*[32]Allocation!P17</f>
        <v>0</v>
      </c>
      <c r="D17" s="25">
        <f>+$B17*[32]Allocation!Q17</f>
        <v>0</v>
      </c>
      <c r="E17" s="25">
        <f>+$B17*[32]Allocation!R17</f>
        <v>-2.461887623148479</v>
      </c>
      <c r="F17" s="25">
        <f>+$B17*[32]Allocation!S17</f>
        <v>1741.1795719677011</v>
      </c>
      <c r="G17" s="25">
        <f>+$B17*[32]Allocation!T17</f>
        <v>34.786805080894347</v>
      </c>
      <c r="H17" s="25">
        <f>+$B17*[32]Allocation!U17</f>
        <v>0.11256974620165372</v>
      </c>
      <c r="I17" s="25">
        <f>+$B17*[32]Allocation!V17</f>
        <v>35.326899914405736</v>
      </c>
      <c r="J17" s="25">
        <f>+$B17*[32]Allocation!W17</f>
        <v>15.648630940765065</v>
      </c>
      <c r="K17" s="25">
        <f>+$B17*[32]Allocation!X17</f>
        <v>0</v>
      </c>
      <c r="L17" s="25">
        <f>+$B17*[32]Allocation!Y17</f>
        <v>0</v>
      </c>
      <c r="M17" s="26">
        <f t="shared" si="1"/>
        <v>0</v>
      </c>
    </row>
    <row r="18" spans="1:13" x14ac:dyDescent="0.25">
      <c r="A18" s="23">
        <f>+[30]Summary!A21</f>
        <v>45200</v>
      </c>
      <c r="B18" s="24">
        <f>+[30]Summary!H21</f>
        <v>3362.1916688863421</v>
      </c>
      <c r="C18" s="25">
        <f>+$B18*[32]Allocation!P18</f>
        <v>0</v>
      </c>
      <c r="D18" s="25">
        <f>+$B18*[32]Allocation!Q18</f>
        <v>0</v>
      </c>
      <c r="E18" s="25">
        <f>+$B18*[32]Allocation!R18</f>
        <v>-2.581447887565695</v>
      </c>
      <c r="F18" s="25">
        <f>+$B18*[32]Allocation!S18</f>
        <v>2645.4427686463246</v>
      </c>
      <c r="G18" s="25">
        <f>+$B18*[32]Allocation!T18</f>
        <v>632.75590817819693</v>
      </c>
      <c r="H18" s="25">
        <f>+$B18*[32]Allocation!U18</f>
        <v>0.19862002171448845</v>
      </c>
      <c r="I18" s="25">
        <f>+$B18*[32]Allocation!V18</f>
        <v>52.921969193517427</v>
      </c>
      <c r="J18" s="25">
        <f>+$B18*[32]Allocation!W18</f>
        <v>33.453850734154265</v>
      </c>
      <c r="K18" s="25">
        <f>+$B18*[32]Allocation!X18</f>
        <v>0</v>
      </c>
      <c r="L18" s="25">
        <f>+$B18*[32]Allocation!Y18</f>
        <v>0</v>
      </c>
      <c r="M18" s="26">
        <f t="shared" si="1"/>
        <v>0</v>
      </c>
    </row>
    <row r="19" spans="1:13" x14ac:dyDescent="0.25">
      <c r="A19" s="23">
        <f>+[30]Summary!A22</f>
        <v>45231</v>
      </c>
      <c r="B19" s="24">
        <f>+[30]Summary!H22</f>
        <v>5100.7230321582756</v>
      </c>
      <c r="C19" s="25">
        <f>+$B19*[32]Allocation!P19</f>
        <v>0</v>
      </c>
      <c r="D19" s="25">
        <f>+$B19*[32]Allocation!Q19</f>
        <v>0</v>
      </c>
      <c r="E19" s="25">
        <f>+$B19*[32]Allocation!R19</f>
        <v>-0.36129959373221215</v>
      </c>
      <c r="F19" s="25">
        <f>+$B19*[32]Allocation!S19</f>
        <v>3120.8688074637403</v>
      </c>
      <c r="G19" s="25">
        <f>+$B19*[32]Allocation!T19</f>
        <v>1862.6740105768729</v>
      </c>
      <c r="H19" s="25">
        <f>+$B19*[32]Allocation!U19</f>
        <v>0.28277389374311657</v>
      </c>
      <c r="I19" s="25">
        <f>+$B19*[32]Allocation!V19</f>
        <v>61.986247969165156</v>
      </c>
      <c r="J19" s="25">
        <f>+$B19*[32]Allocation!W19</f>
        <v>55.272491848486048</v>
      </c>
      <c r="K19" s="25">
        <f>+$B19*[32]Allocation!X19</f>
        <v>0</v>
      </c>
      <c r="L19" s="25">
        <f>+$B19*[32]Allocation!Y19</f>
        <v>0</v>
      </c>
      <c r="M19" s="26">
        <f t="shared" si="1"/>
        <v>0</v>
      </c>
    </row>
    <row r="20" spans="1:13" x14ac:dyDescent="0.25">
      <c r="A20" s="23">
        <f>+[30]Summary!A23</f>
        <v>45261</v>
      </c>
      <c r="B20" s="24">
        <f>+[30]Summary!H23</f>
        <v>10059.103449498245</v>
      </c>
      <c r="C20" s="25">
        <f>+$B20*[32]Allocation!P20</f>
        <v>0</v>
      </c>
      <c r="D20" s="25">
        <f>+$B20*[32]Allocation!Q20</f>
        <v>0</v>
      </c>
      <c r="E20" s="25">
        <f>+$B20*[32]Allocation!R20</f>
        <v>-1.6855482057037472</v>
      </c>
      <c r="F20" s="25">
        <f>+$B20*[32]Allocation!S20</f>
        <v>4682.5802082940982</v>
      </c>
      <c r="G20" s="25">
        <f>+$B20*[32]Allocation!T20</f>
        <v>5157.6003870583991</v>
      </c>
      <c r="H20" s="25">
        <f>+$B20*[32]Allocation!U20</f>
        <v>0.53991256391550768</v>
      </c>
      <c r="I20" s="25">
        <f>+$B20*[32]Allocation!V20</f>
        <v>100.98263018103991</v>
      </c>
      <c r="J20" s="25">
        <f>+$B20*[32]Allocation!W20</f>
        <v>119.0858596064964</v>
      </c>
      <c r="K20" s="25">
        <f>+$B20*[32]Allocation!X20</f>
        <v>0</v>
      </c>
      <c r="L20" s="25">
        <f>+$B20*[32]Allocation!Y20</f>
        <v>0</v>
      </c>
      <c r="M20" s="26">
        <f t="shared" si="1"/>
        <v>0</v>
      </c>
    </row>
    <row r="21" spans="1:13" x14ac:dyDescent="0.25">
      <c r="A21" s="23">
        <f>+[30]Summary!A24</f>
        <v>45292</v>
      </c>
      <c r="B21" s="24">
        <f>+[30]Summary!H24</f>
        <v>11627.668516698672</v>
      </c>
      <c r="C21" s="25">
        <f>+$B21*[32]Allocation!P21</f>
        <v>0</v>
      </c>
      <c r="D21" s="25">
        <f>+$B21*[32]Allocation!Q21</f>
        <v>0</v>
      </c>
      <c r="E21" s="25">
        <f>+$B21*[32]Allocation!R21</f>
        <v>0</v>
      </c>
      <c r="F21" s="25">
        <f>+$B21*[32]Allocation!S21</f>
        <v>3608.7481647582322</v>
      </c>
      <c r="G21" s="25">
        <f>+$B21*[32]Allocation!T21</f>
        <v>7783.6612784263889</v>
      </c>
      <c r="H21" s="25">
        <f>+$B21*[32]Allocation!U21</f>
        <v>0.59572181213057362</v>
      </c>
      <c r="I21" s="25">
        <f>+$B21*[32]Allocation!V21</f>
        <v>89.86191450919496</v>
      </c>
      <c r="J21" s="25">
        <f>+$B21*[32]Allocation!W21</f>
        <v>144.80143719272411</v>
      </c>
      <c r="K21" s="25">
        <f>+$B21*[32]Allocation!X21</f>
        <v>0</v>
      </c>
      <c r="L21" s="25">
        <f>+$B21*[32]Allocation!Y21</f>
        <v>0</v>
      </c>
      <c r="M21" s="26">
        <f t="shared" si="1"/>
        <v>0</v>
      </c>
    </row>
    <row r="22" spans="1:13" x14ac:dyDescent="0.25">
      <c r="A22" s="23">
        <f>+[30]Summary!A25</f>
        <v>45323</v>
      </c>
      <c r="B22" s="24">
        <f>+[30]Summary!H25</f>
        <v>14463.44618215441</v>
      </c>
      <c r="C22" s="25">
        <f>+$B22*[32]Allocation!P22</f>
        <v>0</v>
      </c>
      <c r="D22" s="25">
        <f>+$B22*[32]Allocation!Q22</f>
        <v>0</v>
      </c>
      <c r="E22" s="25">
        <f>+$B22*[32]Allocation!R22</f>
        <v>-6.2493078424617288</v>
      </c>
      <c r="F22" s="25">
        <f>+$B22*[32]Allocation!S22</f>
        <v>3516.2156002437378</v>
      </c>
      <c r="G22" s="25">
        <f>+$B22*[32]Allocation!T22</f>
        <v>10661.823007510362</v>
      </c>
      <c r="H22" s="25">
        <f>+$B22*[32]Allocation!U22</f>
        <v>0.770551567659578</v>
      </c>
      <c r="I22" s="25">
        <f>+$B22*[32]Allocation!V22</f>
        <v>79.683431345667998</v>
      </c>
      <c r="J22" s="25">
        <f>+$B22*[32]Allocation!W22</f>
        <v>211.20289932944451</v>
      </c>
      <c r="K22" s="25">
        <f>+$B22*[32]Allocation!X22</f>
        <v>0</v>
      </c>
      <c r="L22" s="25">
        <f>+$B22*[32]Allocation!Y22</f>
        <v>0</v>
      </c>
      <c r="M22" s="26">
        <f t="shared" si="1"/>
        <v>0</v>
      </c>
    </row>
    <row r="23" spans="1:13" x14ac:dyDescent="0.25">
      <c r="A23" s="23">
        <f>+[30]Summary!A26</f>
        <v>45352</v>
      </c>
      <c r="B23" s="24">
        <f>+[30]Summary!H26</f>
        <v>24200.177276954928</v>
      </c>
      <c r="C23" s="25">
        <f>+$B23*[32]Allocation!P23</f>
        <v>0</v>
      </c>
      <c r="D23" s="25">
        <f>+$B23*[32]Allocation!Q23</f>
        <v>0</v>
      </c>
      <c r="E23" s="25">
        <f>+$B23*[32]Allocation!R23</f>
        <v>0</v>
      </c>
      <c r="F23" s="25">
        <f>+$B23*[32]Allocation!S23</f>
        <v>4685.7695004580346</v>
      </c>
      <c r="G23" s="25">
        <f>+$B23*[32]Allocation!T23</f>
        <v>19068.10410968752</v>
      </c>
      <c r="H23" s="25">
        <f>+$B23*[32]Allocation!U23</f>
        <v>1.2570703026881835</v>
      </c>
      <c r="I23" s="25">
        <f>+$B23*[32]Allocation!V23</f>
        <v>76.283891462247368</v>
      </c>
      <c r="J23" s="25">
        <f>+$B23*[32]Allocation!W23</f>
        <v>368.76270504443698</v>
      </c>
      <c r="K23" s="25">
        <f>+$B23*[32]Allocation!X23</f>
        <v>0</v>
      </c>
      <c r="L23" s="25">
        <f>+$B23*[32]Allocation!Y23</f>
        <v>0</v>
      </c>
      <c r="M23" s="26">
        <f t="shared" si="1"/>
        <v>0</v>
      </c>
    </row>
    <row r="24" spans="1:13" x14ac:dyDescent="0.25">
      <c r="A24" s="23">
        <f>+[30]Summary!A27</f>
        <v>45383</v>
      </c>
      <c r="B24" s="24">
        <f>+[30]Summary!H27</f>
        <v>36046.401042131969</v>
      </c>
      <c r="C24" s="25">
        <f>+$B24*[32]Allocation!P24</f>
        <v>0</v>
      </c>
      <c r="D24" s="25">
        <f>+$B24*[32]Allocation!Q24</f>
        <v>0</v>
      </c>
      <c r="E24" s="25">
        <f>+$B24*[32]Allocation!R24</f>
        <v>-3.3069712606180954</v>
      </c>
      <c r="F24" s="25">
        <f>+$B24*[32]Allocation!S24</f>
        <v>5271.7070793084968</v>
      </c>
      <c r="G24" s="25">
        <f>+$B24*[32]Allocation!T24</f>
        <v>30106.54857143003</v>
      </c>
      <c r="H24" s="25">
        <f>+$B24*[32]Allocation!U24</f>
        <v>1.9171133440070345</v>
      </c>
      <c r="I24" s="25">
        <f>+$B24*[32]Allocation!V24</f>
        <v>55.783478415423666</v>
      </c>
      <c r="J24" s="25">
        <f>+$B24*[32]Allocation!W24</f>
        <v>613.75177089462431</v>
      </c>
      <c r="K24" s="25">
        <f>+$B24*[32]Allocation!X24</f>
        <v>0</v>
      </c>
      <c r="L24" s="25">
        <f>+$B24*[32]Allocation!Y24</f>
        <v>0</v>
      </c>
      <c r="M24" s="26">
        <f t="shared" si="1"/>
        <v>0</v>
      </c>
    </row>
    <row r="25" spans="1:13" x14ac:dyDescent="0.25">
      <c r="A25" s="23">
        <f>+[30]Summary!A28</f>
        <v>45413</v>
      </c>
      <c r="B25" s="24">
        <f>+[30]Summary!H28</f>
        <v>74667.982042180345</v>
      </c>
      <c r="C25" s="25">
        <f>+$B25*[32]Allocation!P25</f>
        <v>0</v>
      </c>
      <c r="D25" s="25">
        <f>+$B25*[32]Allocation!Q25</f>
        <v>0</v>
      </c>
      <c r="E25" s="25">
        <f>+$B25*[32]Allocation!R25</f>
        <v>0</v>
      </c>
      <c r="F25" s="25">
        <f>+$B25*[32]Allocation!S25</f>
        <v>9225.6065467565022</v>
      </c>
      <c r="G25" s="25">
        <f>+$B25*[32]Allocation!T25</f>
        <v>63899.989660656473</v>
      </c>
      <c r="H25" s="25">
        <f>+$B25*[32]Allocation!U25</f>
        <v>4.4937997432824313</v>
      </c>
      <c r="I25" s="25">
        <f>+$B25*[32]Allocation!V25</f>
        <v>31.047399171882649</v>
      </c>
      <c r="J25" s="25">
        <f>+$B25*[32]Allocation!W25</f>
        <v>1506.844635852209</v>
      </c>
      <c r="K25" s="25">
        <f>+$B25*[32]Allocation!X25</f>
        <v>0</v>
      </c>
      <c r="L25" s="25">
        <f>+$B25*[32]Allocation!Y25</f>
        <v>0</v>
      </c>
      <c r="M25" s="26">
        <f t="shared" si="1"/>
        <v>0</v>
      </c>
    </row>
    <row r="26" spans="1:13" x14ac:dyDescent="0.25">
      <c r="A26" s="23">
        <f>+[30]Summary!A29</f>
        <v>45444</v>
      </c>
      <c r="B26" s="24">
        <f>+[30]Summary!H29</f>
        <v>111438.52</v>
      </c>
      <c r="C26" s="25">
        <f>+$B26*[32]Allocation!P26</f>
        <v>0</v>
      </c>
      <c r="D26" s="25">
        <f>+$B26*[32]Allocation!Q26</f>
        <v>0</v>
      </c>
      <c r="E26" s="25">
        <f>+$B26*[32]Allocation!R26</f>
        <v>0</v>
      </c>
      <c r="F26" s="25">
        <f>+$B26*[32]Allocation!S26</f>
        <v>11450.331219309068</v>
      </c>
      <c r="G26" s="25">
        <f>+$B26*[32]Allocation!T26</f>
        <v>99988.188780690936</v>
      </c>
      <c r="H26" s="25">
        <f>+$B26*[32]Allocation!U26</f>
        <v>0</v>
      </c>
      <c r="I26" s="25">
        <f>+$B26*[32]Allocation!V26</f>
        <v>0</v>
      </c>
      <c r="J26" s="25">
        <f>+$B26*[32]Allocation!W26</f>
        <v>0</v>
      </c>
      <c r="K26" s="25">
        <f>+$B26*[32]Allocation!X26</f>
        <v>0</v>
      </c>
      <c r="L26" s="25">
        <f>+$B26*[32]Allocation!Y26</f>
        <v>0</v>
      </c>
      <c r="M26" s="26">
        <f t="shared" si="1"/>
        <v>0</v>
      </c>
    </row>
    <row r="27" spans="1:13" x14ac:dyDescent="0.25">
      <c r="A27" s="23">
        <f>+[30]Summary!A30</f>
        <v>45474</v>
      </c>
      <c r="B27" s="24">
        <f>+[30]Summary!H30</f>
        <v>161620.5</v>
      </c>
      <c r="C27" s="25">
        <f>+$B27*[32]Allocation!P27</f>
        <v>0</v>
      </c>
      <c r="D27" s="25">
        <f>+$B27*[32]Allocation!Q27</f>
        <v>0</v>
      </c>
      <c r="E27" s="25">
        <f>+$B27*[32]Allocation!R27</f>
        <v>0</v>
      </c>
      <c r="F27" s="25">
        <f>+$B27*[32]Allocation!S27</f>
        <v>11551.672233302084</v>
      </c>
      <c r="G27" s="25">
        <f>+$B27*[32]Allocation!T27</f>
        <v>150068.82776669791</v>
      </c>
      <c r="H27" s="25">
        <f>+$B27*[32]Allocation!U27</f>
        <v>0</v>
      </c>
      <c r="I27" s="25">
        <f>+$B27*[32]Allocation!V27</f>
        <v>0</v>
      </c>
      <c r="J27" s="25">
        <f>+$B27*[32]Allocation!W27</f>
        <v>0</v>
      </c>
      <c r="K27" s="25">
        <f>+$B27*[32]Allocation!X27</f>
        <v>0</v>
      </c>
      <c r="L27" s="25">
        <f>+$B27*[32]Allocation!Y27</f>
        <v>0</v>
      </c>
      <c r="M27" s="26">
        <f t="shared" si="1"/>
        <v>0</v>
      </c>
    </row>
    <row r="28" spans="1:13" x14ac:dyDescent="0.25">
      <c r="A28" s="23">
        <f>+[30]Summary!A31</f>
        <v>45505</v>
      </c>
      <c r="B28" s="24">
        <f>+[30]Summary!H31</f>
        <v>185121</v>
      </c>
      <c r="C28" s="25">
        <f>+$B28*[32]Allocation!P28</f>
        <v>0</v>
      </c>
      <c r="D28" s="25">
        <f>+$B28*[32]Allocation!Q28</f>
        <v>0</v>
      </c>
      <c r="E28" s="25">
        <f>+$B28*[32]Allocation!R28</f>
        <v>0</v>
      </c>
      <c r="F28" s="25">
        <f>+$B28*[32]Allocation!S28</f>
        <v>6612.6898493351464</v>
      </c>
      <c r="G28" s="25">
        <f>+$B28*[32]Allocation!T28</f>
        <v>178508.31015066485</v>
      </c>
      <c r="H28" s="25">
        <f>+$B28*[32]Allocation!U28</f>
        <v>0</v>
      </c>
      <c r="I28" s="25">
        <f>+$B28*[32]Allocation!V28</f>
        <v>0</v>
      </c>
      <c r="J28" s="25">
        <f>+$B28*[32]Allocation!W28</f>
        <v>0</v>
      </c>
      <c r="K28" s="25">
        <f>+$B28*[32]Allocation!X28</f>
        <v>0</v>
      </c>
      <c r="L28" s="25">
        <f>+$B28*[32]Allocation!Y28</f>
        <v>0</v>
      </c>
      <c r="M28" s="26">
        <f t="shared" si="1"/>
        <v>0</v>
      </c>
    </row>
    <row r="29" spans="1:13" x14ac:dyDescent="0.25">
      <c r="A2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XCH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Oranias</dc:creator>
  <cp:lastModifiedBy>Julia Oranias</cp:lastModifiedBy>
  <dcterms:created xsi:type="dcterms:W3CDTF">2024-08-16T11:17:23Z</dcterms:created>
  <dcterms:modified xsi:type="dcterms:W3CDTF">2024-10-16T17:38:43Z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{49AD73FB-2191-42B3-A351-5598DE080B02}</vt:lpwstr>
  </property>
</Properties>
</file>