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oranias\Documents\GitHub\DMI_IBNP\Process Results_03.2024\"/>
    </mc:Choice>
  </mc:AlternateContent>
  <xr:revisionPtr revIDLastSave="0" documentId="13_ncr:1_{9F754886-8C44-4F03-A969-5398D88CC436}" xr6:coauthVersionLast="47" xr6:coauthVersionMax="47" xr10:uidLastSave="{00000000-0000-0000-0000-000000000000}"/>
  <bookViews>
    <workbookView xWindow="-110" yWindow="-110" windowWidth="19420" windowHeight="11620"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7" i="2"/>
  <c r="B26" i="2"/>
  <c r="B25" i="2"/>
  <c r="B24" i="2"/>
  <c r="B23" i="2"/>
  <c r="B22" i="2"/>
  <c r="B21" i="2"/>
  <c r="B20" i="2"/>
  <c r="B19" i="2"/>
  <c r="B18" i="2"/>
  <c r="B17" i="2"/>
  <c r="B16" i="2"/>
  <c r="B15" i="2"/>
  <c r="B14" i="2"/>
  <c r="B13" i="2"/>
  <c r="B12" i="2"/>
  <c r="B11" i="2"/>
  <c r="B10" i="2"/>
  <c r="B9" i="2"/>
  <c r="B8" i="2"/>
  <c r="B7" i="2"/>
  <c r="B6" i="2"/>
  <c r="B5" i="2"/>
  <c r="B4" i="2" s="1"/>
  <c r="A28" i="2"/>
  <c r="A27" i="2"/>
  <c r="A26" i="2"/>
  <c r="A25" i="2"/>
  <c r="A24" i="2"/>
  <c r="A23" i="2"/>
  <c r="A22" i="2"/>
  <c r="A21" i="2"/>
  <c r="A20" i="2"/>
  <c r="A19" i="2"/>
  <c r="A18" i="2"/>
  <c r="A17" i="2"/>
  <c r="A16" i="2"/>
  <c r="A15" i="2"/>
  <c r="A14" i="2"/>
  <c r="A13" i="2"/>
  <c r="A12" i="2"/>
  <c r="A11" i="2"/>
  <c r="A10" i="2"/>
  <c r="A9" i="2"/>
  <c r="A8" i="2"/>
  <c r="A7" i="2"/>
  <c r="A6" i="2"/>
  <c r="A5" i="2"/>
  <c r="G16" i="1" l="1"/>
  <c r="G15" i="1"/>
  <c r="G13" i="1"/>
  <c r="G12" i="1"/>
  <c r="G11" i="1"/>
  <c r="G10" i="1"/>
  <c r="G9" i="1"/>
  <c r="G8" i="1"/>
  <c r="G7" i="1"/>
  <c r="G6" i="1"/>
  <c r="G5" i="1"/>
  <c r="G4" i="1"/>
  <c r="G3" i="1"/>
  <c r="G2" i="1"/>
  <c r="G18" i="1" l="1"/>
  <c r="J11" i="1" l="1"/>
  <c r="J14" i="1"/>
  <c r="B14" i="1" l="1"/>
  <c r="J12" i="1" l="1"/>
  <c r="J16" i="1" l="1"/>
  <c r="C16" i="1"/>
  <c r="J15" i="1"/>
  <c r="C15" i="1"/>
  <c r="C14" i="1"/>
  <c r="D14" i="1" s="1"/>
  <c r="E14" i="1" s="1"/>
  <c r="K14" i="1" s="1"/>
  <c r="L14" i="1" s="1"/>
  <c r="J13" i="1"/>
  <c r="C13" i="1"/>
  <c r="J10" i="1"/>
  <c r="C10" i="1"/>
  <c r="J9" i="1"/>
  <c r="C9" i="1"/>
  <c r="J8" i="1"/>
  <c r="C8" i="1"/>
  <c r="J7" i="1"/>
  <c r="C7" i="1"/>
  <c r="J6" i="1"/>
  <c r="C6" i="1"/>
  <c r="J5" i="1"/>
  <c r="C5" i="1"/>
  <c r="J4" i="1"/>
  <c r="C4" i="1"/>
  <c r="J3" i="1"/>
  <c r="C3" i="1"/>
  <c r="J2" i="1"/>
  <c r="C2" i="1"/>
  <c r="B15" i="1" l="1"/>
  <c r="J18" i="1"/>
  <c r="D15" i="1" l="1"/>
  <c r="E15" i="1" s="1"/>
  <c r="K15" i="1" l="1"/>
  <c r="L15" i="1" s="1"/>
  <c r="H15" i="1"/>
  <c r="I15" i="1" s="1"/>
  <c r="B7" i="1"/>
  <c r="B6" i="1"/>
  <c r="B4" i="1"/>
  <c r="B2" i="1"/>
  <c r="B10" i="1" l="1"/>
  <c r="B13" i="1"/>
  <c r="B9" i="1"/>
  <c r="B8" i="1"/>
  <c r="B5" i="1"/>
  <c r="B3" i="1"/>
  <c r="B16" i="1"/>
  <c r="D7" i="1"/>
  <c r="E7" i="1" s="1"/>
  <c r="D6" i="1"/>
  <c r="E6" i="1" s="1"/>
  <c r="D4" i="1"/>
  <c r="E4" i="1" s="1"/>
  <c r="D2" i="1"/>
  <c r="K7" i="1" l="1"/>
  <c r="L7" i="1" s="1"/>
  <c r="H7" i="1"/>
  <c r="I7" i="1" s="1"/>
  <c r="K6" i="1"/>
  <c r="L6" i="1" s="1"/>
  <c r="H6" i="1"/>
  <c r="I6" i="1" s="1"/>
  <c r="K4" i="1"/>
  <c r="L4" i="1" s="1"/>
  <c r="H4" i="1"/>
  <c r="I4"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 r="B11" i="1" l="1"/>
  <c r="D11" i="1" l="1"/>
  <c r="E11" i="1" l="1"/>
  <c r="B12" i="1" l="1"/>
  <c r="K11" i="1"/>
  <c r="H11" i="1"/>
  <c r="D12" i="1" l="1"/>
  <c r="D18" i="1" s="1"/>
  <c r="E12" i="1"/>
  <c r="B18" i="1"/>
  <c r="I11" i="1"/>
  <c r="L11" i="1"/>
  <c r="K12" i="1" l="1"/>
  <c r="H12" i="1"/>
  <c r="E18" i="1"/>
  <c r="I12" i="1" l="1"/>
  <c r="H18" i="1"/>
  <c r="I18" i="1" s="1"/>
  <c r="L12" i="1"/>
  <c r="K18" i="1"/>
  <c r="L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tc={1B03B1B4-47AE-484A-985F-89FB3AF1A870}</author>
    <author>tc={4EA062A0-BE3E-4ACB-98F3-2F60190870C5}</author>
  </authors>
  <commentList>
    <comment ref="G11" authorId="0" shapeId="0" xr:uid="{1B03B1B4-47AE-484A-985F-89FB3AF1A870}">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 ref="J11" authorId="1"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<sst xmlns="http://schemas.openxmlformats.org/spreadsheetml/2006/main" count="87" uniqueCount="57">
  <si>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</si>
  <si>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</si>
  <si>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</si>
  <si>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</si>
  <si>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</si>
  <si>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</si>
  <si>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</si>
  <si>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</si>
  <si>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</si>
  <si>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</si>
  <si>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</si>
  <si>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</si>
  <si>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</si>
  <si>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</si>
  <si>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</si>
  <si>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</si>
  <si>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</si>
  <si>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</si>
  <si>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</si>
  <si>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</si>
  <si>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</si>
  <si>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</si>
  <si>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</si>
  <si>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</si>
  <si>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</si>
  <si>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</si>
  <si>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</si>
  <si>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</si>
  <si>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</si>
  <si>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</si>
  <si>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</si>
  <si>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</si>
  <si>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</si>
  <si>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Paid for July, Aug and Sep is very low compared to other accident months but we are setting the sale Ultimate claims. This results on a higher IBNP</t>
  </si>
  <si>
    <t>Triangle is almost empty. We should select Volume All or 12 to ionclude some information in the triangle. Other option is use patterns from other block, since this is not technical the best option.</t>
  </si>
  <si>
    <t>No payments for Aus and Sept. At march there were some big amounts for months that now has lower compeltion factors. This results in a lower IBNP</t>
  </si>
  <si>
    <t>No payments for Sept. Our patterns are longer. At March Unified had a negative IBNP pof 50k for Accident month Jan-24 that wasn't observed in the actual movements.</t>
  </si>
  <si>
    <t>There was a bgf payment for Accident month Dec-23 that generated IBNP´at march but at September the compeltion factor is 1. Results in a lower IBNP</t>
  </si>
  <si>
    <t>At Aug-24. Should I consider valuation March?</t>
  </si>
  <si>
    <t>No paid claims for Jul, Aug and Sept, but Ultimate selectiong by Loss Ratio. Results on higher IBNP</t>
  </si>
  <si>
    <t>Mannually Removed big movement from July-24 to Aug-24 for Accident month Oct-2022 that increased the tail of the patterns.</t>
  </si>
  <si>
    <t>Incurral</t>
  </si>
  <si>
    <t>Month</t>
  </si>
  <si>
    <t>Claim</t>
  </si>
  <si>
    <t>Liability</t>
  </si>
  <si>
    <t>TY 2020</t>
  </si>
  <si>
    <t>TY 2019</t>
  </si>
  <si>
    <t>TY 2021</t>
  </si>
  <si>
    <t>TY 2022</t>
  </si>
  <si>
    <t>TY 2023</t>
  </si>
  <si>
    <t>Pre-HCCUA 2019</t>
  </si>
  <si>
    <t>HCCUA 2022</t>
  </si>
  <si>
    <t>HCCUA 2023</t>
  </si>
  <si>
    <t>HCCUA 2020</t>
  </si>
  <si>
    <t>HCCUA 2021</t>
  </si>
  <si>
    <t>Check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</si>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</sst>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6"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s>
  <fills count="4">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10" fontId="2" fillId="0" borderId="0" xfId="1"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164" fontId="2" fillId="0" borderId="0" xfId="0" applyNumberFormat="1" applyFont="1"/>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4" fontId="0" fillId="0" borderId="0" xfId="2" applyNumberFormat="1" applyFont="1" applyFill="1"/>
    <xf numFmtId="9" fontId="0" fillId="0" borderId="0" xfId="1" applyFont="1" applyFill="1"/>
    <xf numFmtId="9" fontId="0" fillId="0"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RDS02\Unified$\04_Inforce_Management\03_ARM%20IBNP%20Process\01_Scenarios\Scenario%206\Unified_Claims_Liability_Summary_6.xlsx" TargetMode="External"/><Relationship Id="rId1" Type="http://schemas.openxmlformats.org/officeDocument/2006/relationships/externalLinkPath" Target="file:///\\RDS02\Unified$\04_Inforce_Management\03_ARM%20IBNP%20Process\01_Scenarios\Scenario%206\Unified_Claims_Liability_Summary_6.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_03.2024\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8029.532608560934</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30748.26785373699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42028.499060217509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8">
          <cell r="B8">
            <v>2216</v>
          </cell>
        </row>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155625.86483650358</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152530.06150600832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57983.398268364188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8">
          <cell r="B8">
            <v>12308.86</v>
          </cell>
        </row>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8">
          <cell r="B8">
            <v>199.38</v>
          </cell>
        </row>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86626.514683682632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8504.99</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12714.785569524904</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8">
          <cell r="B8">
            <v>0</v>
          </cell>
        </row>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76110.17981358782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70028.962559786072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2">
          <cell r="E2">
            <v>8631.7475542030043</v>
          </cell>
        </row>
        <row r="3">
          <cell r="E3">
            <v>2852.5798682179311</v>
          </cell>
        </row>
        <row r="4">
          <cell r="E4">
            <v>49112.790852981903</v>
          </cell>
        </row>
        <row r="5">
          <cell r="E5">
            <v>88425.599779025026</v>
          </cell>
        </row>
        <row r="6">
          <cell r="E6">
            <v>33054.387942767222</v>
          </cell>
        </row>
        <row r="7">
          <cell r="E7">
            <v>45180.636489733821</v>
          </cell>
        </row>
        <row r="8">
          <cell r="E8">
            <v>167297.80469924136</v>
          </cell>
        </row>
        <row r="9">
          <cell r="E9">
            <v>163969.81611895896</v>
          </cell>
        </row>
        <row r="10">
          <cell r="E10">
            <v>62332.1531384915</v>
          </cell>
        </row>
        <row r="11">
          <cell r="E11">
            <v>43650.86019604317</v>
          </cell>
        </row>
        <row r="12">
          <cell r="E12">
            <v>7699.4075557553952</v>
          </cell>
        </row>
        <row r="13">
          <cell r="E13">
            <v>13668.394487239271</v>
          </cell>
        </row>
        <row r="15">
          <cell r="E15">
            <v>75281.134751770049</v>
          </cell>
        </row>
        <row r="16">
          <cell r="E16">
            <v>880192.11819421395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44652</v>
          </cell>
          <cell r="H8">
            <v>0</v>
          </cell>
        </row>
        <row r="9">
          <cell r="A9">
            <v>44682</v>
          </cell>
          <cell r="H9">
            <v>0</v>
          </cell>
        </row>
        <row r="10">
          <cell r="A10">
            <v>44713</v>
          </cell>
          <cell r="H10">
            <v>0</v>
          </cell>
        </row>
        <row r="11">
          <cell r="A11">
            <v>44743</v>
          </cell>
          <cell r="H11">
            <v>0</v>
          </cell>
        </row>
        <row r="12">
          <cell r="A12">
            <v>44774</v>
          </cell>
          <cell r="H12">
            <v>15.574739304487593</v>
          </cell>
        </row>
        <row r="13">
          <cell r="A13">
            <v>44805</v>
          </cell>
          <cell r="H13">
            <v>45.982874003937468</v>
          </cell>
        </row>
        <row r="14">
          <cell r="A14">
            <v>44835</v>
          </cell>
          <cell r="H14">
            <v>58.409395793016301</v>
          </cell>
        </row>
        <row r="15">
          <cell r="A15">
            <v>44866</v>
          </cell>
          <cell r="H15">
            <v>74.04532426118385</v>
          </cell>
        </row>
        <row r="16">
          <cell r="A16">
            <v>44896</v>
          </cell>
          <cell r="H16">
            <v>79.674041109887185</v>
          </cell>
        </row>
        <row r="17">
          <cell r="A17">
            <v>44927</v>
          </cell>
          <cell r="H17">
            <v>149.15987185228732</v>
          </cell>
        </row>
        <row r="18">
          <cell r="A18">
            <v>44958</v>
          </cell>
          <cell r="H18">
            <v>182.15083027278888</v>
          </cell>
        </row>
        <row r="19">
          <cell r="A19">
            <v>44986</v>
          </cell>
          <cell r="H19">
            <v>686.18343867576914</v>
          </cell>
        </row>
        <row r="20">
          <cell r="A20">
            <v>45017</v>
          </cell>
          <cell r="H20">
            <v>3621.5205484303006</v>
          </cell>
        </row>
        <row r="21">
          <cell r="A21">
            <v>45047</v>
          </cell>
          <cell r="H21">
            <v>6415.6081246591057</v>
          </cell>
        </row>
        <row r="22">
          <cell r="A22">
            <v>45078</v>
          </cell>
          <cell r="H22">
            <v>6828.4225914614217</v>
          </cell>
        </row>
        <row r="23">
          <cell r="A23">
            <v>45108</v>
          </cell>
          <cell r="H23">
            <v>7256.8607041223149</v>
          </cell>
        </row>
        <row r="24">
          <cell r="A24">
            <v>45139</v>
          </cell>
          <cell r="H24">
            <v>10784.407058913872</v>
          </cell>
        </row>
        <row r="25">
          <cell r="A25">
            <v>45170</v>
          </cell>
          <cell r="H25">
            <v>20378.663804775744</v>
          </cell>
        </row>
        <row r="26">
          <cell r="A26">
            <v>45200</v>
          </cell>
          <cell r="H26">
            <v>25268.545561895095</v>
          </cell>
        </row>
        <row r="27">
          <cell r="A27">
            <v>45231</v>
          </cell>
          <cell r="H27">
            <v>37104.384092136868</v>
          </cell>
        </row>
        <row r="28">
          <cell r="A28">
            <v>45261</v>
          </cell>
          <cell r="H28">
            <v>78499.359797117068</v>
          </cell>
        </row>
        <row r="29">
          <cell r="A29">
            <v>45292</v>
          </cell>
          <cell r="H29">
            <v>98918.040000000008</v>
          </cell>
        </row>
        <row r="30">
          <cell r="A30">
            <v>45323</v>
          </cell>
          <cell r="H30">
            <v>235057.09</v>
          </cell>
        </row>
        <row r="31">
          <cell r="A31">
            <v>45352</v>
          </cell>
          <cell r="H31">
            <v>287372.47999999992</v>
          </cell>
        </row>
        <row r="33">
          <cell r="H33">
            <v>818796.56279878505</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8">
          <cell r="B8">
            <v>257512.95000000007</v>
          </cell>
        </row>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v>0.20522912195617013</v>
          </cell>
          <cell r="Q5">
            <v>0</v>
          </cell>
          <cell r="R5">
            <v>0.7423531844928396</v>
          </cell>
          <cell r="S5">
            <v>0</v>
          </cell>
          <cell r="T5">
            <v>0</v>
          </cell>
          <cell r="U5">
            <v>5.8256015509485717E-5</v>
          </cell>
          <cell r="V5">
            <v>0</v>
          </cell>
          <cell r="W5">
            <v>0</v>
          </cell>
          <cell r="X5">
            <v>4.1512660677887683E-3</v>
          </cell>
          <cell r="Y5">
            <v>4.8208171467692011E-2</v>
          </cell>
        </row>
        <row r="6">
          <cell r="P6">
            <v>0.15864392240028799</v>
          </cell>
          <cell r="Q6">
            <v>0</v>
          </cell>
          <cell r="R6">
            <v>0.79018463522424831</v>
          </cell>
          <cell r="S6">
            <v>0</v>
          </cell>
          <cell r="T6">
            <v>0</v>
          </cell>
          <cell r="U6">
            <v>5.9585236506353326E-5</v>
          </cell>
          <cell r="V6">
            <v>0</v>
          </cell>
          <cell r="W6">
            <v>0</v>
          </cell>
          <cell r="X6">
            <v>6.0758569632213277E-4</v>
          </cell>
          <cell r="Y6">
            <v>5.0504271442635099E-2</v>
          </cell>
        </row>
        <row r="7">
          <cell r="P7">
            <v>0.11737277850203</v>
          </cell>
          <cell r="Q7">
            <v>0</v>
          </cell>
          <cell r="R7">
            <v>0.83244240680127546</v>
          </cell>
          <cell r="S7">
            <v>0</v>
          </cell>
          <cell r="T7">
            <v>0</v>
          </cell>
          <cell r="U7">
            <v>6.0947920405284707E-5</v>
          </cell>
          <cell r="V7">
            <v>1.9085868209761539E-3</v>
          </cell>
          <cell r="W7">
            <v>0</v>
          </cell>
          <cell r="X7">
            <v>0</v>
          </cell>
          <cell r="Y7">
            <v>4.8215279955313099E-2</v>
          </cell>
        </row>
        <row r="8">
          <cell r="P8">
            <v>7.7807183174324807E-2</v>
          </cell>
          <cell r="Q8">
            <v>-1.538780671536909E-4</v>
          </cell>
          <cell r="R8">
            <v>0.87431176628083607</v>
          </cell>
          <cell r="S8">
            <v>0</v>
          </cell>
          <cell r="T8">
            <v>0</v>
          </cell>
          <cell r="U8">
            <v>6.1432528861210092E-5</v>
          </cell>
          <cell r="V8">
            <v>5.9104636307434977E-3</v>
          </cell>
          <cell r="W8">
            <v>0</v>
          </cell>
          <cell r="X8">
            <v>0</v>
          </cell>
          <cell r="Y8">
            <v>4.2063032452387975E-2</v>
          </cell>
        </row>
        <row r="9">
          <cell r="P9">
            <v>3.17714919437279E-2</v>
          </cell>
          <cell r="Q9">
            <v>0</v>
          </cell>
          <cell r="R9">
            <v>0.92037492084395789</v>
          </cell>
          <cell r="S9">
            <v>1.5553442640868639E-3</v>
          </cell>
          <cell r="T9">
            <v>0</v>
          </cell>
          <cell r="U9">
            <v>6.1531798401133527E-5</v>
          </cell>
          <cell r="V9">
            <v>1.0337639482383322E-2</v>
          </cell>
          <cell r="W9">
            <v>0</v>
          </cell>
          <cell r="X9">
            <v>0</v>
          </cell>
          <cell r="Y9">
            <v>3.5899071667442974E-2</v>
          </cell>
        </row>
        <row r="10">
          <cell r="P10">
            <v>-6.048555699783016E-4</v>
          </cell>
          <cell r="Q10">
            <v>-2.0412307448071485E-4</v>
          </cell>
          <cell r="R10">
            <v>0.93418740727917249</v>
          </cell>
          <cell r="S10">
            <v>2.0690170371176694E-2</v>
          </cell>
          <cell r="T10">
            <v>0</v>
          </cell>
          <cell r="U10">
            <v>6.2915532016515305E-5</v>
          </cell>
          <cell r="V10">
            <v>1.483283792798515E-2</v>
          </cell>
          <cell r="W10">
            <v>0</v>
          </cell>
          <cell r="X10">
            <v>0</v>
          </cell>
          <cell r="Y10">
            <v>3.1035647534108392E-2</v>
          </cell>
        </row>
        <row r="11">
          <cell r="P11">
            <v>0</v>
          </cell>
          <cell r="Q11">
            <v>0</v>
          </cell>
          <cell r="R11">
            <v>0.813142841416161</v>
          </cell>
          <cell r="S11">
            <v>0.14318775410419382</v>
          </cell>
          <cell r="T11">
            <v>0</v>
          </cell>
          <cell r="U11">
            <v>6.2359420971839409E-5</v>
          </cell>
          <cell r="V11">
            <v>1.848054780038785E-2</v>
          </cell>
          <cell r="W11">
            <v>0</v>
          </cell>
          <cell r="X11">
            <v>0</v>
          </cell>
          <cell r="Y11">
            <v>2.5126497258285571E-2</v>
          </cell>
        </row>
        <row r="12">
          <cell r="P12">
            <v>0</v>
          </cell>
          <cell r="Q12">
            <v>0</v>
          </cell>
          <cell r="R12">
            <v>0.65403663535598233</v>
          </cell>
          <cell r="S12">
            <v>0.30334342481941906</v>
          </cell>
          <cell r="T12">
            <v>0</v>
          </cell>
          <cell r="U12">
            <v>6.1878584915148467E-5</v>
          </cell>
          <cell r="V12">
            <v>2.1663280097291158E-2</v>
          </cell>
          <cell r="W12">
            <v>0</v>
          </cell>
          <cell r="X12">
            <v>0</v>
          </cell>
          <cell r="Y12">
            <v>2.0894781142392342E-2</v>
          </cell>
        </row>
        <row r="13">
          <cell r="P13">
            <v>0</v>
          </cell>
          <cell r="Q13">
            <v>0</v>
          </cell>
          <cell r="R13">
            <v>0.5083850309158614</v>
          </cell>
          <cell r="S13">
            <v>0.45196614406678126</v>
          </cell>
          <cell r="T13">
            <v>0</v>
          </cell>
          <cell r="U13">
            <v>6.0224915841959472E-5</v>
          </cell>
          <cell r="V13">
            <v>2.2607818407314333E-2</v>
          </cell>
          <cell r="W13">
            <v>0</v>
          </cell>
          <cell r="X13">
            <v>0</v>
          </cell>
          <cell r="Y13">
            <v>1.6980781694201055E-2</v>
          </cell>
        </row>
        <row r="14">
          <cell r="P14">
            <v>-6.046185983817515E-4</v>
          </cell>
          <cell r="Q14">
            <v>-3.0230929919087575E-4</v>
          </cell>
          <cell r="R14">
            <v>0.35802325920062283</v>
          </cell>
          <cell r="S14">
            <v>0.60631354390718606</v>
          </cell>
          <cell r="T14">
            <v>0</v>
          </cell>
          <cell r="U14">
            <v>5.9151171998214713E-5</v>
          </cell>
          <cell r="V14">
            <v>2.3014718068661948E-2</v>
          </cell>
          <cell r="W14">
            <v>0</v>
          </cell>
          <cell r="X14">
            <v>0</v>
          </cell>
          <cell r="Y14">
            <v>1.3496255549103517E-2</v>
          </cell>
        </row>
        <row r="15">
          <cell r="P15">
            <v>0</v>
          </cell>
          <cell r="Q15">
            <v>0</v>
          </cell>
          <cell r="R15">
            <v>0.28269546513094335</v>
          </cell>
          <cell r="S15">
            <v>0.68154708697031741</v>
          </cell>
          <cell r="T15">
            <v>0</v>
          </cell>
          <cell r="U15">
            <v>6.0078264700074186E-5</v>
          </cell>
          <cell r="V15">
            <v>2.6671872315138706E-2</v>
          </cell>
          <cell r="W15">
            <v>0</v>
          </cell>
          <cell r="X15">
            <v>0</v>
          </cell>
          <cell r="Y15">
            <v>9.0254973189004949E-3</v>
          </cell>
        </row>
        <row r="16">
          <cell r="P16">
            <v>0</v>
          </cell>
          <cell r="Q16">
            <v>0</v>
          </cell>
          <cell r="R16">
            <v>0.22630157016140917</v>
          </cell>
          <cell r="S16">
            <v>0.74011236618797738</v>
          </cell>
          <cell r="T16">
            <v>0</v>
          </cell>
          <cell r="U16">
            <v>5.8628195851531839E-5</v>
          </cell>
          <cell r="V16">
            <v>2.8439206652282358E-2</v>
          </cell>
          <cell r="W16">
            <v>0</v>
          </cell>
          <cell r="X16">
            <v>0</v>
          </cell>
          <cell r="Y16">
            <v>5.0882288024795596E-3</v>
          </cell>
        </row>
        <row r="17">
          <cell r="P17">
            <v>-3.0198826632140913E-5</v>
          </cell>
          <cell r="Q17">
            <v>0</v>
          </cell>
          <cell r="R17">
            <v>0.18239153822238025</v>
          </cell>
          <cell r="S17">
            <v>0.78563957417075536</v>
          </cell>
          <cell r="T17">
            <v>0</v>
          </cell>
          <cell r="U17">
            <v>6.0810137237320177E-5</v>
          </cell>
          <cell r="V17">
            <v>2.9406182930113798E-2</v>
          </cell>
          <cell r="W17">
            <v>0</v>
          </cell>
          <cell r="X17">
            <v>0</v>
          </cell>
          <cell r="Y17">
            <v>2.5320933661452816E-3</v>
          </cell>
        </row>
        <row r="18">
          <cell r="P18">
            <v>0</v>
          </cell>
          <cell r="Q18">
            <v>0</v>
          </cell>
          <cell r="R18">
            <v>0.13666504441442962</v>
          </cell>
          <cell r="S18">
            <v>0.83214103936268446</v>
          </cell>
          <cell r="T18">
            <v>0</v>
          </cell>
          <cell r="U18">
            <v>6.0113803736433784E-5</v>
          </cell>
          <cell r="V18">
            <v>3.0584215212039651E-2</v>
          </cell>
          <cell r="W18">
            <v>0</v>
          </cell>
          <cell r="X18">
            <v>0</v>
          </cell>
          <cell r="Y18">
            <v>5.4958720710978454E-4</v>
          </cell>
        </row>
        <row r="19">
          <cell r="P19">
            <v>-4.6603844171567949E-4</v>
          </cell>
          <cell r="Q19">
            <v>-3.8836536809639961E-4</v>
          </cell>
          <cell r="R19">
            <v>0.1036107444884834</v>
          </cell>
          <cell r="S19">
            <v>0.86604629879192185</v>
          </cell>
          <cell r="T19">
            <v>0</v>
          </cell>
          <cell r="U19">
            <v>6.0791425861936421E-5</v>
          </cell>
          <cell r="V19">
            <v>2.9793538557543027E-2</v>
          </cell>
          <cell r="W19">
            <v>1.3430305460018315E-3</v>
          </cell>
          <cell r="X19">
            <v>0</v>
          </cell>
          <cell r="Y19">
            <v>0</v>
          </cell>
        </row>
        <row r="20">
          <cell r="P20">
            <v>0</v>
          </cell>
          <cell r="Q20">
            <v>0</v>
          </cell>
          <cell r="R20">
            <v>6.8547616547481233E-2</v>
          </cell>
          <cell r="S20">
            <v>0.90151872965887636</v>
          </cell>
          <cell r="T20">
            <v>0</v>
          </cell>
          <cell r="U20">
            <v>0</v>
          </cell>
          <cell r="V20">
            <v>2.7079924995399365E-2</v>
          </cell>
          <cell r="W20">
            <v>2.8537287982430223E-3</v>
          </cell>
          <cell r="X20">
            <v>0</v>
          </cell>
          <cell r="Y20">
            <v>0</v>
          </cell>
        </row>
        <row r="21">
          <cell r="P21">
            <v>0</v>
          </cell>
          <cell r="Q21">
            <v>0</v>
          </cell>
          <cell r="R21">
            <v>3.3533569659606813E-2</v>
          </cell>
          <cell r="S21">
            <v>0.93741469812708411</v>
          </cell>
          <cell r="T21">
            <v>1.3596095883780166E-4</v>
          </cell>
          <cell r="U21">
            <v>6.1109577304684499E-5</v>
          </cell>
          <cell r="V21">
            <v>2.2974060423680904E-2</v>
          </cell>
          <cell r="W21">
            <v>5.8806012534858816E-3</v>
          </cell>
          <cell r="X21">
            <v>0</v>
          </cell>
          <cell r="Y21">
            <v>0</v>
          </cell>
        </row>
        <row r="22">
          <cell r="P22">
            <v>0</v>
          </cell>
          <cell r="Q22">
            <v>0</v>
          </cell>
          <cell r="R22">
            <v>-1.3492807307259162E-3</v>
          </cell>
          <cell r="S22">
            <v>0.95428403112286442</v>
          </cell>
          <cell r="T22">
            <v>1.9065519212912631E-2</v>
          </cell>
          <cell r="U22">
            <v>6.1695825587014508E-5</v>
          </cell>
          <cell r="V22">
            <v>1.9361527667875966E-2</v>
          </cell>
          <cell r="W22">
            <v>8.5765069014859079E-3</v>
          </cell>
          <cell r="X22">
            <v>0</v>
          </cell>
          <cell r="Y22">
            <v>0</v>
          </cell>
        </row>
        <row r="23">
          <cell r="P23">
            <v>0</v>
          </cell>
          <cell r="Q23">
            <v>0</v>
          </cell>
          <cell r="R23">
            <v>-7.6778724766180483E-4</v>
          </cell>
          <cell r="S23">
            <v>0.78682092788677149</v>
          </cell>
          <cell r="T23">
            <v>0.18819745287983075</v>
          </cell>
          <cell r="U23">
            <v>5.9074568399093469E-5</v>
          </cell>
          <cell r="V23">
            <v>1.5740318936381982E-2</v>
          </cell>
          <cell r="W23">
            <v>9.9500129762784099E-3</v>
          </cell>
          <cell r="X23">
            <v>0</v>
          </cell>
          <cell r="Y23">
            <v>0</v>
          </cell>
        </row>
        <row r="24">
          <cell r="P24">
            <v>0</v>
          </cell>
          <cell r="Q24">
            <v>0</v>
          </cell>
          <cell r="R24">
            <v>-7.0833015526297849E-5</v>
          </cell>
          <cell r="S24">
            <v>0.61184831793213501</v>
          </cell>
          <cell r="T24">
            <v>0.36517842643746079</v>
          </cell>
          <cell r="U24">
            <v>5.5438002016640781E-5</v>
          </cell>
          <cell r="V24">
            <v>1.2152443404271029E-2</v>
          </cell>
          <cell r="W24">
            <v>1.0836207239642754E-2</v>
          </cell>
          <cell r="X24">
            <v>0</v>
          </cell>
          <cell r="Y24">
            <v>0</v>
          </cell>
        </row>
        <row r="25">
          <cell r="P25">
            <v>0</v>
          </cell>
          <cell r="Q25">
            <v>0</v>
          </cell>
          <cell r="R25">
            <v>-1.6756445682918427E-4</v>
          </cell>
          <cell r="S25">
            <v>0.46550671556396689</v>
          </cell>
          <cell r="T25">
            <v>0.51272962972815073</v>
          </cell>
          <cell r="U25">
            <v>5.3674024392545534E-5</v>
          </cell>
          <cell r="V25">
            <v>1.003892948193877E-2</v>
          </cell>
          <cell r="W25">
            <v>1.1838615658380219E-2</v>
          </cell>
          <cell r="X25">
            <v>0</v>
          </cell>
          <cell r="Y25">
            <v>0</v>
          </cell>
        </row>
        <row r="26">
          <cell r="P26">
            <v>0</v>
          </cell>
          <cell r="Q26">
            <v>0</v>
          </cell>
          <cell r="R26">
            <v>0</v>
          </cell>
          <cell r="S26">
            <v>0.31035870687022543</v>
          </cell>
          <cell r="T26">
            <v>0.66940859788427531</v>
          </cell>
          <cell r="U26">
            <v>5.123312650984576E-5</v>
          </cell>
          <cell r="V26">
            <v>7.7282831360511268E-3</v>
          </cell>
          <cell r="W26">
            <v>1.2453178982938202E-2</v>
          </cell>
          <cell r="X26">
            <v>0</v>
          </cell>
          <cell r="Y26">
            <v>0</v>
          </cell>
        </row>
        <row r="27">
          <cell r="P27">
            <v>0</v>
          </cell>
          <cell r="Q27">
            <v>0</v>
          </cell>
          <cell r="R27">
            <v>-4.32075991002226E-4</v>
          </cell>
          <cell r="S27">
            <v>0.24311049773062993</v>
          </cell>
          <cell r="T27">
            <v>0.73715647524345573</v>
          </cell>
          <cell r="U27">
            <v>5.3275793193071507E-5</v>
          </cell>
          <cell r="V27">
            <v>5.5092977387356454E-3</v>
          </cell>
          <cell r="W27">
            <v>1.4602529484987836E-2</v>
          </cell>
          <cell r="X27">
            <v>0</v>
          </cell>
          <cell r="Y27">
            <v>0</v>
          </cell>
        </row>
        <row r="28">
          <cell r="P28">
            <v>0</v>
          </cell>
          <cell r="Q28">
            <v>0</v>
          </cell>
          <cell r="R28">
            <v>0</v>
          </cell>
          <cell r="S28">
            <v>0.19362542046004541</v>
          </cell>
          <cell r="T28">
            <v>0.78793241435654604</v>
          </cell>
          <cell r="U28">
            <v>5.1944673309697292E-5</v>
          </cell>
          <cell r="V28">
            <v>3.1522038284773281E-3</v>
          </cell>
          <cell r="W28">
            <v>1.5238016681621509E-2</v>
          </cell>
          <cell r="X28">
            <v>0</v>
          </cell>
          <cell r="Y28">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2653.5626681097037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8">
          <cell r="B8">
            <v>1578.9799999999998</v>
          </cell>
        </row>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45686.317072541307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8">
          <cell r="B8">
            <v>14968.550000000003</v>
          </cell>
        </row>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82256.371887465139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8">
          <cell r="B8">
            <v>5502.54</v>
          </cell>
        </row>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1" dT="2024-10-08T17:48:23.40" personId="{FC6D6499-D49C-4EF0-B72D-3446266526EE}" id="{1B03B1B4-47AE-484A-985F-89FB3AF1A870}">
    <text>Unified has not booked the 507k reserve for LL according to Kevin’s email</text>
  </threadedComment>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18"/>
  <sheetViews>
    <sheetView tabSelected="1" topLeftCell="A7" workbookViewId="0">
      <selection activeCell="B15" sqref="B15"/>
    </sheetView>
  </sheetViews>
  <sheetFormatPr defaultRowHeight="11.5" x14ac:dyDescent="0.25"/>
  <cols>
    <col min="1" max="1" width="15.875" bestFit="1" customWidth="1"/>
    <col min="2" max="2" width="14.875" bestFit="1" customWidth="1"/>
    <col min="3" max="3" width="15.5" bestFit="1" customWidth="1"/>
    <col min="4" max="4" width="12.5" bestFit="1" customWidth="1"/>
    <col min="5" max="5" width="21" bestFit="1" customWidth="1"/>
    <col min="7" max="7" width="23.25" bestFit="1" customWidth="1"/>
    <col min="8" max="9" width="18.25" customWidth="1"/>
    <col min="10" max="10" width="23.25" bestFit="1" customWidth="1"/>
    <col min="11" max="12" width="18.25" customWidth="1"/>
    <col min="13" max="13" width="34" customWidth="1"/>
    <col min="14" max="14" width="3.875" customWidth="1"/>
    <col min="15" max="15" width="40.25" bestFit="1" customWidth="1"/>
    <col min="16" max="16" width="13.625" bestFit="1" customWidth="1"/>
  </cols>
  <sheetData>
    <row r="1" spans="1:16" ht="12"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25">
      <c r="A2" t="s">
        <v>5</v>
      </c>
      <c r="B2" s="9">
        <f>+[1]Summary!$H$33</f>
        <v>8029.532608560934</v>
      </c>
      <c r="C2" s="4">
        <f>+[2]Summary!$H$35</f>
        <v>7.4999999999999997E-2</v>
      </c>
      <c r="D2" s="8">
        <f>+B2*C2</f>
        <v>602.21494564207001</v>
      </c>
      <c r="E2" s="8">
        <f>+B2+D2</f>
        <v>8631.7475542030043</v>
      </c>
      <c r="G2" s="9">
        <f>+[3]Summary!E2</f>
        <v>8631.7475542030043</v>
      </c>
      <c r="H2" s="9">
        <f>+E2-G2</f>
        <v>0</v>
      </c>
      <c r="I2" s="10">
        <f>+H2/G2</f>
        <v>0</v>
      </c>
      <c r="J2" s="9">
        <f>+[2]Summary!$H$36</f>
        <v>10194.181693825194</v>
      </c>
      <c r="K2" s="9">
        <f>+E2-J2</f>
        <v>-1562.4341396221898</v>
      </c>
      <c r="L2" s="10">
        <f>+K2/J2</f>
        <v>-0.15326724464491204</v>
      </c>
      <c r="M2" s="11"/>
      <c r="O2" t="s">
        <v>28</v>
      </c>
      <c r="P2" s="9" t="s">
        <v>25</v>
      </c>
    </row>
    <row r="3" spans="1:16" x14ac:dyDescent="0.25">
      <c r="A3" t="s">
        <v>6</v>
      </c>
      <c r="B3" s="9">
        <f>+[4]Summary!$H$33</f>
        <v>2653.5626681097037</v>
      </c>
      <c r="C3" s="3">
        <f>+[5]Summary!$H$35</f>
        <v>7.4999999999999997E-2</v>
      </c>
      <c r="D3" s="8">
        <f t="shared" ref="D3:D16" si="0">+B3*C3</f>
        <v>199.01720010822777</v>
      </c>
      <c r="E3" s="8">
        <f t="shared" ref="E3:E16" si="1">+B3+D3</f>
        <v>2852.5798682179316</v>
      </c>
      <c r="G3" s="9">
        <f>+[3]Summary!E3</f>
        <v>2852.5798682179311</v>
      </c>
      <c r="H3" s="9">
        <f t="shared" ref="H3:H16" si="2">+E3-G3</f>
        <v>0</v>
      </c>
      <c r="I3" s="10">
        <f t="shared" ref="I3:I16" si="3">+H3/G3</f>
        <v>0</v>
      </c>
      <c r="J3" s="9">
        <f>+[5]Summary!$H$36</f>
        <v>2852.8990141421973</v>
      </c>
      <c r="K3" s="9">
        <f t="shared" ref="K3:K16" si="4">+E3-J3</f>
        <v>-0.31914592426574018</v>
      </c>
      <c r="L3" s="10">
        <f t="shared" ref="L3:L16" si="5">+K3/J3</f>
        <v>-1.1186723493670532E-4</v>
      </c>
      <c r="M3" s="11"/>
      <c r="O3" t="s">
        <v>29</v>
      </c>
      <c r="P3" s="9" t="s">
        <v>25</v>
      </c>
    </row>
    <row r="4" spans="1:16" x14ac:dyDescent="0.25">
      <c r="A4" t="s">
        <v>15</v>
      </c>
      <c r="B4" s="9">
        <f>+[6]Summary!$H$33</f>
        <v>45686.317072541307</v>
      </c>
      <c r="C4" s="3">
        <f>+[7]Summary!$H$35</f>
        <v>7.4999999999999997E-2</v>
      </c>
      <c r="D4" s="8">
        <f t="shared" si="0"/>
        <v>3426.4737804405981</v>
      </c>
      <c r="E4" s="8">
        <f t="shared" si="1"/>
        <v>49112.790852981903</v>
      </c>
      <c r="G4" s="9">
        <f>+[3]Summary!E4</f>
        <v>49112.790852981903</v>
      </c>
      <c r="H4" s="9">
        <f t="shared" si="2"/>
        <v>0</v>
      </c>
      <c r="I4" s="10">
        <f t="shared" si="3"/>
        <v>0</v>
      </c>
      <c r="J4" s="9">
        <f>+[7]Summary!$H$36</f>
        <v>46527.596958871203</v>
      </c>
      <c r="K4" s="9">
        <f t="shared" si="4"/>
        <v>2585.1938941107001</v>
      </c>
      <c r="L4" s="10">
        <f t="shared" si="5"/>
        <v>5.556259216215105E-2</v>
      </c>
      <c r="M4" s="11"/>
      <c r="O4" t="s">
        <v>29</v>
      </c>
      <c r="P4" s="9" t="s">
        <v>25</v>
      </c>
    </row>
    <row r="5" spans="1:16" ht="46" x14ac:dyDescent="0.25">
      <c r="A5" t="s">
        <v>7</v>
      </c>
      <c r="B5" s="9">
        <f>+[8]Summary!$H$33</f>
        <v>82256.371887465139</v>
      </c>
      <c r="C5" s="3">
        <f>+[9]Summary!$H$35</f>
        <v>7.4999999999999997E-2</v>
      </c>
      <c r="D5" s="8">
        <f t="shared" si="0"/>
        <v>6169.2278915598854</v>
      </c>
      <c r="E5" s="8">
        <f>+B5+D5</f>
        <v>88425.599779025026</v>
      </c>
      <c r="G5" s="9">
        <f>+[3]Summary!E5</f>
        <v>88425.599779025026</v>
      </c>
      <c r="H5" s="9">
        <f t="shared" si="2"/>
        <v>0</v>
      </c>
      <c r="I5" s="10">
        <f t="shared" si="3"/>
        <v>0</v>
      </c>
      <c r="J5" s="9">
        <f>+[9]Summary!$H$36</f>
        <v>88593.393911147272</v>
      </c>
      <c r="K5" s="9">
        <f t="shared" si="4"/>
        <v>-167.79413212224608</v>
      </c>
      <c r="L5" s="10">
        <f t="shared" si="5"/>
        <v>-1.8939801797245898E-3</v>
      </c>
      <c r="M5" s="11" t="s">
        <v>40</v>
      </c>
      <c r="O5" t="s">
        <v>29</v>
      </c>
      <c r="P5" s="9" t="s">
        <v>25</v>
      </c>
    </row>
    <row r="6" spans="1:16" ht="46" x14ac:dyDescent="0.25">
      <c r="A6" t="s">
        <v>8</v>
      </c>
      <c r="B6" s="9">
        <f>+[10]Summary!$H$33</f>
        <v>30748.26785373699</v>
      </c>
      <c r="C6" s="3">
        <f>+[11]Summary!$H$35</f>
        <v>7.4999999999999997E-2</v>
      </c>
      <c r="D6" s="8">
        <f t="shared" si="0"/>
        <v>2306.1200890302744</v>
      </c>
      <c r="E6" s="8">
        <f t="shared" si="1"/>
        <v>33054.387942767265</v>
      </c>
      <c r="G6" s="9">
        <f>+[3]Summary!E6</f>
        <v>33054.387942767222</v>
      </c>
      <c r="H6" s="9">
        <f t="shared" si="2"/>
        <v>0</v>
      </c>
      <c r="I6" s="10">
        <f t="shared" si="3"/>
        <v>0</v>
      </c>
      <c r="J6" s="9">
        <f>+[11]Summary!$H$36</f>
        <v>32709.246771985087</v>
      </c>
      <c r="K6" s="9">
        <f t="shared" si="4"/>
        <v>345.14117078217896</v>
      </c>
      <c r="L6" s="10">
        <f t="shared" si="5"/>
        <v>1.0551792072380783E-2</v>
      </c>
      <c r="M6" s="11" t="s">
        <v>33</v>
      </c>
      <c r="O6" t="s">
        <v>29</v>
      </c>
      <c r="P6" s="9" t="s">
        <v>25</v>
      </c>
    </row>
    <row r="7" spans="1:16" ht="34.5" x14ac:dyDescent="0.25">
      <c r="A7" t="s">
        <v>9</v>
      </c>
      <c r="B7" s="9">
        <f>+[12]Summary!$H$33</f>
        <v>42028.499060217509</v>
      </c>
      <c r="C7" s="3">
        <f>+[13]Summary!$H$35</f>
        <v>7.4999999999999997E-2</v>
      </c>
      <c r="D7" s="8">
        <f t="shared" si="0"/>
        <v>3152.1374295163132</v>
      </c>
      <c r="E7" s="8">
        <f t="shared" si="1"/>
        <v>45180.636489733821</v>
      </c>
      <c r="G7" s="9">
        <f>+[3]Summary!E7</f>
        <v>45180.636489733821</v>
      </c>
      <c r="H7" s="9">
        <f t="shared" si="2"/>
        <v>0</v>
      </c>
      <c r="I7" s="10">
        <f t="shared" si="3"/>
        <v>0</v>
      </c>
      <c r="J7" s="9">
        <f>+[13]Summary!$H$36</f>
        <v>43941.36</v>
      </c>
      <c r="K7" s="9">
        <f t="shared" si="4"/>
        <v>1239.2764897338202</v>
      </c>
      <c r="L7" s="10">
        <f t="shared" si="5"/>
        <v>2.8202961622804123E-2</v>
      </c>
      <c r="M7" s="11" t="s">
        <v>39</v>
      </c>
      <c r="O7" t="s">
        <v>29</v>
      </c>
      <c r="P7" s="9" t="s">
        <v>25</v>
      </c>
    </row>
    <row r="8" spans="1:16" x14ac:dyDescent="0.25">
      <c r="A8" t="s">
        <v>10</v>
      </c>
      <c r="B8" s="9">
        <f>+[14]Summary!$H$33</f>
        <v>155625.86483650358</v>
      </c>
      <c r="C8" s="3">
        <f>+[15]Summary!$H$35</f>
        <v>7.4999999999999997E-2</v>
      </c>
      <c r="D8" s="8">
        <f t="shared" si="0"/>
        <v>11671.939862737769</v>
      </c>
      <c r="E8" s="8">
        <f t="shared" si="1"/>
        <v>167297.80469924136</v>
      </c>
      <c r="G8" s="9">
        <f>+[3]Summary!E8</f>
        <v>167297.80469924136</v>
      </c>
      <c r="H8" s="9">
        <f t="shared" si="2"/>
        <v>0</v>
      </c>
      <c r="I8" s="10">
        <f t="shared" si="3"/>
        <v>0</v>
      </c>
      <c r="J8" s="9">
        <f>+[15]Summary!$H$36</f>
        <v>158653.1571364796</v>
      </c>
      <c r="K8" s="9">
        <f t="shared" si="4"/>
        <v>8644.6475627617619</v>
      </c>
      <c r="L8" s="10">
        <f t="shared" si="5"/>
        <v>5.4487712181644776E-2</v>
      </c>
      <c r="M8" s="11"/>
      <c r="O8" t="s">
        <v>29</v>
      </c>
      <c r="P8" s="9" t="s">
        <v>25</v>
      </c>
    </row>
    <row r="9" spans="1:16" x14ac:dyDescent="0.25">
      <c r="A9" t="s">
        <v>11</v>
      </c>
      <c r="B9" s="9">
        <f>+[16]Summary!$H$33</f>
        <v>152530.06150600832</v>
      </c>
      <c r="C9" s="3">
        <f>+[17]Summary!$H$35</f>
        <v>7.4999999999999997E-2</v>
      </c>
      <c r="D9" s="20">
        <f t="shared" si="0"/>
        <v>11439.754612950625</v>
      </c>
      <c r="E9" s="20">
        <f t="shared" si="1"/>
        <v>163969.81611895896</v>
      </c>
      <c r="G9" s="9">
        <f>+[3]Summary!E9</f>
        <v>163969.81611895896</v>
      </c>
      <c r="H9" s="9">
        <f t="shared" si="2"/>
        <v>0</v>
      </c>
      <c r="I9" s="21">
        <f t="shared" si="3"/>
        <v>0</v>
      </c>
      <c r="J9" s="9">
        <f>+[17]Summary!$H$36</f>
        <v>167515.8389747378</v>
      </c>
      <c r="K9" s="9">
        <f t="shared" si="4"/>
        <v>-3546.0228557788359</v>
      </c>
      <c r="L9" s="21">
        <f t="shared" si="5"/>
        <v>-2.1168284011123233E-2</v>
      </c>
      <c r="M9" s="22"/>
      <c r="O9" t="s">
        <v>29</v>
      </c>
      <c r="P9" s="9" t="s">
        <v>25</v>
      </c>
    </row>
    <row r="10" spans="1:16" ht="46" x14ac:dyDescent="0.25">
      <c r="A10" t="s">
        <v>12</v>
      </c>
      <c r="B10" s="9">
        <f>+[18]Summary!$H$33</f>
        <v>57983.398268364188</v>
      </c>
      <c r="C10" s="3">
        <f>+[19]Summary!$H$35</f>
        <v>7.4999999999999997E-2</v>
      </c>
      <c r="D10" s="8">
        <f t="shared" si="0"/>
        <v>4348.7548701273136</v>
      </c>
      <c r="E10" s="8">
        <f t="shared" si="1"/>
        <v>62332.1531384915</v>
      </c>
      <c r="G10" s="9">
        <f>+[3]Summary!E10</f>
        <v>62332.1531384915</v>
      </c>
      <c r="H10" s="9">
        <f t="shared" si="2"/>
        <v>0</v>
      </c>
      <c r="I10" s="10">
        <f t="shared" si="3"/>
        <v>0</v>
      </c>
      <c r="J10" s="9">
        <f>+[19]Summary!$H$36</f>
        <v>61403.00276625227</v>
      </c>
      <c r="K10" s="9">
        <f t="shared" si="4"/>
        <v>929.15037223922991</v>
      </c>
      <c r="L10" s="10">
        <f t="shared" si="5"/>
        <v>1.5132002188497215E-2</v>
      </c>
      <c r="M10" s="11" t="s">
        <v>35</v>
      </c>
      <c r="O10" t="s">
        <v>29</v>
      </c>
      <c r="P10" s="9" t="s">
        <v>25</v>
      </c>
    </row>
    <row r="11" spans="1:16" x14ac:dyDescent="0.25">
      <c r="A11" t="s">
        <v>19</v>
      </c>
      <c r="B11" s="9">
        <f>+[20]Summary!$H$33</f>
        <v>86626.514683682632</v>
      </c>
      <c r="C11" s="5">
        <v>0.05</v>
      </c>
      <c r="D11" s="8">
        <f t="shared" si="0"/>
        <v>4331.3257341841318</v>
      </c>
      <c r="E11" s="8">
        <f t="shared" si="1"/>
        <v>90957.84041786677</v>
      </c>
      <c r="G11" s="13">
        <f>+[3]Summary!E11</f>
        <v>43650.86019604317</v>
      </c>
      <c r="H11" s="9">
        <f t="shared" si="2"/>
        <v>47306.9802218236</v>
      </c>
      <c r="I11" s="10">
        <f t="shared" si="3"/>
        <v>1.0837582583564263</v>
      </c>
      <c r="J11" s="13">
        <f>+[21]Summary!$E$36-[21]Summary!$E$35</f>
        <v>121236.15000000002</v>
      </c>
      <c r="K11" s="9">
        <f t="shared" ref="K11" si="6">+E11-J11</f>
        <v>-30278.309582133254</v>
      </c>
      <c r="L11" s="10">
        <f t="shared" ref="L11" si="7">+K11/J11</f>
        <v>-0.24974654492190035</v>
      </c>
      <c r="M11" s="11"/>
      <c r="O11" t="s">
        <v>30</v>
      </c>
      <c r="P11" s="9" t="s">
        <v>25</v>
      </c>
    </row>
    <row r="12" spans="1:16" x14ac:dyDescent="0.25">
      <c r="A12" t="s">
        <v>20</v>
      </c>
      <c r="B12" s="9">
        <f>+[22]Summary!$H$33</f>
        <v>8504.99</v>
      </c>
      <c r="C12" s="5">
        <v>0.05</v>
      </c>
      <c r="D12" s="8">
        <f t="shared" si="0"/>
        <v>425.24950000000001</v>
      </c>
      <c r="E12" s="8">
        <f t="shared" si="1"/>
        <v>8930.2394999999997</v>
      </c>
      <c r="G12" s="9">
        <f>+[3]Summary!E12</f>
        <v>7699.4075557553952</v>
      </c>
      <c r="H12" s="9">
        <f t="shared" si="2"/>
        <v>1230.8319442446045</v>
      </c>
      <c r="I12" s="10">
        <f t="shared" si="3"/>
        <v>0.15986060425188736</v>
      </c>
      <c r="J12" s="9">
        <f>+[23]Summary!$E$36</f>
        <v>21308.7</v>
      </c>
      <c r="K12" s="9">
        <f t="shared" ref="K12" si="8">+E12-J12</f>
        <v>-12378.460500000001</v>
      </c>
      <c r="L12" s="10">
        <f t="shared" ref="L12" si="9">+K12/J12</f>
        <v>-0.58091110673105351</v>
      </c>
      <c r="M12" s="11"/>
      <c r="O12" t="s">
        <v>30</v>
      </c>
      <c r="P12" s="9" t="s">
        <v>25</v>
      </c>
    </row>
    <row r="13" spans="1:16" ht="57.5" x14ac:dyDescent="0.25">
      <c r="A13" t="s">
        <v>17</v>
      </c>
      <c r="B13" s="9">
        <f>+[24]Summary!$H$33</f>
        <v>12714.785569524904</v>
      </c>
      <c r="C13" s="3">
        <f>+[25]Summary!$H$35</f>
        <v>7.4999999999999997E-2</v>
      </c>
      <c r="D13" s="8">
        <f t="shared" si="0"/>
        <v>953.60891771436775</v>
      </c>
      <c r="E13" s="8">
        <f t="shared" si="1"/>
        <v>13668.394487239271</v>
      </c>
      <c r="G13" s="9">
        <f>+[3]Summary!E13</f>
        <v>13668.394487239271</v>
      </c>
      <c r="H13" s="9">
        <f t="shared" si="2"/>
        <v>0</v>
      </c>
      <c r="I13" s="10">
        <f t="shared" si="3"/>
        <v>0</v>
      </c>
      <c r="J13" s="9">
        <f>+[25]Summary!$H$36</f>
        <v>22925.112714356808</v>
      </c>
      <c r="K13" s="9">
        <f t="shared" si="4"/>
        <v>-9256.718227117537</v>
      </c>
      <c r="L13" s="10">
        <f t="shared" si="5"/>
        <v>-0.40378070731667698</v>
      </c>
      <c r="M13" s="11" t="s">
        <v>34</v>
      </c>
      <c r="O13" t="s">
        <v>29</v>
      </c>
      <c r="P13" s="9" t="s">
        <v>25</v>
      </c>
    </row>
    <row r="14" spans="1:16" ht="57.5" x14ac:dyDescent="0.25">
      <c r="A14" t="s">
        <v>18</v>
      </c>
      <c r="B14" s="9">
        <f>+[26]Summary!$H$33</f>
        <v>76110.17981358782</v>
      </c>
      <c r="C14" s="3">
        <f>+[27]Summary!$H$35</f>
        <v>7.4999999999999997E-2</v>
      </c>
      <c r="D14" s="8">
        <f t="shared" si="0"/>
        <v>5708.2634860190865</v>
      </c>
      <c r="E14" s="8">
        <f t="shared" si="1"/>
        <v>81818.443299606908</v>
      </c>
      <c r="G14" s="9" t="s">
        <v>25</v>
      </c>
      <c r="H14" s="9" t="s">
        <v>25</v>
      </c>
      <c r="I14" s="10" t="s">
        <v>25</v>
      </c>
      <c r="J14" s="9">
        <f>+[27]Summary!$H$36</f>
        <v>60621.568508703676</v>
      </c>
      <c r="K14" s="9">
        <f t="shared" si="4"/>
        <v>21196.874790903232</v>
      </c>
      <c r="L14" s="10">
        <f t="shared" si="5"/>
        <v>0.34965896317677614</v>
      </c>
      <c r="M14" s="11" t="s">
        <v>36</v>
      </c>
      <c r="O14" t="s">
        <v>29</v>
      </c>
      <c r="P14" s="9" t="s">
        <v>25</v>
      </c>
    </row>
    <row r="15" spans="1:16" ht="46" x14ac:dyDescent="0.25">
      <c r="A15" t="s">
        <v>13</v>
      </c>
      <c r="B15" s="9">
        <f>+[28]Summary!$L$33</f>
        <v>70028.962559786072</v>
      </c>
      <c r="C15" s="3">
        <f>+[29]Summary!$L$35</f>
        <v>7.4999999999999997E-2</v>
      </c>
      <c r="D15" s="8">
        <f t="shared" si="0"/>
        <v>5252.1721919839556</v>
      </c>
      <c r="E15" s="8">
        <f t="shared" si="1"/>
        <v>75281.134751770034</v>
      </c>
      <c r="G15" s="9">
        <f>+[3]Summary!E15</f>
        <v>75281.134751770049</v>
      </c>
      <c r="H15" s="9">
        <f t="shared" si="2"/>
        <v>0</v>
      </c>
      <c r="I15" s="10">
        <f t="shared" si="3"/>
        <v>0</v>
      </c>
      <c r="J15" s="9">
        <f>+[29]Summary!$L$36</f>
        <v>70721.566596096614</v>
      </c>
      <c r="K15" s="9">
        <f t="shared" si="4"/>
        <v>4559.5681556734198</v>
      </c>
      <c r="L15" s="10">
        <f t="shared" si="5"/>
        <v>6.4472103420925617E-2</v>
      </c>
      <c r="M15" s="11" t="s">
        <v>37</v>
      </c>
      <c r="O15" t="s">
        <v>31</v>
      </c>
      <c r="P15" s="9" t="s">
        <v>25</v>
      </c>
    </row>
    <row r="16" spans="1:16" s="14" customFormat="1" ht="23" x14ac:dyDescent="0.25">
      <c r="A16" s="14" t="s">
        <v>16</v>
      </c>
      <c r="B16" s="15">
        <f>+[30]Summary!$H$33</f>
        <v>818796.56279878505</v>
      </c>
      <c r="C16" s="16">
        <f>+[31]Summary!$H$35</f>
        <v>7.4999999999999997E-2</v>
      </c>
      <c r="D16" s="17">
        <f t="shared" si="0"/>
        <v>61409.742209908873</v>
      </c>
      <c r="E16" s="17">
        <f t="shared" si="1"/>
        <v>880206.30500869395</v>
      </c>
      <c r="G16" s="15">
        <f>+[3]Summary!E16</f>
        <v>880192.11819421395</v>
      </c>
      <c r="H16" s="15">
        <f t="shared" si="2"/>
        <v>14.186814479995519</v>
      </c>
      <c r="I16" s="18">
        <f t="shared" si="3"/>
        <v>1.6117861301804121E-5</v>
      </c>
      <c r="J16" s="15">
        <f>+[31]Summary!$H$36</f>
        <v>777303.67606529</v>
      </c>
      <c r="K16" s="15">
        <f t="shared" si="4"/>
        <v>102902.62894340395</v>
      </c>
      <c r="L16" s="18">
        <f t="shared" si="5"/>
        <v>0.13238407602070904</v>
      </c>
      <c r="M16" s="19" t="s">
        <v>38</v>
      </c>
      <c r="O16" s="14" t="s">
        <v>29</v>
      </c>
      <c r="P16" s="15" t="s">
        <v>25</v>
      </c>
    </row>
    <row r="17" spans="1:13" x14ac:dyDescent="0.25">
      <c r="B17" s="9"/>
      <c r="M17" s="12"/>
    </row>
    <row r="18" spans="1:13" x14ac:dyDescent="0.25">
      <c r="A18" s="6" t="s">
        <v>14</v>
      </c>
      <c r="B18" s="7">
        <f>+SUM(B2:B17)</f>
        <v>1650323.8711868739</v>
      </c>
      <c r="C18" s="6"/>
      <c r="D18" s="7">
        <f>+SUM(D2:D17)</f>
        <v>121396.00272192349</v>
      </c>
      <c r="E18" s="7">
        <f>+SUM(E2:E17)</f>
        <v>1771719.873908798</v>
      </c>
      <c r="F18" s="6"/>
      <c r="G18" s="7">
        <f>+SUM(G2:G17)</f>
        <v>1641349.4316286426</v>
      </c>
      <c r="H18" s="7">
        <f>+SUM(H2:H17)</f>
        <v>48551.998980548204</v>
      </c>
      <c r="I18" s="10">
        <f>+H18/G18</f>
        <v>2.9580537845845585E-2</v>
      </c>
      <c r="J18" s="7">
        <f>+SUM(J2:J17)</f>
        <v>1686507.4511118878</v>
      </c>
      <c r="K18" s="7">
        <f>+SUM(K2:K17)</f>
        <v>85212.422796909959</v>
      </c>
      <c r="L18" s="10">
        <f>+K18/J18</f>
        <v>5.0525968765053927E-2</v>
      </c>
      <c r="M18" s="1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workbookViewId="0">
      <selection activeCell="C6" sqref="C6"/>
    </sheetView>
  </sheetViews>
  <sheetFormatPr defaultRowHeight="11.5" x14ac:dyDescent="0.25"/>
  <cols>
    <col min="2" max="2" width="11.125" bestFit="1" customWidth="1"/>
    <col min="3" max="5" width="7.625" bestFit="1" customWidth="1"/>
    <col min="6" max="6" width="10.125" bestFit="1" customWidth="1"/>
    <col min="7" max="7" width="11.125" bestFit="1" customWidth="1"/>
    <col min="8" max="8" width="15.75" bestFit="1" customWidth="1"/>
    <col min="9" max="12" width="12.125" bestFit="1" customWidth="1"/>
    <col min="13" max="13" width="11.125" bestFit="1" customWidth="1"/>
  </cols>
  <sheetData>
    <row r="1" spans="1:13" x14ac:dyDescent="0.25">
      <c r="C1" s="24"/>
    </row>
    <row r="2" spans="1:13" x14ac:dyDescent="0.25">
      <c r="A2" s="28" t="s">
        <v>41</v>
      </c>
      <c r="B2" s="29" t="s">
        <v>43</v>
      </c>
      <c r="C2" s="30"/>
      <c r="D2" s="30"/>
      <c r="E2" s="30"/>
      <c r="F2" s="30"/>
      <c r="G2" s="30"/>
      <c r="H2" s="30"/>
      <c r="I2" s="30"/>
      <c r="J2" s="30"/>
      <c r="K2" s="30"/>
      <c r="L2" s="31"/>
    </row>
    <row r="3" spans="1:13" x14ac:dyDescent="0.25">
      <c r="A3" s="32" t="s">
        <v>42</v>
      </c>
      <c r="B3" s="27" t="s">
        <v>44</v>
      </c>
      <c r="C3" s="6" t="s">
        <v>45</v>
      </c>
      <c r="D3" s="6" t="s">
        <v>46</v>
      </c>
      <c r="E3" s="6" t="s">
        <v>47</v>
      </c>
      <c r="F3" s="6" t="s">
        <v>48</v>
      </c>
      <c r="G3" s="6" t="s">
        <v>49</v>
      </c>
      <c r="H3" s="6" t="s">
        <v>50</v>
      </c>
      <c r="I3" s="6" t="s">
        <v>51</v>
      </c>
      <c r="J3" s="6" t="s">
        <v>52</v>
      </c>
      <c r="K3" s="6" t="s">
        <v>53</v>
      </c>
      <c r="L3" s="33" t="s">
        <v>54</v>
      </c>
      <c r="M3" t="s">
        <v>55</v>
      </c>
    </row>
    <row r="4" spans="1:13" x14ac:dyDescent="0.25">
      <c r="A4" s="34" t="s">
        <v>56</v>
      </c>
      <c r="B4" s="35">
        <f>+SUM(B5:B28)</f>
        <v>818796.56279878505</v>
      </c>
      <c r="C4" s="35">
        <f>+SUM(C5:C28)</f>
        <v>-2.9148382208684396</v>
      </c>
      <c r="D4" s="35">
        <f t="shared" ref="D4:M4" si="0">+SUM(D5:D28)</f>
        <v>-2.7064014351928947</v>
      </c>
      <c r="E4" s="35">
        <f t="shared" si="0"/>
        <v>3393.5604976046384</v>
      </c>
      <c r="F4" s="35">
        <f t="shared" si="0"/>
        <v>273600.1598950167</v>
      </c>
      <c r="G4" s="35">
        <f t="shared" si="0"/>
        <v>524864.67464999738</v>
      </c>
      <c r="H4" s="35">
        <f t="shared" si="0"/>
        <v>43.295481141201719</v>
      </c>
      <c r="I4" s="35">
        <f t="shared" si="0"/>
        <v>5980.1429206664125</v>
      </c>
      <c r="J4" s="35">
        <f t="shared" si="0"/>
        <v>10894.152130973038</v>
      </c>
      <c r="K4" s="35">
        <f t="shared" si="0"/>
        <v>0</v>
      </c>
      <c r="L4" s="36">
        <f t="shared" si="0"/>
        <v>26.198463041861604</v>
      </c>
      <c r="M4" s="37">
        <f t="shared" si="0"/>
        <v>0</v>
      </c>
    </row>
    <row r="5" spans="1:13" x14ac:dyDescent="0.25">
      <c r="A5" s="23">
        <f>+[30]Summary!A8</f>
        <v>44652</v>
      </c>
      <c r="B5" s="24">
        <f>+[30]Summary!H8</f>
        <v>0</v>
      </c>
      <c r="C5" s="25">
        <f>+$B5*[32]Allocation!P5</f>
        <v>0</v>
      </c>
      <c r="D5" s="25">
        <f>+$B5*[32]Allocation!Q5</f>
        <v>0</v>
      </c>
      <c r="E5" s="25">
        <f>+$B5*[32]Allocation!R5</f>
        <v>0</v>
      </c>
      <c r="F5" s="25">
        <f>+$B5*[32]Allocation!S5</f>
        <v>0</v>
      </c>
      <c r="G5" s="25">
        <f>+$B5*[32]Allocation!T5</f>
        <v>0</v>
      </c>
      <c r="H5" s="25">
        <f>+$B5*[32]Allocation!U5</f>
        <v>0</v>
      </c>
      <c r="I5" s="25">
        <f>+$B5*[32]Allocation!V5</f>
        <v>0</v>
      </c>
      <c r="J5" s="25">
        <f>+$B5*[32]Allocation!W5</f>
        <v>0</v>
      </c>
      <c r="K5" s="25">
        <f>+$B5*[32]Allocation!X5</f>
        <v>0</v>
      </c>
      <c r="L5" s="25">
        <f>+$B5*[32]Allocation!Y5</f>
        <v>0</v>
      </c>
      <c r="M5" s="26">
        <f>+B5-SUM(C5:L5)</f>
        <v>0</v>
      </c>
    </row>
    <row r="6" spans="1:13" x14ac:dyDescent="0.25">
      <c r="A6" s="23">
        <f>+[30]Summary!A9</f>
        <v>44682</v>
      </c>
      <c r="B6" s="24">
        <f>+[30]Summary!H9</f>
        <v>0</v>
      </c>
      <c r="C6" s="25">
        <f>+$B6*[32]Allocation!P6</f>
        <v>0</v>
      </c>
      <c r="D6" s="25">
        <f>+$B6*[32]Allocation!Q6</f>
        <v>0</v>
      </c>
      <c r="E6" s="25">
        <f>+$B6*[32]Allocation!R6</f>
        <v>0</v>
      </c>
      <c r="F6" s="25">
        <f>+$B6*[32]Allocation!S6</f>
        <v>0</v>
      </c>
      <c r="G6" s="25">
        <f>+$B6*[32]Allocation!T6</f>
        <v>0</v>
      </c>
      <c r="H6" s="25">
        <f>+$B6*[32]Allocation!U6</f>
        <v>0</v>
      </c>
      <c r="I6" s="25">
        <f>+$B6*[32]Allocation!V6</f>
        <v>0</v>
      </c>
      <c r="J6" s="25">
        <f>+$B6*[32]Allocation!W6</f>
        <v>0</v>
      </c>
      <c r="K6" s="25">
        <f>+$B6*[32]Allocation!X6</f>
        <v>0</v>
      </c>
      <c r="L6" s="25">
        <f>+$B6*[32]Allocation!Y6</f>
        <v>0</v>
      </c>
      <c r="M6" s="26">
        <f t="shared" ref="M6:M28" si="1">+B6-SUM(C6:L6)</f>
        <v>0</v>
      </c>
    </row>
    <row r="7" spans="1:13" x14ac:dyDescent="0.25">
      <c r="A7" s="23">
        <f>+[30]Summary!A10</f>
        <v>44713</v>
      </c>
      <c r="B7" s="24">
        <f>+[30]Summary!H10</f>
        <v>0</v>
      </c>
      <c r="C7" s="25">
        <f>+$B7*[32]Allocation!P7</f>
        <v>0</v>
      </c>
      <c r="D7" s="25">
        <f>+$B7*[32]Allocation!Q7</f>
        <v>0</v>
      </c>
      <c r="E7" s="25">
        <f>+$B7*[32]Allocation!R7</f>
        <v>0</v>
      </c>
      <c r="F7" s="25">
        <f>+$B7*[32]Allocation!S7</f>
        <v>0</v>
      </c>
      <c r="G7" s="25">
        <f>+$B7*[32]Allocation!T7</f>
        <v>0</v>
      </c>
      <c r="H7" s="25">
        <f>+$B7*[32]Allocation!U7</f>
        <v>0</v>
      </c>
      <c r="I7" s="25">
        <f>+$B7*[32]Allocation!V7</f>
        <v>0</v>
      </c>
      <c r="J7" s="25">
        <f>+$B7*[32]Allocation!W7</f>
        <v>0</v>
      </c>
      <c r="K7" s="25">
        <f>+$B7*[32]Allocation!X7</f>
        <v>0</v>
      </c>
      <c r="L7" s="25">
        <f>+$B7*[32]Allocation!Y7</f>
        <v>0</v>
      </c>
      <c r="M7" s="26">
        <f t="shared" si="1"/>
        <v>0</v>
      </c>
    </row>
    <row r="8" spans="1:13" x14ac:dyDescent="0.25">
      <c r="A8" s="23">
        <f>+[30]Summary!A11</f>
        <v>44743</v>
      </c>
      <c r="B8" s="24">
        <f>+[30]Summary!H11</f>
        <v>0</v>
      </c>
      <c r="C8" s="25">
        <f>+$B8*[32]Allocation!P8</f>
        <v>0</v>
      </c>
      <c r="D8" s="25">
        <f>+$B8*[32]Allocation!Q8</f>
        <v>0</v>
      </c>
      <c r="E8" s="25">
        <f>+$B8*[32]Allocation!R8</f>
        <v>0</v>
      </c>
      <c r="F8" s="25">
        <f>+$B8*[32]Allocation!S8</f>
        <v>0</v>
      </c>
      <c r="G8" s="25">
        <f>+$B8*[32]Allocation!T8</f>
        <v>0</v>
      </c>
      <c r="H8" s="25">
        <f>+$B8*[32]Allocation!U8</f>
        <v>0</v>
      </c>
      <c r="I8" s="25">
        <f>+$B8*[32]Allocation!V8</f>
        <v>0</v>
      </c>
      <c r="J8" s="25">
        <f>+$B8*[32]Allocation!W8</f>
        <v>0</v>
      </c>
      <c r="K8" s="25">
        <f>+$B8*[32]Allocation!X8</f>
        <v>0</v>
      </c>
      <c r="L8" s="25">
        <f>+$B8*[32]Allocation!Y8</f>
        <v>0</v>
      </c>
      <c r="M8" s="26">
        <f t="shared" si="1"/>
        <v>0</v>
      </c>
    </row>
    <row r="9" spans="1:13" x14ac:dyDescent="0.25">
      <c r="A9" s="23">
        <f>+[30]Summary!A12</f>
        <v>44774</v>
      </c>
      <c r="B9" s="24">
        <f>+[30]Summary!H12</f>
        <v>15.574739304487593</v>
      </c>
      <c r="C9" s="25">
        <f>+$B9*[32]Allocation!P9</f>
        <v>0.49483270433818988</v>
      </c>
      <c r="D9" s="25">
        <f>+$B9*[32]Allocation!Q9</f>
        <v>0</v>
      </c>
      <c r="E9" s="25">
        <f>+$B9*[32]Allocation!R9</f>
        <v>14.334599454533048</v>
      </c>
      <c r="F9" s="25">
        <f>+$B9*[32]Allocation!S9</f>
        <v>2.4224081441883011E-2</v>
      </c>
      <c r="G9" s="25">
        <f>+$B9*[32]Allocation!T9</f>
        <v>0</v>
      </c>
      <c r="H9" s="25">
        <f>+$B9*[32]Allocation!U9</f>
        <v>9.5834171903394125E-4</v>
      </c>
      <c r="I9" s="25">
        <f>+$B9*[32]Allocation!V9</f>
        <v>0.1610060399618983</v>
      </c>
      <c r="J9" s="25">
        <f>+$B9*[32]Allocation!W9</f>
        <v>0</v>
      </c>
      <c r="K9" s="25">
        <f>+$B9*[32]Allocation!X9</f>
        <v>0</v>
      </c>
      <c r="L9" s="25">
        <f>+$B9*[32]Allocation!Y9</f>
        <v>0.55911868249354102</v>
      </c>
      <c r="M9" s="26">
        <f t="shared" si="1"/>
        <v>0</v>
      </c>
    </row>
    <row r="10" spans="1:13" x14ac:dyDescent="0.25">
      <c r="A10" s="23">
        <f>+[30]Summary!A13</f>
        <v>44805</v>
      </c>
      <c r="B10" s="24">
        <f>+[30]Summary!H13</f>
        <v>45.982874003937468</v>
      </c>
      <c r="C10" s="25">
        <f>+$B10*[32]Allocation!P10</f>
        <v>-2.7812997464892023E-2</v>
      </c>
      <c r="D10" s="25">
        <f>+$B10*[32]Allocation!Q10</f>
        <v>-9.3861656151430547E-3</v>
      </c>
      <c r="E10" s="25">
        <f>+$B10*[32]Allocation!R10</f>
        <v>42.956621844983204</v>
      </c>
      <c r="F10" s="25">
        <f>+$B10*[32]Allocation!S10</f>
        <v>0.95139349729781808</v>
      </c>
      <c r="G10" s="25">
        <f>+$B10*[32]Allocation!T10</f>
        <v>0</v>
      </c>
      <c r="H10" s="25">
        <f>+$B10*[32]Allocation!U10</f>
        <v>2.893036981606117E-3</v>
      </c>
      <c r="I10" s="25">
        <f>+$B10*[32]Allocation!V10</f>
        <v>0.68205651756336605</v>
      </c>
      <c r="J10" s="25">
        <f>+$B10*[32]Allocation!W10</f>
        <v>0</v>
      </c>
      <c r="K10" s="25">
        <f>+$B10*[32]Allocation!X10</f>
        <v>0</v>
      </c>
      <c r="L10" s="25">
        <f>+$B10*[32]Allocation!Y10</f>
        <v>1.4271082701915188</v>
      </c>
      <c r="M10" s="26">
        <f t="shared" si="1"/>
        <v>0</v>
      </c>
    </row>
    <row r="11" spans="1:13" x14ac:dyDescent="0.25">
      <c r="A11" s="23">
        <f>+[30]Summary!A14</f>
        <v>44835</v>
      </c>
      <c r="B11" s="24">
        <f>+[30]Summary!H14</f>
        <v>58.409395793016301</v>
      </c>
      <c r="C11" s="25">
        <f>+$B11*[32]Allocation!P11</f>
        <v>0</v>
      </c>
      <c r="D11" s="25">
        <f>+$B11*[32]Allocation!Q11</f>
        <v>0</v>
      </c>
      <c r="E11" s="25">
        <f>+$B11*[32]Allocation!R11</f>
        <v>47.495182060534432</v>
      </c>
      <c r="F11" s="25">
        <f>+$B11*[32]Allocation!S11</f>
        <v>8.3635102021849512</v>
      </c>
      <c r="G11" s="25">
        <f>+$B11*[32]Allocation!T11</f>
        <v>0</v>
      </c>
      <c r="H11" s="25">
        <f>+$B11*[32]Allocation!U11</f>
        <v>3.6423761009674893E-3</v>
      </c>
      <c r="I11" s="25">
        <f>+$B11*[32]Allocation!V11</f>
        <v>1.0794376309446108</v>
      </c>
      <c r="J11" s="25">
        <f>+$B11*[32]Allocation!W11</f>
        <v>0</v>
      </c>
      <c r="K11" s="25">
        <f>+$B11*[32]Allocation!X11</f>
        <v>0</v>
      </c>
      <c r="L11" s="25">
        <f>+$B11*[32]Allocation!Y11</f>
        <v>1.4676235232513408</v>
      </c>
      <c r="M11" s="26">
        <f t="shared" si="1"/>
        <v>0</v>
      </c>
    </row>
    <row r="12" spans="1:13" x14ac:dyDescent="0.25">
      <c r="A12" s="23">
        <f>+[30]Summary!A15</f>
        <v>44866</v>
      </c>
      <c r="B12" s="24">
        <f>+[30]Summary!H15</f>
        <v>74.04532426118385</v>
      </c>
      <c r="C12" s="25">
        <f>+$B12*[32]Allocation!P12</f>
        <v>0</v>
      </c>
      <c r="D12" s="25">
        <f>+$B12*[32]Allocation!Q12</f>
        <v>0</v>
      </c>
      <c r="E12" s="25">
        <f>+$B12*[32]Allocation!R12</f>
        <v>48.428354743627374</v>
      </c>
      <c r="F12" s="25">
        <f>+$B12*[32]Allocation!S12</f>
        <v>22.461162253251931</v>
      </c>
      <c r="G12" s="25">
        <f>+$B12*[32]Allocation!T12</f>
        <v>0</v>
      </c>
      <c r="H12" s="25">
        <f>+$B12*[32]Allocation!U12</f>
        <v>4.5818198848653676E-3</v>
      </c>
      <c r="I12" s="25">
        <f>+$B12*[32]Allocation!V12</f>
        <v>1.6040645993647742</v>
      </c>
      <c r="J12" s="25">
        <f>+$B12*[32]Allocation!W12</f>
        <v>0</v>
      </c>
      <c r="K12" s="25">
        <f>+$B12*[32]Allocation!X12</f>
        <v>0</v>
      </c>
      <c r="L12" s="25">
        <f>+$B12*[32]Allocation!Y12</f>
        <v>1.5471608450549106</v>
      </c>
      <c r="M12" s="26">
        <f t="shared" si="1"/>
        <v>0</v>
      </c>
    </row>
    <row r="13" spans="1:13" x14ac:dyDescent="0.25">
      <c r="A13" s="23">
        <f>+[30]Summary!A16</f>
        <v>44896</v>
      </c>
      <c r="B13" s="24">
        <f>+[30]Summary!H16</f>
        <v>79.674041109887185</v>
      </c>
      <c r="C13" s="25">
        <f>+$B13*[32]Allocation!P13</f>
        <v>0</v>
      </c>
      <c r="D13" s="25">
        <f>+$B13*[32]Allocation!Q13</f>
        <v>0</v>
      </c>
      <c r="E13" s="25">
        <f>+$B13*[32]Allocation!R13</f>
        <v>40.505089852841607</v>
      </c>
      <c r="F13" s="25">
        <f>+$B13*[32]Allocation!S13</f>
        <v>36.009969142653922</v>
      </c>
      <c r="G13" s="25">
        <f>+$B13*[32]Allocation!T13</f>
        <v>0</v>
      </c>
      <c r="H13" s="25">
        <f>+$B13*[32]Allocation!U13</f>
        <v>4.7983624206317747E-3</v>
      </c>
      <c r="I13" s="25">
        <f>+$B13*[32]Allocation!V13</f>
        <v>1.8012562531892264</v>
      </c>
      <c r="J13" s="25">
        <f>+$B13*[32]Allocation!W13</f>
        <v>0</v>
      </c>
      <c r="K13" s="25">
        <f>+$B13*[32]Allocation!X13</f>
        <v>0</v>
      </c>
      <c r="L13" s="25">
        <f>+$B13*[32]Allocation!Y13</f>
        <v>1.3529274987817945</v>
      </c>
      <c r="M13" s="26">
        <f t="shared" si="1"/>
        <v>0</v>
      </c>
    </row>
    <row r="14" spans="1:13" x14ac:dyDescent="0.25">
      <c r="A14" s="23">
        <f>+[30]Summary!A17</f>
        <v>44927</v>
      </c>
      <c r="B14" s="24">
        <f>+[30]Summary!H17</f>
        <v>149.15987185228732</v>
      </c>
      <c r="C14" s="25">
        <f>+$B14*[32]Allocation!P14</f>
        <v>-9.018483265413163E-2</v>
      </c>
      <c r="D14" s="25">
        <f>+$B14*[32]Allocation!Q14</f>
        <v>-4.5092416327065815E-2</v>
      </c>
      <c r="E14" s="25">
        <f>+$B14*[32]Allocation!R14</f>
        <v>53.402703462503148</v>
      </c>
      <c r="F14" s="25">
        <f>+$B14*[32]Allocation!S14</f>
        <v>90.437650511502056</v>
      </c>
      <c r="G14" s="25">
        <f>+$B14*[32]Allocation!T14</f>
        <v>0</v>
      </c>
      <c r="H14" s="25">
        <f>+$B14*[32]Allocation!U14</f>
        <v>8.8229812351663123E-3</v>
      </c>
      <c r="I14" s="25">
        <f>+$B14*[32]Allocation!V14</f>
        <v>3.4328723978381377</v>
      </c>
      <c r="J14" s="25">
        <f>+$B14*[32]Allocation!W14</f>
        <v>0</v>
      </c>
      <c r="K14" s="25">
        <f>+$B14*[32]Allocation!X14</f>
        <v>0</v>
      </c>
      <c r="L14" s="25">
        <f>+$B14*[32]Allocation!Y14</f>
        <v>2.0130997481900024</v>
      </c>
      <c r="M14" s="26">
        <f t="shared" si="1"/>
        <v>0</v>
      </c>
    </row>
    <row r="15" spans="1:13" x14ac:dyDescent="0.25">
      <c r="A15" s="23">
        <f>+[30]Summary!A18</f>
        <v>44958</v>
      </c>
      <c r="B15" s="24">
        <f>+[30]Summary!H18</f>
        <v>182.15083027278888</v>
      </c>
      <c r="C15" s="25">
        <f>+$B15*[32]Allocation!P15</f>
        <v>0</v>
      </c>
      <c r="D15" s="25">
        <f>+$B15*[32]Allocation!Q15</f>
        <v>0</v>
      </c>
      <c r="E15" s="25">
        <f>+$B15*[32]Allocation!R15</f>
        <v>51.49321368795357</v>
      </c>
      <c r="F15" s="25">
        <f>+$B15*[32]Allocation!S15</f>
        <v>124.14436776164396</v>
      </c>
      <c r="G15" s="25">
        <f>+$B15*[32]Allocation!T15</f>
        <v>0</v>
      </c>
      <c r="H15" s="25">
        <f>+$B15*[32]Allocation!U15</f>
        <v>1.0943305796466896E-2</v>
      </c>
      <c r="I15" s="25">
        <f>+$B15*[32]Allocation!V15</f>
        <v>4.8583036871323273</v>
      </c>
      <c r="J15" s="25">
        <f>+$B15*[32]Allocation!W15</f>
        <v>0</v>
      </c>
      <c r="K15" s="25">
        <f>+$B15*[32]Allocation!X15</f>
        <v>0</v>
      </c>
      <c r="L15" s="25">
        <f>+$B15*[32]Allocation!Y15</f>
        <v>1.6440018302625552</v>
      </c>
      <c r="M15" s="26">
        <f t="shared" si="1"/>
        <v>0</v>
      </c>
    </row>
    <row r="16" spans="1:13" x14ac:dyDescent="0.25">
      <c r="A16" s="23">
        <f>+[30]Summary!A19</f>
        <v>44986</v>
      </c>
      <c r="B16" s="24">
        <f>+[30]Summary!H19</f>
        <v>686.18343867576914</v>
      </c>
      <c r="C16" s="25">
        <f>+$B16*[32]Allocation!P16</f>
        <v>0</v>
      </c>
      <c r="D16" s="25">
        <f>+$B16*[32]Allocation!Q16</f>
        <v>0</v>
      </c>
      <c r="E16" s="25">
        <f>+$B16*[32]Allocation!R16</f>
        <v>155.28438959108158</v>
      </c>
      <c r="F16" s="25">
        <f>+$B16*[32]Allocation!S16</f>
        <v>507.85284843732637</v>
      </c>
      <c r="G16" s="25">
        <f>+$B16*[32]Allocation!T16</f>
        <v>0</v>
      </c>
      <c r="H16" s="25">
        <f>+$B16*[32]Allocation!U16</f>
        <v>4.0229697032760581E-2</v>
      </c>
      <c r="I16" s="25">
        <f>+$B16*[32]Allocation!V16</f>
        <v>19.514512613873919</v>
      </c>
      <c r="J16" s="25">
        <f>+$B16*[32]Allocation!W16</f>
        <v>0</v>
      </c>
      <c r="K16" s="25">
        <f>+$B16*[32]Allocation!X16</f>
        <v>0</v>
      </c>
      <c r="L16" s="25">
        <f>+$B16*[32]Allocation!Y16</f>
        <v>3.4914583364545151</v>
      </c>
      <c r="M16" s="26">
        <f t="shared" si="1"/>
        <v>0</v>
      </c>
    </row>
    <row r="17" spans="1:13" x14ac:dyDescent="0.25">
      <c r="A17" s="23">
        <f>+[30]Summary!A20</f>
        <v>45017</v>
      </c>
      <c r="B17" s="24">
        <f>+[30]Summary!H20</f>
        <v>3621.5205484303006</v>
      </c>
      <c r="C17" s="25">
        <f>+$B17*[32]Allocation!P17</f>
        <v>-0.10936567118678253</v>
      </c>
      <c r="D17" s="25">
        <f>+$B17*[32]Allocation!Q17</f>
        <v>0</v>
      </c>
      <c r="E17" s="25">
        <f>+$B17*[32]Allocation!R17</f>
        <v>660.53470353216062</v>
      </c>
      <c r="F17" s="25">
        <f>+$B17*[32]Allocation!S17</f>
        <v>2845.2098615194218</v>
      </c>
      <c r="G17" s="25">
        <f>+$B17*[32]Allocation!T17</f>
        <v>0</v>
      </c>
      <c r="H17" s="25">
        <f>+$B17*[32]Allocation!U17</f>
        <v>0.2202251615578216</v>
      </c>
      <c r="I17" s="25">
        <f>+$B17*[32]Allocation!V17</f>
        <v>106.49509573230746</v>
      </c>
      <c r="J17" s="25">
        <f>+$B17*[32]Allocation!W17</f>
        <v>0</v>
      </c>
      <c r="K17" s="25">
        <f>+$B17*[32]Allocation!X17</f>
        <v>0</v>
      </c>
      <c r="L17" s="25">
        <f>+$B17*[32]Allocation!Y17</f>
        <v>9.1700281560391854</v>
      </c>
      <c r="M17" s="26">
        <f t="shared" si="1"/>
        <v>0</v>
      </c>
    </row>
    <row r="18" spans="1:13" x14ac:dyDescent="0.25">
      <c r="A18" s="23">
        <f>+[30]Summary!A21</f>
        <v>45047</v>
      </c>
      <c r="B18" s="24">
        <f>+[30]Summary!H21</f>
        <v>6415.6081246591057</v>
      </c>
      <c r="C18" s="25">
        <f>+$B18*[32]Allocation!P18</f>
        <v>0</v>
      </c>
      <c r="D18" s="25">
        <f>+$B18*[32]Allocation!Q18</f>
        <v>0</v>
      </c>
      <c r="E18" s="25">
        <f>+$B18*[32]Allocation!R18</f>
        <v>876.78936930211216</v>
      </c>
      <c r="F18" s="25">
        <f>+$B18*[32]Allocation!S18</f>
        <v>5338.6908129975109</v>
      </c>
      <c r="G18" s="25">
        <f>+$B18*[32]Allocation!T18</f>
        <v>0</v>
      </c>
      <c r="H18" s="25">
        <f>+$B18*[32]Allocation!U18</f>
        <v>0.38566660765562749</v>
      </c>
      <c r="I18" s="25">
        <f>+$B18*[32]Allocation!V18</f>
        <v>196.21633960068419</v>
      </c>
      <c r="J18" s="25">
        <f>+$B18*[32]Allocation!W18</f>
        <v>0</v>
      </c>
      <c r="K18" s="25">
        <f>+$B18*[32]Allocation!X18</f>
        <v>0</v>
      </c>
      <c r="L18" s="25">
        <f>+$B18*[32]Allocation!Y18</f>
        <v>3.5259361511422402</v>
      </c>
      <c r="M18" s="26">
        <f t="shared" si="1"/>
        <v>0</v>
      </c>
    </row>
    <row r="19" spans="1:13" x14ac:dyDescent="0.25">
      <c r="A19" s="23">
        <f>+[30]Summary!A22</f>
        <v>45078</v>
      </c>
      <c r="B19" s="24">
        <f>+[30]Summary!H22</f>
        <v>6828.4225914614217</v>
      </c>
      <c r="C19" s="25">
        <f>+$B19*[32]Allocation!P19</f>
        <v>-3.1823074239008231</v>
      </c>
      <c r="D19" s="25">
        <f>+$B19*[32]Allocation!Q19</f>
        <v>-2.651922853250686</v>
      </c>
      <c r="E19" s="25">
        <f>+$B19*[32]Allocation!R19</f>
        <v>707.49794838329706</v>
      </c>
      <c r="F19" s="25">
        <f>+$B19*[32]Allocation!S19</f>
        <v>5913.7301119223075</v>
      </c>
      <c r="G19" s="25">
        <f>+$B19*[32]Allocation!T19</f>
        <v>0</v>
      </c>
      <c r="H19" s="25">
        <f>+$B19*[32]Allocation!U19</f>
        <v>0.41510954572279879</v>
      </c>
      <c r="I19" s="25">
        <f>+$B19*[32]Allocation!V19</f>
        <v>203.44287176590373</v>
      </c>
      <c r="J19" s="25">
        <f>+$B19*[32]Allocation!W19</f>
        <v>9.1707801213416733</v>
      </c>
      <c r="K19" s="25">
        <f>+$B19*[32]Allocation!X19</f>
        <v>0</v>
      </c>
      <c r="L19" s="25">
        <f>+$B19*[32]Allocation!Y19</f>
        <v>0</v>
      </c>
      <c r="M19" s="26">
        <f t="shared" si="1"/>
        <v>0</v>
      </c>
    </row>
    <row r="20" spans="1:13" x14ac:dyDescent="0.25">
      <c r="A20" s="23">
        <f>+[30]Summary!A23</f>
        <v>45108</v>
      </c>
      <c r="B20" s="24">
        <f>+[30]Summary!H23</f>
        <v>7256.8607041223149</v>
      </c>
      <c r="C20" s="25">
        <f>+$B20*[32]Allocation!P20</f>
        <v>0</v>
      </c>
      <c r="D20" s="25">
        <f>+$B20*[32]Allocation!Q20</f>
        <v>0</v>
      </c>
      <c r="E20" s="25">
        <f>+$B20*[32]Allocation!R20</f>
        <v>497.4405048846611</v>
      </c>
      <c r="F20" s="25">
        <f>+$B20*[32]Allocation!S20</f>
        <v>6542.1958432917681</v>
      </c>
      <c r="G20" s="25">
        <f>+$B20*[32]Allocation!T20</f>
        <v>0</v>
      </c>
      <c r="H20" s="25">
        <f>+$B20*[32]Allocation!U20</f>
        <v>0</v>
      </c>
      <c r="I20" s="25">
        <f>+$B20*[32]Allocation!V20</f>
        <v>196.51524356969333</v>
      </c>
      <c r="J20" s="25">
        <f>+$B20*[32]Allocation!W20</f>
        <v>20.709112376191985</v>
      </c>
      <c r="K20" s="25">
        <f>+$B20*[32]Allocation!X20</f>
        <v>0</v>
      </c>
      <c r="L20" s="25">
        <f>+$B20*[32]Allocation!Y20</f>
        <v>0</v>
      </c>
      <c r="M20" s="26">
        <f t="shared" si="1"/>
        <v>0</v>
      </c>
    </row>
    <row r="21" spans="1:13" x14ac:dyDescent="0.25">
      <c r="A21" s="23">
        <f>+[30]Summary!A24</f>
        <v>45139</v>
      </c>
      <c r="B21" s="24">
        <f>+[30]Summary!H24</f>
        <v>10784.407058913872</v>
      </c>
      <c r="C21" s="25">
        <f>+$B21*[32]Allocation!P21</f>
        <v>0</v>
      </c>
      <c r="D21" s="25">
        <f>+$B21*[32]Allocation!Q21</f>
        <v>0</v>
      </c>
      <c r="E21" s="25">
        <f>+$B21*[32]Allocation!R21</f>
        <v>361.63966534764376</v>
      </c>
      <c r="F21" s="25">
        <f>+$B21*[32]Allocation!S21</f>
        <v>10109.461687611341</v>
      </c>
      <c r="G21" s="25">
        <f>+$B21*[32]Allocation!T21</f>
        <v>1.4662583242270866</v>
      </c>
      <c r="H21" s="25">
        <f>+$B21*[32]Allocation!U21</f>
        <v>0.6590305568518825</v>
      </c>
      <c r="I21" s="25">
        <f>+$B21*[32]Allocation!V21</f>
        <v>247.76161940505816</v>
      </c>
      <c r="J21" s="25">
        <f>+$B21*[32]Allocation!W21</f>
        <v>63.418797668750905</v>
      </c>
      <c r="K21" s="25">
        <f>+$B21*[32]Allocation!X21</f>
        <v>0</v>
      </c>
      <c r="L21" s="25">
        <f>+$B21*[32]Allocation!Y21</f>
        <v>0</v>
      </c>
      <c r="M21" s="26">
        <f t="shared" si="1"/>
        <v>0</v>
      </c>
    </row>
    <row r="22" spans="1:13" x14ac:dyDescent="0.25">
      <c r="A22" s="23">
        <f>+[30]Summary!A25</f>
        <v>45170</v>
      </c>
      <c r="B22" s="24">
        <f>+[30]Summary!H25</f>
        <v>20378.663804775744</v>
      </c>
      <c r="C22" s="25">
        <f>+$B22*[32]Allocation!P22</f>
        <v>0</v>
      </c>
      <c r="D22" s="25">
        <f>+$B22*[32]Allocation!Q22</f>
        <v>0</v>
      </c>
      <c r="E22" s="25">
        <f>+$B22*[32]Allocation!R22</f>
        <v>-27.496538389725597</v>
      </c>
      <c r="F22" s="25">
        <f>+$B22*[32]Allocation!S22</f>
        <v>19447.033444519006</v>
      </c>
      <c r="G22" s="25">
        <f>+$B22*[32]Allocation!T22</f>
        <v>388.52980630343916</v>
      </c>
      <c r="H22" s="25">
        <f>+$B22*[32]Allocation!U22</f>
        <v>1.2572784877958498</v>
      </c>
      <c r="I22" s="25">
        <f>+$B22*[32]Allocation!V22</f>
        <v>394.5620630905081</v>
      </c>
      <c r="J22" s="25">
        <f>+$B22*[32]Allocation!W22</f>
        <v>174.77775076472025</v>
      </c>
      <c r="K22" s="25">
        <f>+$B22*[32]Allocation!X22</f>
        <v>0</v>
      </c>
      <c r="L22" s="25">
        <f>+$B22*[32]Allocation!Y22</f>
        <v>0</v>
      </c>
      <c r="M22" s="26">
        <f t="shared" si="1"/>
        <v>0</v>
      </c>
    </row>
    <row r="23" spans="1:13" x14ac:dyDescent="0.25">
      <c r="A23" s="23">
        <f>+[30]Summary!A26</f>
        <v>45200</v>
      </c>
      <c r="B23" s="24">
        <f>+[30]Summary!H26</f>
        <v>25268.545561895095</v>
      </c>
      <c r="C23" s="25">
        <f>+$B23*[32]Allocation!P23</f>
        <v>0</v>
      </c>
      <c r="D23" s="25">
        <f>+$B23*[32]Allocation!Q23</f>
        <v>0</v>
      </c>
      <c r="E23" s="25">
        <f>+$B23*[32]Allocation!R23</f>
        <v>-19.400867049384349</v>
      </c>
      <c r="F23" s="25">
        <f>+$B23*[32]Allocation!S23</f>
        <v>19881.820465359458</v>
      </c>
      <c r="G23" s="25">
        <f>+$B23*[32]Allocation!T23</f>
        <v>4755.4759127266088</v>
      </c>
      <c r="H23" s="25">
        <f>+$B23*[32]Allocation!U23</f>
        <v>1.4927284231417814</v>
      </c>
      <c r="I23" s="25">
        <f>+$B23*[32]Allocation!V23</f>
        <v>397.73496620272823</v>
      </c>
      <c r="J23" s="25">
        <f>+$B23*[32]Allocation!W23</f>
        <v>251.42235623253842</v>
      </c>
      <c r="K23" s="25">
        <f>+$B23*[32]Allocation!X23</f>
        <v>0</v>
      </c>
      <c r="L23" s="25">
        <f>+$B23*[32]Allocation!Y23</f>
        <v>0</v>
      </c>
      <c r="M23" s="26">
        <f t="shared" si="1"/>
        <v>0</v>
      </c>
    </row>
    <row r="24" spans="1:13" x14ac:dyDescent="0.25">
      <c r="A24" s="23">
        <f>+[30]Summary!A27</f>
        <v>45231</v>
      </c>
      <c r="B24" s="24">
        <f>+[30]Summary!H27</f>
        <v>37104.384092136868</v>
      </c>
      <c r="C24" s="25">
        <f>+$B24*[32]Allocation!P24</f>
        <v>0</v>
      </c>
      <c r="D24" s="25">
        <f>+$B24*[32]Allocation!Q24</f>
        <v>0</v>
      </c>
      <c r="E24" s="25">
        <f>+$B24*[32]Allocation!R24</f>
        <v>-2.6282154144920495</v>
      </c>
      <c r="F24" s="25">
        <f>+$B24*[32]Allocation!S24</f>
        <v>22702.254994681811</v>
      </c>
      <c r="G24" s="25">
        <f>+$B24*[32]Allocation!T24</f>
        <v>13549.720596697694</v>
      </c>
      <c r="H24" s="25">
        <f>+$B24*[32]Allocation!U24</f>
        <v>2.0569929201260977</v>
      </c>
      <c r="I24" s="25">
        <f>+$B24*[32]Allocation!V24</f>
        <v>450.90892773002759</v>
      </c>
      <c r="J24" s="25">
        <f>+$B24*[32]Allocation!W24</f>
        <v>402.07079552169898</v>
      </c>
      <c r="K24" s="25">
        <f>+$B24*[32]Allocation!X24</f>
        <v>0</v>
      </c>
      <c r="L24" s="25">
        <f>+$B24*[32]Allocation!Y24</f>
        <v>0</v>
      </c>
      <c r="M24" s="26">
        <f t="shared" si="1"/>
        <v>0</v>
      </c>
    </row>
    <row r="25" spans="1:13" x14ac:dyDescent="0.25">
      <c r="A25" s="23">
        <f>+[30]Summary!A28</f>
        <v>45261</v>
      </c>
      <c r="B25" s="24">
        <f>+[30]Summary!H28</f>
        <v>78499.359797117068</v>
      </c>
      <c r="C25" s="25">
        <f>+$B25*[32]Allocation!P25</f>
        <v>0</v>
      </c>
      <c r="D25" s="25">
        <f>+$B25*[32]Allocation!Q25</f>
        <v>0</v>
      </c>
      <c r="E25" s="25">
        <f>+$B25*[32]Allocation!R25</f>
        <v>-13.153702585842627</v>
      </c>
      <c r="F25" s="25">
        <f>+$B25*[32]Allocation!S25</f>
        <v>36541.979153030072</v>
      </c>
      <c r="G25" s="25">
        <f>+$B25*[32]Allocation!T25</f>
        <v>40248.947682672719</v>
      </c>
      <c r="H25" s="25">
        <f>+$B25*[32]Allocation!U25</f>
        <v>4.2133765525496694</v>
      </c>
      <c r="I25" s="25">
        <f>+$B25*[32]Allocation!V25</f>
        <v>788.0495373805976</v>
      </c>
      <c r="J25" s="25">
        <f>+$B25*[32]Allocation!W25</f>
        <v>929.32375006697271</v>
      </c>
      <c r="K25" s="25">
        <f>+$B25*[32]Allocation!X25</f>
        <v>0</v>
      </c>
      <c r="L25" s="25">
        <f>+$B25*[32]Allocation!Y25</f>
        <v>0</v>
      </c>
      <c r="M25" s="26">
        <f t="shared" si="1"/>
        <v>0</v>
      </c>
    </row>
    <row r="26" spans="1:13" x14ac:dyDescent="0.25">
      <c r="A26" s="23">
        <f>+[30]Summary!A29</f>
        <v>45292</v>
      </c>
      <c r="B26" s="24">
        <f>+[30]Summary!H29</f>
        <v>98918.040000000008</v>
      </c>
      <c r="C26" s="25">
        <f>+$B26*[32]Allocation!P26</f>
        <v>0</v>
      </c>
      <c r="D26" s="25">
        <f>+$B26*[32]Allocation!Q26</f>
        <v>0</v>
      </c>
      <c r="E26" s="25">
        <f>+$B26*[32]Allocation!R26</f>
        <v>0</v>
      </c>
      <c r="F26" s="25">
        <f>+$B26*[32]Allocation!S26</f>
        <v>30700.074980537236</v>
      </c>
      <c r="G26" s="25">
        <f>+$B26*[32]Allocation!T26</f>
        <v>66216.586461860672</v>
      </c>
      <c r="H26" s="25">
        <f>+$B26*[32]Allocation!U26</f>
        <v>5.0678804574259839</v>
      </c>
      <c r="I26" s="25">
        <f>+$B26*[32]Allocation!V26</f>
        <v>764.46662038323086</v>
      </c>
      <c r="J26" s="25">
        <f>+$B26*[32]Allocation!W26</f>
        <v>1231.8440567614405</v>
      </c>
      <c r="K26" s="25">
        <f>+$B26*[32]Allocation!X26</f>
        <v>0</v>
      </c>
      <c r="L26" s="25">
        <f>+$B26*[32]Allocation!Y26</f>
        <v>0</v>
      </c>
      <c r="M26" s="26">
        <f t="shared" si="1"/>
        <v>0</v>
      </c>
    </row>
    <row r="27" spans="1:13" x14ac:dyDescent="0.25">
      <c r="A27" s="23">
        <f>+[30]Summary!A30</f>
        <v>45323</v>
      </c>
      <c r="B27" s="24">
        <f>+[30]Summary!H30</f>
        <v>235057.09</v>
      </c>
      <c r="C27" s="25">
        <f>+$B27*[32]Allocation!P27</f>
        <v>0</v>
      </c>
      <c r="D27" s="25">
        <f>+$B27*[32]Allocation!Q27</f>
        <v>0</v>
      </c>
      <c r="E27" s="25">
        <f>+$B27*[32]Allocation!R27</f>
        <v>-101.56252510384942</v>
      </c>
      <c r="F27" s="25">
        <f>+$B27*[32]Allocation!S27</f>
        <v>57144.846145013471</v>
      </c>
      <c r="G27" s="25">
        <f>+$B27*[32]Allocation!T27</f>
        <v>173273.85594538375</v>
      </c>
      <c r="H27" s="25">
        <f>+$B27*[32]Allocation!U27</f>
        <v>12.522852915405197</v>
      </c>
      <c r="I27" s="25">
        <f>+$B27*[32]Allocation!V27</f>
        <v>1294.9994944107812</v>
      </c>
      <c r="J27" s="25">
        <f>+$B27*[32]Allocation!W27</f>
        <v>3432.4280873804391</v>
      </c>
      <c r="K27" s="25">
        <f>+$B27*[32]Allocation!X27</f>
        <v>0</v>
      </c>
      <c r="L27" s="25">
        <f>+$B27*[32]Allocation!Y27</f>
        <v>0</v>
      </c>
      <c r="M27" s="26">
        <f t="shared" si="1"/>
        <v>0</v>
      </c>
    </row>
    <row r="28" spans="1:13" x14ac:dyDescent="0.25">
      <c r="A28" s="23">
        <f>+[30]Summary!A31</f>
        <v>45352</v>
      </c>
      <c r="B28" s="24">
        <f>+[30]Summary!H31</f>
        <v>287372.47999999992</v>
      </c>
      <c r="C28" s="25">
        <f>+$B28*[32]Allocation!P28</f>
        <v>0</v>
      </c>
      <c r="D28" s="25">
        <f>+$B28*[32]Allocation!Q28</f>
        <v>0</v>
      </c>
      <c r="E28" s="25">
        <f>+$B28*[32]Allocation!R28</f>
        <v>0</v>
      </c>
      <c r="F28" s="25">
        <f>+$B28*[32]Allocation!S28</f>
        <v>55642.617268645976</v>
      </c>
      <c r="G28" s="25">
        <f>+$B28*[32]Allocation!T28</f>
        <v>226430.09198602819</v>
      </c>
      <c r="H28" s="25">
        <f>+$B28*[32]Allocation!U28</f>
        <v>14.927469591797514</v>
      </c>
      <c r="I28" s="25">
        <f>+$B28*[32]Allocation!V28</f>
        <v>905.8566316550241</v>
      </c>
      <c r="J28" s="25">
        <f>+$B28*[32]Allocation!W28</f>
        <v>4378.9866440789419</v>
      </c>
      <c r="K28" s="25">
        <f>+$B28*[32]Allocation!X28</f>
        <v>0</v>
      </c>
      <c r="L28" s="25">
        <f>+$B28*[32]Allocation!Y28</f>
        <v>0</v>
      </c>
      <c r="M28" s="26">
        <f t="shared" si="1"/>
        <v>0</v>
      </c>
    </row>
    <row r="29" spans="1:13" x14ac:dyDescent="0.25">
      <c r="A2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Julia Oranias</cp:lastModifiedBy>
  <dcterms:created xsi:type="dcterms:W3CDTF">2024-08-16T11:17:23Z</dcterms:created>
  <dcterms:modified xsi:type="dcterms:W3CDTF">2024-10-16T17:52:22Z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