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 _06.2024\"/>
    </mc:Choice>
  </mc:AlternateContent>
  <xr:revisionPtr revIDLastSave="0" documentId="13_ncr:1_{CC5E0D8D-D322-405E-A402-2742BC1E248D}" xr6:coauthVersionLast="47" xr6:coauthVersionMax="47" xr10:uidLastSave="{00000000-0000-0000-0000-000000000000}"/>
  <bookViews>
    <workbookView xWindow="-110" yWindow="-110" windowWidth="19420" windowHeight="11620" xr2:uid="{9B94C235-4B85-4887-832D-FBC296CFB081}"/>
  </bookViews>
  <sheets>
    <sheet name="Claims Liabilit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I26" i="1"/>
  <c r="H26" i="1"/>
  <c r="G26" i="1"/>
  <c r="F26" i="1"/>
  <c r="E26" i="1"/>
  <c r="D26" i="1"/>
  <c r="C26" i="1"/>
  <c r="B26" i="1"/>
  <c r="A26" i="1"/>
  <c r="D16" i="1" l="1"/>
  <c r="D6" i="1"/>
  <c r="D17" i="1" l="1"/>
  <c r="D7" i="1"/>
  <c r="B14" i="1"/>
  <c r="B15" i="1"/>
  <c r="B17" i="1"/>
  <c r="C17" i="1" s="1"/>
  <c r="C15" i="1" l="1"/>
  <c r="C14" i="1"/>
  <c r="D8" i="1"/>
  <c r="D18" i="1"/>
  <c r="E17" i="1"/>
  <c r="F17" i="1" s="1"/>
  <c r="E15" i="1"/>
  <c r="E14" i="1"/>
  <c r="D9" i="1" l="1"/>
  <c r="D10" i="1" s="1"/>
  <c r="D11" i="1" s="1"/>
  <c r="D12" i="1" s="1"/>
  <c r="D13" i="1" s="1"/>
  <c r="D19" i="1"/>
  <c r="F14" i="1"/>
  <c r="F15" i="1"/>
  <c r="B18" i="1"/>
  <c r="C18" i="1" s="1"/>
  <c r="E18" i="1" l="1"/>
  <c r="F18" i="1" s="1"/>
  <c r="B10" i="1" l="1"/>
  <c r="C10" i="1" s="1"/>
  <c r="B9" i="1"/>
  <c r="C9" i="1" s="1"/>
  <c r="B7" i="1"/>
  <c r="C7" i="1" s="1"/>
  <c r="B5" i="1"/>
  <c r="C5" i="1" s="1"/>
  <c r="B13" i="1" l="1"/>
  <c r="C13" i="1" s="1"/>
  <c r="B16" i="1"/>
  <c r="C16" i="1" s="1"/>
  <c r="B12" i="1"/>
  <c r="C12" i="1" s="1"/>
  <c r="B11" i="1"/>
  <c r="C11" i="1" s="1"/>
  <c r="B8" i="1"/>
  <c r="C8" i="1" s="1"/>
  <c r="B6" i="1"/>
  <c r="C6" i="1" s="1"/>
  <c r="B19" i="1"/>
  <c r="C19" i="1" s="1"/>
  <c r="E10" i="1"/>
  <c r="F10" i="1" s="1"/>
  <c r="E9" i="1"/>
  <c r="F9" i="1" s="1"/>
  <c r="E7" i="1"/>
  <c r="F7" i="1" s="1"/>
  <c r="B21" i="1"/>
  <c r="E5" i="1"/>
  <c r="F5" i="1" s="1"/>
  <c r="C21" i="1" l="1"/>
  <c r="E19" i="1"/>
  <c r="E6" i="1"/>
  <c r="F6" i="1" s="1"/>
  <c r="E8" i="1"/>
  <c r="F8" i="1" s="1"/>
  <c r="E11" i="1"/>
  <c r="F11" i="1" s="1"/>
  <c r="E12" i="1"/>
  <c r="F12" i="1" s="1"/>
  <c r="E16" i="1"/>
  <c r="F16" i="1" s="1"/>
  <c r="E13" i="1"/>
  <c r="F13" i="1" s="1"/>
  <c r="E21" i="1"/>
  <c r="F19" i="1" l="1"/>
  <c r="F21" i="1"/>
  <c r="K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tc={FEE7276F-F39D-4233-9473-6D1FFD4DFD91}</author>
  </authors>
  <commentList>
    <comment ref="C22" authorId="0" shapeId="0" xr:uid="{FEE7276F-F39D-4233-9473-6D1FFD4DFD9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defined by Karl</t>
      </text>
    </comment>
  </commentList>
</comments>
</file>

<file path=xl/sharedStrings.xml><?xml version="1.0" encoding="utf-8"?>
<sst xmlns="http://schemas.openxmlformats.org/spreadsheetml/2006/main" count="36" uniqueCount="36">
  <si>
    <t>Company_Code</t>
  </si>
  <si>
    <t>Claim Liability</t>
  </si>
  <si>
    <t>LAE Percentage</t>
  </si>
  <si>
    <t>LAE Liability</t>
  </si>
  <si>
    <t>Claim_Liability_Total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</si>
  <si>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</si>
  <si>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</si>
  <si>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</si>
  <si>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</si>
  <si>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</si>
  <si>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</si>
  <si>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</si>
  <si>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</si>
  <si>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</si>
  <si>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</si>
  <si>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</si>
  <si>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</si>
  <si>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</si>
  <si>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</si>
  <si>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</si>
  <si>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</si>
  <si>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Load</t>
  </si>
  <si>
    <t>Valuation Month</t>
  </si>
  <si>
    <t>Claims Liability Reserves at Septmeber 2024</t>
  </si>
  <si>
    <t>XCH Allocation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</si>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</sst>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164" fontId="0" fillId="0" borderId="0" xfId="2" applyNumberFormat="1" applyFon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0" fontId="0" fillId="3" borderId="0" xfId="0" applyNumberFormat="1" applyFill="1"/>
    <xf numFmtId="164" fontId="0" fillId="3" borderId="0" xfId="2" applyNumberFormat="1" applyFont="1" applyFill="1"/>
    <xf numFmtId="17" fontId="0" fillId="0" borderId="0" xfId="0" applyNumberFormat="1"/>
    <xf numFmtId="9" fontId="3" fillId="0" borderId="0" xfId="1" applyFont="1"/>
    <xf numFmtId="17" fontId="0" fillId="3" borderId="0" xfId="0" applyNumberFormat="1" applyFill="1"/>
    <xf numFmtId="164" fontId="0" fillId="0" borderId="0" xfId="2" applyNumberFormat="1" applyFont="1" applyFill="1"/>
    <xf numFmtId="0" fontId="3" fillId="0" borderId="2" xfId="0" applyFont="1" applyBorder="1"/>
    <xf numFmtId="0" fontId="2" fillId="0" borderId="0" xfId="0" applyFont="1"/>
    <xf numFmtId="164" fontId="2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microsoft.com/office/2017/10/relationships/person" Target="persons/perso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NMS_PLICA.xlsx" TargetMode="External"/><Relationship Id="rId1" Type="http://schemas.openxmlformats.org/officeDocument/2006/relationships/externalLinkPath" Target="Unified_IBNP_NMS_PLIC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MS_PLICA.xlsx" TargetMode="External"/><Relationship Id="rId1" Type="http://schemas.openxmlformats.org/officeDocument/2006/relationships/externalLinkPath" Target="Unified_IBNP_MS_PLIC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ULI.xlsx" TargetMode="External"/><Relationship Id="rId1" Type="http://schemas.openxmlformats.org/officeDocument/2006/relationships/externalLinkPath" Target="Unified_IBNP_ULI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%20_06.2024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%20_06.2024\Unified_Claims_Liability_Summary_0.xlsx" TargetMode="External"/><Relationship Id="rId1" Type="http://schemas.openxmlformats.org/officeDocument/2006/relationships/externalLinkPath" Target="Unified_Claims_Liability_Summary_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NFL.xlsx" TargetMode="External"/><Relationship Id="rId1" Type="http://schemas.openxmlformats.org/officeDocument/2006/relationships/externalLinkPath" Target="Unified_IBNP_NFL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RT.xlsx" TargetMode="External"/><Relationship Id="rId1" Type="http://schemas.openxmlformats.org/officeDocument/2006/relationships/externalLinkPath" Target="Unified_IBNP_P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ASL"/>
    </sheetNames>
    <sheetDataSet>
      <sheetData sheetId="0"/>
      <sheetData sheetId="1"/>
      <sheetData sheetId="2">
        <row r="33">
          <cell r="H33">
            <v>7106.1794666983769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NMS_PLICA"/>
    </sheetNames>
    <sheetDataSet>
      <sheetData sheetId="0"/>
      <sheetData sheetId="1"/>
      <sheetData sheetId="2">
        <row r="33">
          <cell r="H33">
            <v>182610.76350351953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MS_PLICA"/>
    </sheetNames>
    <sheetDataSet>
      <sheetData sheetId="0"/>
      <sheetData sheetId="1"/>
      <sheetData sheetId="2">
        <row r="33">
          <cell r="H33">
            <v>10009.559215101366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SLI"/>
    </sheetNames>
    <sheetDataSet>
      <sheetData sheetId="0"/>
      <sheetData sheetId="1"/>
      <sheetData sheetId="2">
        <row r="33">
          <cell r="H33">
            <v>18450.339479395603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ULI"/>
    </sheetNames>
    <sheetDataSet>
      <sheetData sheetId="0"/>
      <sheetData sheetId="1"/>
      <sheetData sheetId="2">
        <row r="33">
          <cell r="H33">
            <v>102087.44183990611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46165.998912769952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XCH"/>
    </sheetNames>
    <sheetDataSet>
      <sheetData sheetId="0"/>
      <sheetData sheetId="1"/>
      <sheetData sheetId="2">
        <row r="33">
          <cell r="H33">
            <v>603371.08434463106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XCH Allocation"/>
    </sheetNames>
    <sheetDataSet>
      <sheetData sheetId="0"/>
      <sheetData sheetId="1">
        <row r="4">
          <cell r="C4">
            <v>-0.69081700860550688</v>
          </cell>
          <cell r="D4">
            <v>-0.54339059684888391</v>
          </cell>
          <cell r="E4">
            <v>780.3774363815354</v>
          </cell>
          <cell r="F4">
            <v>106476.77643655922</v>
          </cell>
          <cell r="G4">
            <v>488352.91315306723</v>
          </cell>
          <cell r="H4">
            <v>21.298621007212528</v>
          </cell>
          <cell r="I4">
            <v>1329.2748336832706</v>
          </cell>
          <cell r="J4">
            <v>6402.1417604907674</v>
          </cell>
          <cell r="K4">
            <v>0</v>
          </cell>
          <cell r="L4">
            <v>9.53631104736235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AMH"/>
    </sheetNames>
    <sheetDataSet>
      <sheetData sheetId="0"/>
      <sheetData sheetId="1"/>
      <sheetData sheetId="2">
        <row r="33">
          <cell r="H33">
            <v>3125.4326907941745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GBR"/>
    </sheetNames>
    <sheetDataSet>
      <sheetData sheetId="0"/>
      <sheetData sheetId="1"/>
      <sheetData sheetId="2">
        <row r="33">
          <cell r="H33">
            <v>34500.122108432581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GTL"/>
    </sheetNames>
    <sheetDataSet>
      <sheetData sheetId="0"/>
      <sheetData sheetId="1"/>
      <sheetData sheetId="2">
        <row r="33">
          <cell r="H33">
            <v>134462.28952334158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NFL"/>
    </sheetNames>
    <sheetDataSet>
      <sheetData sheetId="0"/>
      <sheetData sheetId="1"/>
      <sheetData sheetId="2">
        <row r="33">
          <cell r="H33">
            <v>49075.305327757189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NSL"/>
    </sheetNames>
    <sheetDataSet>
      <sheetData sheetId="0"/>
      <sheetData sheetId="1"/>
      <sheetData sheetId="2">
        <row r="33">
          <cell r="H33">
            <v>62429.070770818471</v>
          </cell>
        </row>
      </sheetData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PEN"/>
    </sheetNames>
    <sheetDataSet>
      <sheetData sheetId="0"/>
      <sheetData sheetId="1"/>
      <sheetData sheetId="2">
        <row r="33">
          <cell r="H33">
            <v>157230.00211469788</v>
          </cell>
        </row>
      </sheetData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PHS"/>
    </sheetNames>
    <sheetDataSet>
      <sheetData sheetId="0"/>
      <sheetData sheetId="1"/>
      <sheetData sheetId="2">
        <row r="33">
          <cell r="H33">
            <v>144856.87687803054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Unified_IBNP_PRT"/>
    </sheetNames>
    <sheetDataSet>
      <sheetData sheetId="0"/>
      <sheetData sheetId="1"/>
      <sheetData sheetId="2">
        <row r="33">
          <cell r="H33">
            <v>41427.345391548384</v>
          </cell>
        </row>
      </sheetData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Oranias" id="{FC6D6499-D49C-4EF0-B72D-3446266526EE}" userId="S::joranias@actrisk.com::f83fb233-9eca-431f-9d3a-a35e583d3cea" providerId="AD"/>
</personList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4-10-10T15:17:37.29" personId="{FC6D6499-D49C-4EF0-B72D-3446266526EE}" id="{FEE7276F-F39D-4233-9473-6D1FFD4DFD91}">
    <text>To be defined by Karl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2:K26"/>
  <sheetViews>
    <sheetView tabSelected="1" workbookViewId="0">
      <selection activeCell="H22" sqref="H22"/>
    </sheetView>
  </sheetViews>
  <sheetFormatPr defaultRowHeight="11.5" x14ac:dyDescent="0.25"/>
  <cols>
    <col min="1" max="1" width="16.25" bestFit="1" customWidth="1"/>
    <col min="2" max="2" width="15.75" customWidth="1"/>
    <col min="3" max="3" width="16.75" bestFit="1" customWidth="1"/>
    <col min="4" max="4" width="12.125" customWidth="1"/>
    <col min="5" max="5" width="19.375" bestFit="1" customWidth="1"/>
    <col min="6" max="6" width="21.375" bestFit="1" customWidth="1"/>
    <col min="7" max="7" width="12.625" bestFit="1" customWidth="1"/>
    <col min="8" max="8" width="16.625" bestFit="1" customWidth="1"/>
    <col min="9" max="10" width="12.625" bestFit="1" customWidth="1"/>
    <col min="11" max="11" width="19.375" bestFit="1" customWidth="1"/>
  </cols>
  <sheetData>
    <row r="2" spans="1:8" x14ac:dyDescent="0.25">
      <c r="B2" s="6" t="s">
        <v>23</v>
      </c>
    </row>
    <row r="4" spans="1:8" ht="12" x14ac:dyDescent="0.3">
      <c r="A4" s="1" t="s">
        <v>0</v>
      </c>
      <c r="B4" s="1" t="s">
        <v>1</v>
      </c>
      <c r="C4" s="1" t="s">
        <v>21</v>
      </c>
      <c r="D4" s="1" t="s">
        <v>2</v>
      </c>
      <c r="E4" s="1" t="s">
        <v>3</v>
      </c>
      <c r="F4" s="1" t="s">
        <v>4</v>
      </c>
      <c r="H4" s="2" t="s">
        <v>22</v>
      </c>
    </row>
    <row r="5" spans="1:8" x14ac:dyDescent="0.25">
      <c r="A5" t="s">
        <v>5</v>
      </c>
      <c r="B5" s="9">
        <f>+[1]Summary!$H$33</f>
        <v>7106.1794666983769</v>
      </c>
      <c r="C5" s="9">
        <f t="shared" ref="C5:C19" si="0">+B5*$C$22</f>
        <v>355.30897333491885</v>
      </c>
      <c r="D5" s="4">
        <v>7.4999999999999997E-2</v>
      </c>
      <c r="E5" s="8">
        <f>+B5*D5</f>
        <v>532.96346000237827</v>
      </c>
      <c r="F5" s="8">
        <f>+B5+C5+E5</f>
        <v>7994.451900035674</v>
      </c>
      <c r="H5" s="14">
        <v>45536</v>
      </c>
    </row>
    <row r="6" spans="1:8" x14ac:dyDescent="0.25">
      <c r="A6" t="s">
        <v>6</v>
      </c>
      <c r="B6" s="9">
        <f>+[2]Summary!$H$33</f>
        <v>3125.4326907941745</v>
      </c>
      <c r="C6" s="9">
        <f t="shared" si="0"/>
        <v>156.27163453970874</v>
      </c>
      <c r="D6" s="3">
        <f>+D5</f>
        <v>7.4999999999999997E-2</v>
      </c>
      <c r="E6" s="8">
        <f t="shared" ref="E6:E19" si="1">+B6*D6</f>
        <v>234.40745180956307</v>
      </c>
      <c r="F6" s="8">
        <f t="shared" ref="F6:F19" si="2">+B6+C6+E6</f>
        <v>3516.1117771434465</v>
      </c>
      <c r="H6" s="14">
        <v>45536</v>
      </c>
    </row>
    <row r="7" spans="1:8" x14ac:dyDescent="0.25">
      <c r="A7" t="s">
        <v>15</v>
      </c>
      <c r="B7" s="9">
        <f>+[3]Summary!$H$33</f>
        <v>34500.122108432581</v>
      </c>
      <c r="C7" s="9">
        <f t="shared" si="0"/>
        <v>1725.0061054216292</v>
      </c>
      <c r="D7" s="3">
        <f t="shared" ref="D7:D13" si="3">+D6</f>
        <v>7.4999999999999997E-2</v>
      </c>
      <c r="E7" s="8">
        <f t="shared" si="1"/>
        <v>2587.5091581324436</v>
      </c>
      <c r="F7" s="8">
        <f t="shared" si="2"/>
        <v>38812.637371986653</v>
      </c>
      <c r="H7" s="14">
        <v>45536</v>
      </c>
    </row>
    <row r="8" spans="1:8" x14ac:dyDescent="0.25">
      <c r="A8" t="s">
        <v>7</v>
      </c>
      <c r="B8" s="9">
        <f>+[4]Summary!$H$33</f>
        <v>134462.28952334158</v>
      </c>
      <c r="C8" s="9">
        <f t="shared" si="0"/>
        <v>6723.1144761670794</v>
      </c>
      <c r="D8" s="3">
        <f t="shared" si="3"/>
        <v>7.4999999999999997E-2</v>
      </c>
      <c r="E8" s="8">
        <f t="shared" si="1"/>
        <v>10084.671714250619</v>
      </c>
      <c r="F8" s="8">
        <f t="shared" si="2"/>
        <v>151270.07571375926</v>
      </c>
      <c r="H8" s="14">
        <v>45536</v>
      </c>
    </row>
    <row r="9" spans="1:8" x14ac:dyDescent="0.25">
      <c r="A9" t="s">
        <v>8</v>
      </c>
      <c r="B9" s="9">
        <f>+[5]Summary!$H$33</f>
        <v>49075.305327757189</v>
      </c>
      <c r="C9" s="9">
        <f t="shared" si="0"/>
        <v>2453.7652663878594</v>
      </c>
      <c r="D9" s="3">
        <f t="shared" si="3"/>
        <v>7.4999999999999997E-2</v>
      </c>
      <c r="E9" s="8">
        <f t="shared" si="1"/>
        <v>3680.6478995817893</v>
      </c>
      <c r="F9" s="8">
        <f t="shared" si="2"/>
        <v>55209.718493726839</v>
      </c>
      <c r="H9" s="14">
        <v>45536</v>
      </c>
    </row>
    <row r="10" spans="1:8" x14ac:dyDescent="0.25">
      <c r="A10" t="s">
        <v>9</v>
      </c>
      <c r="B10" s="9">
        <f>+[6]Summary!$H$33</f>
        <v>62429.070770818471</v>
      </c>
      <c r="C10" s="9">
        <f t="shared" si="0"/>
        <v>3121.4535385409235</v>
      </c>
      <c r="D10" s="3">
        <f t="shared" si="3"/>
        <v>7.4999999999999997E-2</v>
      </c>
      <c r="E10" s="8">
        <f t="shared" si="1"/>
        <v>4682.1803078113853</v>
      </c>
      <c r="F10" s="8">
        <f t="shared" si="2"/>
        <v>70232.704617170777</v>
      </c>
      <c r="H10" s="14">
        <v>45536</v>
      </c>
    </row>
    <row r="11" spans="1:8" x14ac:dyDescent="0.25">
      <c r="A11" t="s">
        <v>10</v>
      </c>
      <c r="B11" s="9">
        <f>+[7]Summary!$H$33</f>
        <v>157230.00211469788</v>
      </c>
      <c r="C11" s="9">
        <f t="shared" si="0"/>
        <v>7861.5001057348945</v>
      </c>
      <c r="D11" s="3">
        <f t="shared" si="3"/>
        <v>7.4999999999999997E-2</v>
      </c>
      <c r="E11" s="8">
        <f t="shared" si="1"/>
        <v>11792.250158602341</v>
      </c>
      <c r="F11" s="8">
        <f t="shared" si="2"/>
        <v>176883.75237903511</v>
      </c>
      <c r="H11" s="14">
        <v>45536</v>
      </c>
    </row>
    <row r="12" spans="1:8" x14ac:dyDescent="0.25">
      <c r="A12" t="s">
        <v>11</v>
      </c>
      <c r="B12" s="9">
        <f>+[8]Summary!$H$33</f>
        <v>144856.87687803054</v>
      </c>
      <c r="C12" s="9">
        <f t="shared" si="0"/>
        <v>7242.8438439015272</v>
      </c>
      <c r="D12" s="3">
        <f t="shared" si="3"/>
        <v>7.4999999999999997E-2</v>
      </c>
      <c r="E12" s="17">
        <f t="shared" si="1"/>
        <v>10864.265765852289</v>
      </c>
      <c r="F12" s="17">
        <f t="shared" si="2"/>
        <v>162963.98648778436</v>
      </c>
      <c r="H12" s="14">
        <v>45536</v>
      </c>
    </row>
    <row r="13" spans="1:8" x14ac:dyDescent="0.25">
      <c r="A13" t="s">
        <v>12</v>
      </c>
      <c r="B13" s="9">
        <f>+[9]Summary!$H$33</f>
        <v>41427.345391548384</v>
      </c>
      <c r="C13" s="9">
        <f t="shared" si="0"/>
        <v>2071.3672695774194</v>
      </c>
      <c r="D13" s="3">
        <f t="shared" si="3"/>
        <v>7.4999999999999997E-2</v>
      </c>
      <c r="E13" s="8">
        <f t="shared" si="1"/>
        <v>3107.0509043661286</v>
      </c>
      <c r="F13" s="8">
        <f t="shared" si="2"/>
        <v>46605.763565491936</v>
      </c>
      <c r="H13" s="14">
        <v>45536</v>
      </c>
    </row>
    <row r="14" spans="1:8" x14ac:dyDescent="0.25">
      <c r="A14" t="s">
        <v>19</v>
      </c>
      <c r="B14" s="9">
        <f>+[10]Summary!$H$33</f>
        <v>182610.76350351953</v>
      </c>
      <c r="C14" s="9">
        <f t="shared" si="0"/>
        <v>9130.538175175976</v>
      </c>
      <c r="D14" s="5">
        <v>0.05</v>
      </c>
      <c r="E14" s="8">
        <f t="shared" si="1"/>
        <v>9130.538175175976</v>
      </c>
      <c r="F14" s="8">
        <f t="shared" si="2"/>
        <v>200871.8398538715</v>
      </c>
      <c r="H14" s="14">
        <v>45536</v>
      </c>
    </row>
    <row r="15" spans="1:8" x14ac:dyDescent="0.25">
      <c r="A15" t="s">
        <v>20</v>
      </c>
      <c r="B15" s="9">
        <f>+[11]Summary!$H$33</f>
        <v>10009.559215101366</v>
      </c>
      <c r="C15" s="9">
        <f t="shared" si="0"/>
        <v>500.47796075506835</v>
      </c>
      <c r="D15" s="5">
        <v>0.05</v>
      </c>
      <c r="E15" s="8">
        <f t="shared" si="1"/>
        <v>500.47796075506835</v>
      </c>
      <c r="F15" s="8">
        <f t="shared" si="2"/>
        <v>11010.515136611502</v>
      </c>
      <c r="H15" s="14">
        <v>45536</v>
      </c>
    </row>
    <row r="16" spans="1:8" x14ac:dyDescent="0.25">
      <c r="A16" t="s">
        <v>17</v>
      </c>
      <c r="B16" s="9">
        <f>+[12]Summary!$H$33</f>
        <v>18450.339479395603</v>
      </c>
      <c r="C16" s="9">
        <f t="shared" si="0"/>
        <v>922.51697396978022</v>
      </c>
      <c r="D16" s="3">
        <f>+D5</f>
        <v>7.4999999999999997E-2</v>
      </c>
      <c r="E16" s="8">
        <f t="shared" si="1"/>
        <v>1383.7754609546703</v>
      </c>
      <c r="F16" s="8">
        <f t="shared" si="2"/>
        <v>20756.631914320056</v>
      </c>
      <c r="H16" s="14">
        <v>45536</v>
      </c>
    </row>
    <row r="17" spans="1:11" x14ac:dyDescent="0.25">
      <c r="A17" t="s">
        <v>18</v>
      </c>
      <c r="B17" s="9">
        <f>+[13]Summary!$H$33</f>
        <v>102087.44183990611</v>
      </c>
      <c r="C17" s="9">
        <f t="shared" si="0"/>
        <v>5104.3720919953057</v>
      </c>
      <c r="D17" s="3">
        <f t="shared" ref="D17:D19" si="4">+D6</f>
        <v>7.4999999999999997E-2</v>
      </c>
      <c r="E17" s="8">
        <f t="shared" si="1"/>
        <v>7656.5581379929581</v>
      </c>
      <c r="F17" s="8">
        <f t="shared" si="2"/>
        <v>114848.37206989438</v>
      </c>
      <c r="H17" s="14">
        <v>45536</v>
      </c>
    </row>
    <row r="18" spans="1:11" x14ac:dyDescent="0.25">
      <c r="A18" t="s">
        <v>13</v>
      </c>
      <c r="B18" s="9">
        <f>+[14]Summary!$L$33</f>
        <v>46165.998912769952</v>
      </c>
      <c r="C18" s="9">
        <f t="shared" si="0"/>
        <v>2308.2999456384978</v>
      </c>
      <c r="D18" s="3">
        <f t="shared" si="4"/>
        <v>7.4999999999999997E-2</v>
      </c>
      <c r="E18" s="8">
        <f t="shared" si="1"/>
        <v>3462.4499184577462</v>
      </c>
      <c r="F18" s="8">
        <f t="shared" si="2"/>
        <v>51936.748776866196</v>
      </c>
      <c r="H18" s="14">
        <v>45536</v>
      </c>
    </row>
    <row r="19" spans="1:11" s="10" customFormat="1" x14ac:dyDescent="0.25">
      <c r="A19" s="10" t="s">
        <v>16</v>
      </c>
      <c r="B19" s="11">
        <f>+[15]Summary!$H$33</f>
        <v>603371.08434463106</v>
      </c>
      <c r="C19" s="11">
        <f t="shared" si="0"/>
        <v>30168.554217231555</v>
      </c>
      <c r="D19" s="12">
        <f t="shared" si="4"/>
        <v>7.4999999999999997E-2</v>
      </c>
      <c r="E19" s="13">
        <f t="shared" si="1"/>
        <v>45252.831325847328</v>
      </c>
      <c r="F19" s="13">
        <f t="shared" si="2"/>
        <v>678792.46988770994</v>
      </c>
      <c r="H19" s="16">
        <v>45505</v>
      </c>
    </row>
    <row r="20" spans="1:11" x14ac:dyDescent="0.25">
      <c r="B20" s="9"/>
      <c r="C20" s="9"/>
    </row>
    <row r="21" spans="1:11" x14ac:dyDescent="0.25">
      <c r="A21" s="6" t="s">
        <v>14</v>
      </c>
      <c r="B21" s="7">
        <f>+SUM(B5:B20)</f>
        <v>1596907.811567443</v>
      </c>
      <c r="C21" s="7">
        <f>+SUM(C5:C20)</f>
        <v>79845.390578372142</v>
      </c>
      <c r="D21" s="6"/>
      <c r="E21" s="7">
        <f>+SUM(E5:E20)</f>
        <v>114952.57779959269</v>
      </c>
      <c r="F21" s="7">
        <f>+SUM(F5:F20)</f>
        <v>1791705.7799454075</v>
      </c>
    </row>
    <row r="22" spans="1:11" x14ac:dyDescent="0.25">
      <c r="C22" s="15">
        <v>0.05</v>
      </c>
    </row>
    <row r="24" spans="1:11" x14ac:dyDescent="0.25">
      <c r="A24" s="6" t="s">
        <v>24</v>
      </c>
    </row>
    <row r="25" spans="1:11" x14ac:dyDescent="0.25">
      <c r="A25" s="6" t="s">
        <v>25</v>
      </c>
      <c r="B25" s="6" t="s">
        <v>26</v>
      </c>
      <c r="C25" s="6" t="s">
        <v>27</v>
      </c>
      <c r="D25" s="6" t="s">
        <v>28</v>
      </c>
      <c r="E25" s="6" t="s">
        <v>29</v>
      </c>
      <c r="F25" s="6" t="s">
        <v>30</v>
      </c>
      <c r="G25" s="6" t="s">
        <v>31</v>
      </c>
      <c r="H25" s="6" t="s">
        <v>32</v>
      </c>
      <c r="I25" s="6" t="s">
        <v>33</v>
      </c>
      <c r="J25" s="18" t="s">
        <v>34</v>
      </c>
      <c r="K25" s="19" t="s">
        <v>35</v>
      </c>
    </row>
    <row r="26" spans="1:11" x14ac:dyDescent="0.25">
      <c r="A26" s="8">
        <f>+'[16]XCH Allocation'!C4*(1+$D$19)+'[16]XCH Allocation'!C4*$C$22</f>
        <v>-0.7771691346811952</v>
      </c>
      <c r="B26" s="8">
        <f>+'[16]XCH Allocation'!D4*(1+$D$19)+'[16]XCH Allocation'!D4*$C$22</f>
        <v>-0.61131442145499437</v>
      </c>
      <c r="C26" s="8">
        <f>+'[16]XCH Allocation'!E4*(1+$D$19)+'[16]XCH Allocation'!E4*$C$22</f>
        <v>877.92461592922734</v>
      </c>
      <c r="D26" s="8">
        <f>+'[16]XCH Allocation'!F4*(1+$D$19)+'[16]XCH Allocation'!F4*$C$22</f>
        <v>119786.37349112911</v>
      </c>
      <c r="E26" s="8">
        <f>+'[16]XCH Allocation'!G4*(1+$D$19)+'[16]XCH Allocation'!G4*$C$22</f>
        <v>549397.02729720064</v>
      </c>
      <c r="F26" s="8">
        <f>+'[16]XCH Allocation'!H4*(1+$D$19)+'[16]XCH Allocation'!H4*$C$22</f>
        <v>23.960948633114093</v>
      </c>
      <c r="G26" s="8">
        <f>+'[16]XCH Allocation'!I4*(1+$D$19)+'[16]XCH Allocation'!I4*$C$22</f>
        <v>1495.4341878936793</v>
      </c>
      <c r="H26" s="8">
        <f>+'[16]XCH Allocation'!J4*(1+$D$19)+'[16]XCH Allocation'!J4*$C$22</f>
        <v>7202.4094805521127</v>
      </c>
      <c r="I26" s="8">
        <f>+'[16]XCH Allocation'!K4*(1+$D$19)+'[16]XCH Allocation'!K4*$C$22</f>
        <v>0</v>
      </c>
      <c r="J26" s="8">
        <f>+'[16]XCH Allocation'!L4*(1+$D$19)+'[16]XCH Allocation'!L4*$C$22</f>
        <v>10.728349928282643</v>
      </c>
      <c r="K26" s="20">
        <f>+SUM(A26:J26)-F19</f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Claims Liability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2024-10-16T18:15:30Z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