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Moretti\Documents\GitHub\DMI_IBNP\Process Results\"/>
    </mc:Choice>
  </mc:AlternateContent>
  <xr:revisionPtr revIDLastSave="0" documentId="13_ncr:1_{531EED24-1343-4D1E-BBDC-0710FF6B6A67}" xr6:coauthVersionLast="47" xr6:coauthVersionMax="47" xr10:uidLastSave="{00000000-0000-0000-0000-000000000000}"/>
  <bookViews>
    <workbookView xWindow="-108" yWindow="-108" windowWidth="23256" windowHeight="12576" xr2:uid="{9B94C235-4B85-4887-832D-FBC296CFB081}"/>
  </bookViews>
  <sheets>
    <sheet name="Claims Liabilit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6" i="1"/>
  <c r="D17" i="1" l="1"/>
  <c r="D7" i="1"/>
  <c r="B14" i="1"/>
  <c r="B15" i="1"/>
  <c r="C15" i="1" l="1"/>
  <c r="C14" i="1"/>
  <c r="D8" i="1"/>
  <c r="D18" i="1"/>
  <c r="E15" i="1"/>
  <c r="E14" i="1"/>
  <c r="D9" i="1" l="1"/>
  <c r="D10" i="1" s="1"/>
  <c r="D11" i="1" s="1"/>
  <c r="D12" i="1" s="1"/>
  <c r="D13" i="1" s="1"/>
  <c r="D19" i="1"/>
  <c r="F14" i="1"/>
  <c r="F15" i="1"/>
  <c r="B18" i="1"/>
  <c r="C18" i="1" s="1"/>
  <c r="B17" i="1" l="1"/>
  <c r="E18" i="1"/>
  <c r="F18" i="1" s="1"/>
  <c r="C17" i="1" l="1"/>
  <c r="E17" i="1"/>
  <c r="F17" i="1" s="1"/>
  <c r="B10" i="1"/>
  <c r="C10" i="1" s="1"/>
  <c r="B9" i="1"/>
  <c r="C9" i="1" s="1"/>
  <c r="B7" i="1"/>
  <c r="C7" i="1" s="1"/>
  <c r="B5" i="1"/>
  <c r="C5" i="1" s="1"/>
  <c r="B13" i="1" l="1"/>
  <c r="C13" i="1" s="1"/>
  <c r="B16" i="1"/>
  <c r="C16" i="1" s="1"/>
  <c r="B12" i="1"/>
  <c r="C12" i="1" s="1"/>
  <c r="B11" i="1"/>
  <c r="C11" i="1" s="1"/>
  <c r="B8" i="1"/>
  <c r="C8" i="1" s="1"/>
  <c r="B6" i="1"/>
  <c r="C6" i="1" s="1"/>
  <c r="B19" i="1"/>
  <c r="C19" i="1" s="1"/>
  <c r="E10" i="1"/>
  <c r="F10" i="1" s="1"/>
  <c r="E9" i="1"/>
  <c r="F9" i="1" s="1"/>
  <c r="E7" i="1"/>
  <c r="F7" i="1" s="1"/>
  <c r="B21" i="1"/>
  <c r="E5" i="1"/>
  <c r="F5" i="1" s="1"/>
  <c r="C21" i="1" l="1"/>
  <c r="E19" i="1"/>
  <c r="E6" i="1"/>
  <c r="F6" i="1" s="1"/>
  <c r="E8" i="1"/>
  <c r="F8" i="1" s="1"/>
  <c r="E11" i="1"/>
  <c r="F11" i="1" s="1"/>
  <c r="E12" i="1"/>
  <c r="F12" i="1" s="1"/>
  <c r="E16" i="1"/>
  <c r="F16" i="1" s="1"/>
  <c r="E13" i="1"/>
  <c r="F13" i="1" s="1"/>
  <c r="E21" i="1"/>
  <c r="F19" i="1" l="1"/>
  <c r="F21" i="1"/>
  <c r="J26" i="1" l="1"/>
  <c r="I26" i="1"/>
  <c r="H26" i="1"/>
  <c r="G26" i="1"/>
  <c r="F26" i="1"/>
  <c r="E26" i="1"/>
  <c r="D26" i="1"/>
  <c r="C26" i="1"/>
  <c r="B26" i="1"/>
  <c r="A26" i="1" l="1"/>
  <c r="K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tc={FEE7276F-F39D-4233-9473-6D1FFD4DFD91}</author>
  </authors>
  <commentList>
    <comment ref="C22" authorId="0" shapeId="0" xr:uid="{FEE7276F-F39D-4233-9473-6D1FFD4DFD9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defined by Karl</t>
      </text>
    </comment>
  </commentList>
</comments>
</file>

<file path=xl/sharedStrings.xml><?xml version="1.0" encoding="utf-8"?>
<sst xmlns="http://schemas.openxmlformats.org/spreadsheetml/2006/main" count="38" uniqueCount="38">
  <si>
    <t>Company_Code</t>
  </si>
  <si>
    <t>Claim Liability</t>
  </si>
  <si>
    <t>LAE Percentage</t>
  </si>
  <si>
    <t>LAE Liability</t>
  </si>
  <si>
    <t>Claim_Liability_Total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</si>
  <si>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</si>
  <si>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</si>
  <si>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</si>
  <si>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</si>
  <si>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</si>
  <si>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</si>
  <si>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</si>
  <si>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</si>
  <si>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</si>
  <si>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</si>
  <si>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</si>
  <si>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</si>
  <si>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</si>
  <si>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</si>
  <si>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</si>
  <si>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</si>
  <si>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Load</t>
  </si>
  <si>
    <t>Valuation Month</t>
  </si>
  <si>
    <t>XCH Allocation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</si>
  <si>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</si>
  <si>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</si>
  <si>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</si>
  <si>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</si>
  <si>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</si>
  <si>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</si>
  <si>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</si>
  <si>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</si>
  <si>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</si>
  <si>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</si>
  <si>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Check</t>
  </si>
  <si>
    <t>Claims Liability Reserves at October 2024</t>
  </si>
  <si>
    <t>* We don’t yet have premium data for this block. These are September numbers</t>
  </si>
  <si>
    <t>* We don’t yet have premium data for this block. These are October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</si>
</sst>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0" fillId="0" borderId="0" xfId="2" applyNumberFormat="1" applyFon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0" fontId="0" fillId="3" borderId="0" xfId="0" applyNumberFormat="1" applyFill="1"/>
    <xf numFmtId="164" fontId="0" fillId="3" borderId="0" xfId="2" applyNumberFormat="1" applyFont="1" applyFill="1"/>
    <xf numFmtId="17" fontId="0" fillId="0" borderId="0" xfId="0" applyNumberFormat="1"/>
    <xf numFmtId="9" fontId="3" fillId="0" borderId="0" xfId="1" applyFont="1"/>
    <xf numFmtId="17" fontId="0" fillId="3" borderId="0" xfId="0" applyNumberFormat="1" applyFill="1"/>
    <xf numFmtId="0" fontId="3" fillId="0" borderId="2" xfId="0" applyFont="1" applyBorder="1"/>
    <xf numFmtId="0" fontId="2" fillId="0" borderId="0" xfId="0" applyFont="1"/>
    <xf numFmtId="164" fontId="2" fillId="0" borderId="0" xfId="2" applyNumberFormat="1" applyFont="1"/>
    <xf numFmtId="164" fontId="0" fillId="0" borderId="0" xfId="2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microsoft.com/office/2017/10/relationships/person" Target="persons/perso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NMS_PLICA.xlsx" TargetMode="External"/><Relationship Id="rId1" Type="http://schemas.openxmlformats.org/officeDocument/2006/relationships/externalLinkPath" Target="Unified_IBNP_NMS_PLIC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MS_PLICA.xlsx" TargetMode="External"/><Relationship Id="rId1" Type="http://schemas.openxmlformats.org/officeDocument/2006/relationships/externalLinkPath" Target="Unified_IBNP_MS_PLIC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ULI.xlsx" TargetMode="External"/><Relationship Id="rId1" Type="http://schemas.openxmlformats.org/officeDocument/2006/relationships/externalLinkPath" Target="Unified_IBNP_ULI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Claims_Liability_Summary_0.xlsx" TargetMode="External"/><Relationship Id="rId1" Type="http://schemas.openxmlformats.org/officeDocument/2006/relationships/externalLinkPath" Target="Unified_Claims_Liability_Summary_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NFL.xlsx" TargetMode="External"/><Relationship Id="rId1" Type="http://schemas.openxmlformats.org/officeDocument/2006/relationships/externalLinkPath" Target="Unified_IBNP_NFL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PRT.xlsx" TargetMode="External"/><Relationship Id="rId1" Type="http://schemas.openxmlformats.org/officeDocument/2006/relationships/externalLinkPath" Target="Unified_IBNP_P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6835.9090447710205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152626.48032443525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9360.1588323547512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13699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122630.78209227475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L33">
            <v>43579.180323164866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8">
          <cell r="A8">
            <v>44866</v>
          </cell>
        </row>
        <row r="33">
          <cell r="H33">
            <v>388243.27028779039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XCH Allocation"/>
    </sheetNames>
    <sheetDataSet>
      <sheetData sheetId="0" refreshError="1"/>
      <sheetData sheetId="1">
        <row r="4">
          <cell r="C4">
            <v>-3.7199884827723795E-2</v>
          </cell>
          <cell r="D4">
            <v>-2.953360962498441E-2</v>
          </cell>
          <cell r="E4">
            <v>28.354611651719988</v>
          </cell>
          <cell r="F4">
            <v>38853.652864230782</v>
          </cell>
          <cell r="G4">
            <v>360879.9717457795</v>
          </cell>
          <cell r="H4">
            <v>29.683631282441532</v>
          </cell>
          <cell r="I4">
            <v>485.91042808224626</v>
          </cell>
          <cell r="J4">
            <v>1815.4821176905896</v>
          </cell>
          <cell r="K4">
            <v>0</v>
          </cell>
          <cell r="L4">
            <v>0.28162256752403425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2786.6836115388564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42112.394523259143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179460.22028710379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54965.034062636325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51364.671670221134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114586.80234950001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165903.58128421317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41805.212279949177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Oranias" id="{FC6D6499-D49C-4EF0-B72D-3446266526EE}" userId="S::joranias@actrisk.com::f83fb233-9eca-431f-9d3a-a35e583d3cea" providerId="AD"/>
</personList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4-10-10T15:17:37.29" personId="{FC6D6499-D49C-4EF0-B72D-3446266526EE}" id="{FEE7276F-F39D-4233-9473-6D1FFD4DFD91}">
    <text>To be defined by Karl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2:M26"/>
  <sheetViews>
    <sheetView tabSelected="1" workbookViewId="0">
      <selection activeCell="B14" sqref="B14"/>
    </sheetView>
  </sheetViews>
  <sheetFormatPr defaultColWidth="9.140625" defaultRowHeight="13.2" x14ac:dyDescent="0.3"/>
  <cols>
    <col min="1" max="1" width="16.140625" bestFit="1" customWidth="1"/>
    <col min="2" max="2" width="15.85546875" customWidth="1"/>
    <col min="3" max="3" width="16.85546875" bestFit="1" customWidth="1"/>
    <col min="4" max="4" width="12.140625" customWidth="1"/>
    <col min="5" max="5" width="19.42578125" bestFit="1" customWidth="1"/>
    <col min="6" max="6" width="21.42578125" bestFit="1" customWidth="1"/>
    <col min="7" max="7" width="12.5703125" bestFit="1" customWidth="1"/>
    <col min="8" max="8" width="16.5703125" bestFit="1" customWidth="1"/>
    <col min="9" max="10" width="12.5703125" bestFit="1" customWidth="1"/>
    <col min="11" max="11" width="19.42578125" bestFit="1" customWidth="1"/>
    <col min="12" max="13" width="9.5703125" customWidth="1"/>
  </cols>
  <sheetData>
    <row r="2" spans="1:13" x14ac:dyDescent="0.3">
      <c r="B2" s="5" t="s">
        <v>35</v>
      </c>
    </row>
    <row r="4" spans="1:13" x14ac:dyDescent="0.3">
      <c r="A4" s="1" t="s">
        <v>0</v>
      </c>
      <c r="B4" s="1" t="s">
        <v>1</v>
      </c>
      <c r="C4" s="1" t="s">
        <v>21</v>
      </c>
      <c r="D4" s="1" t="s">
        <v>2</v>
      </c>
      <c r="E4" s="1" t="s">
        <v>3</v>
      </c>
      <c r="F4" s="1" t="s">
        <v>4</v>
      </c>
      <c r="H4" s="2" t="s">
        <v>22</v>
      </c>
    </row>
    <row r="5" spans="1:13" x14ac:dyDescent="0.3">
      <c r="A5" t="s">
        <v>5</v>
      </c>
      <c r="B5" s="8">
        <f>+[1]Summary!$H$33</f>
        <v>6835.9090447710205</v>
      </c>
      <c r="C5" s="8">
        <f t="shared" ref="C5:C19" si="0">+B5*$C$22</f>
        <v>341.79545223855104</v>
      </c>
      <c r="D5" s="4">
        <v>7.4999999999999997E-2</v>
      </c>
      <c r="E5" s="7">
        <f>+B5*D5</f>
        <v>512.69317835782647</v>
      </c>
      <c r="F5" s="7">
        <f>+B5+C5+E5</f>
        <v>7690.3976753673978</v>
      </c>
      <c r="H5" s="13">
        <v>45597</v>
      </c>
    </row>
    <row r="6" spans="1:13" x14ac:dyDescent="0.3">
      <c r="A6" t="s">
        <v>6</v>
      </c>
      <c r="B6" s="8">
        <f>+[2]Summary!$H$33</f>
        <v>2786.6836115388564</v>
      </c>
      <c r="C6" s="8">
        <f t="shared" si="0"/>
        <v>139.33418057694283</v>
      </c>
      <c r="D6" s="3">
        <f>+D5</f>
        <v>7.4999999999999997E-2</v>
      </c>
      <c r="E6" s="7">
        <f t="shared" ref="E6:E19" si="1">+B6*D6</f>
        <v>209.00127086541423</v>
      </c>
      <c r="F6" s="7">
        <f t="shared" ref="F6:F19" si="2">+B6+C6+E6</f>
        <v>3135.0190629812137</v>
      </c>
      <c r="H6" s="13">
        <v>45597</v>
      </c>
    </row>
    <row r="7" spans="1:13" x14ac:dyDescent="0.3">
      <c r="A7" t="s">
        <v>15</v>
      </c>
      <c r="B7" s="8">
        <f>+[3]Summary!$H$33</f>
        <v>42112.394523259143</v>
      </c>
      <c r="C7" s="8">
        <f t="shared" si="0"/>
        <v>2105.6197261629572</v>
      </c>
      <c r="D7" s="3">
        <f t="shared" ref="D7:D13" si="3">+D6</f>
        <v>7.4999999999999997E-2</v>
      </c>
      <c r="E7" s="7">
        <f t="shared" si="1"/>
        <v>3158.4295892444356</v>
      </c>
      <c r="F7" s="7">
        <f t="shared" si="2"/>
        <v>47376.443838666535</v>
      </c>
      <c r="H7" s="13">
        <v>45597</v>
      </c>
    </row>
    <row r="8" spans="1:13" x14ac:dyDescent="0.3">
      <c r="A8" t="s">
        <v>7</v>
      </c>
      <c r="B8" s="8">
        <f>+[4]Summary!$H$33</f>
        <v>179460.22028710379</v>
      </c>
      <c r="C8" s="8">
        <f t="shared" si="0"/>
        <v>8973.0110143551901</v>
      </c>
      <c r="D8" s="3">
        <f t="shared" si="3"/>
        <v>7.4999999999999997E-2</v>
      </c>
      <c r="E8" s="7">
        <f t="shared" si="1"/>
        <v>13459.516521532783</v>
      </c>
      <c r="F8" s="7">
        <f t="shared" si="2"/>
        <v>201892.74782299178</v>
      </c>
      <c r="H8" s="13">
        <v>45597</v>
      </c>
    </row>
    <row r="9" spans="1:13" x14ac:dyDescent="0.3">
      <c r="A9" t="s">
        <v>8</v>
      </c>
      <c r="B9" s="8">
        <f>+[5]Summary!$H$33</f>
        <v>54965.034062636325</v>
      </c>
      <c r="C9" s="8">
        <f t="shared" si="0"/>
        <v>2748.2517031318166</v>
      </c>
      <c r="D9" s="3">
        <f t="shared" si="3"/>
        <v>7.4999999999999997E-2</v>
      </c>
      <c r="E9" s="7">
        <f t="shared" si="1"/>
        <v>4122.377554697724</v>
      </c>
      <c r="F9" s="7">
        <f t="shared" si="2"/>
        <v>61835.663320465872</v>
      </c>
      <c r="H9" s="13">
        <v>45597</v>
      </c>
    </row>
    <row r="10" spans="1:13" x14ac:dyDescent="0.3">
      <c r="A10" t="s">
        <v>9</v>
      </c>
      <c r="B10" s="8">
        <f>+[6]Summary!$H$33</f>
        <v>51364.671670221134</v>
      </c>
      <c r="C10" s="8">
        <f t="shared" si="0"/>
        <v>2568.2335835110571</v>
      </c>
      <c r="D10" s="3">
        <f t="shared" si="3"/>
        <v>7.4999999999999997E-2</v>
      </c>
      <c r="E10" s="7">
        <f t="shared" si="1"/>
        <v>3852.3503752665847</v>
      </c>
      <c r="F10" s="7">
        <f t="shared" si="2"/>
        <v>57785.255628998777</v>
      </c>
      <c r="H10" s="13">
        <v>45597</v>
      </c>
    </row>
    <row r="11" spans="1:13" x14ac:dyDescent="0.3">
      <c r="A11" t="s">
        <v>10</v>
      </c>
      <c r="B11" s="8">
        <f>+[7]Summary!$H$33</f>
        <v>114586.80234950001</v>
      </c>
      <c r="C11" s="8">
        <f t="shared" si="0"/>
        <v>5729.3401174750006</v>
      </c>
      <c r="D11" s="3">
        <f t="shared" si="3"/>
        <v>7.4999999999999997E-2</v>
      </c>
      <c r="E11" s="7">
        <f t="shared" si="1"/>
        <v>8594.0101762124996</v>
      </c>
      <c r="F11" s="7">
        <f t="shared" si="2"/>
        <v>128910.15264318751</v>
      </c>
      <c r="H11" s="13">
        <v>45597</v>
      </c>
    </row>
    <row r="12" spans="1:13" x14ac:dyDescent="0.3">
      <c r="A12" s="9" t="s">
        <v>11</v>
      </c>
      <c r="B12" s="10">
        <f>+[8]Summary!$H$33</f>
        <v>165903.58128421317</v>
      </c>
      <c r="C12" s="10">
        <f t="shared" si="0"/>
        <v>8295.1790642106589</v>
      </c>
      <c r="D12" s="11">
        <f t="shared" si="3"/>
        <v>7.4999999999999997E-2</v>
      </c>
      <c r="E12" s="12">
        <f t="shared" si="1"/>
        <v>12442.768596315987</v>
      </c>
      <c r="F12" s="12">
        <f t="shared" si="2"/>
        <v>186641.52894473981</v>
      </c>
      <c r="G12" s="9"/>
      <c r="H12" s="15">
        <v>45566</v>
      </c>
      <c r="I12" s="9" t="s">
        <v>37</v>
      </c>
      <c r="J12" s="9"/>
      <c r="K12" s="9"/>
      <c r="L12" s="9"/>
      <c r="M12" s="9"/>
    </row>
    <row r="13" spans="1:13" x14ac:dyDescent="0.3">
      <c r="A13" t="s">
        <v>12</v>
      </c>
      <c r="B13" s="8">
        <f>+[9]Summary!$H$33</f>
        <v>41805.212279949177</v>
      </c>
      <c r="C13" s="8">
        <f t="shared" si="0"/>
        <v>2090.2606139974591</v>
      </c>
      <c r="D13" s="3">
        <f t="shared" si="3"/>
        <v>7.4999999999999997E-2</v>
      </c>
      <c r="E13" s="7">
        <f t="shared" si="1"/>
        <v>3135.390920996188</v>
      </c>
      <c r="F13" s="7">
        <f t="shared" si="2"/>
        <v>47030.863814942823</v>
      </c>
      <c r="H13" s="13">
        <v>45597</v>
      </c>
    </row>
    <row r="14" spans="1:13" x14ac:dyDescent="0.3">
      <c r="A14" t="s">
        <v>19</v>
      </c>
      <c r="B14" s="8">
        <f>+[10]Summary!$H$33</f>
        <v>152626.48032443525</v>
      </c>
      <c r="C14" s="8">
        <f t="shared" si="0"/>
        <v>7631.3240162217626</v>
      </c>
      <c r="D14" s="3">
        <v>0.05</v>
      </c>
      <c r="E14" s="19">
        <f t="shared" si="1"/>
        <v>7631.3240162217626</v>
      </c>
      <c r="F14" s="19">
        <f t="shared" si="2"/>
        <v>167889.12835687879</v>
      </c>
      <c r="H14" s="13">
        <v>45597</v>
      </c>
    </row>
    <row r="15" spans="1:13" x14ac:dyDescent="0.3">
      <c r="A15" t="s">
        <v>20</v>
      </c>
      <c r="B15" s="8">
        <f>+[11]Summary!$H$33</f>
        <v>9360.1588323547512</v>
      </c>
      <c r="C15" s="8">
        <f t="shared" si="0"/>
        <v>468.00794161773757</v>
      </c>
      <c r="D15" s="3">
        <v>0.05</v>
      </c>
      <c r="E15" s="19">
        <f t="shared" si="1"/>
        <v>468.00794161773757</v>
      </c>
      <c r="F15" s="19">
        <f t="shared" si="2"/>
        <v>10296.174715590227</v>
      </c>
      <c r="H15" s="13">
        <v>45597</v>
      </c>
    </row>
    <row r="16" spans="1:13" x14ac:dyDescent="0.3">
      <c r="A16" t="s">
        <v>17</v>
      </c>
      <c r="B16" s="8">
        <f>+[12]Summary!$H$33</f>
        <v>13699</v>
      </c>
      <c r="C16" s="8">
        <f t="shared" si="0"/>
        <v>684.95</v>
      </c>
      <c r="D16" s="3">
        <f>+D5</f>
        <v>7.4999999999999997E-2</v>
      </c>
      <c r="E16" s="19">
        <f t="shared" si="1"/>
        <v>1027.425</v>
      </c>
      <c r="F16" s="19">
        <f t="shared" si="2"/>
        <v>15411.375</v>
      </c>
      <c r="H16" s="13">
        <v>45597</v>
      </c>
    </row>
    <row r="17" spans="1:13" x14ac:dyDescent="0.3">
      <c r="A17" t="s">
        <v>18</v>
      </c>
      <c r="B17" s="8">
        <f>+[13]Summary!$H$33</f>
        <v>122630.78209227475</v>
      </c>
      <c r="C17" s="8">
        <f t="shared" si="0"/>
        <v>6131.5391046137374</v>
      </c>
      <c r="D17" s="3">
        <f t="shared" ref="D17:D19" si="4">+D6</f>
        <v>7.4999999999999997E-2</v>
      </c>
      <c r="E17" s="7">
        <f t="shared" si="1"/>
        <v>9197.3086569206062</v>
      </c>
      <c r="F17" s="7">
        <f t="shared" si="2"/>
        <v>137959.62985380908</v>
      </c>
      <c r="H17" s="13">
        <v>45597</v>
      </c>
    </row>
    <row r="18" spans="1:13" x14ac:dyDescent="0.3">
      <c r="A18" t="s">
        <v>13</v>
      </c>
      <c r="B18" s="8">
        <f>+[14]Summary!$L$33</f>
        <v>43579.180323164866</v>
      </c>
      <c r="C18" s="8">
        <f t="shared" si="0"/>
        <v>2178.9590161582432</v>
      </c>
      <c r="D18" s="3">
        <f t="shared" si="4"/>
        <v>7.4999999999999997E-2</v>
      </c>
      <c r="E18" s="7">
        <f t="shared" si="1"/>
        <v>3268.4385242373651</v>
      </c>
      <c r="F18" s="7">
        <f t="shared" si="2"/>
        <v>49026.57786356048</v>
      </c>
      <c r="H18" s="13">
        <v>45597</v>
      </c>
    </row>
    <row r="19" spans="1:13" x14ac:dyDescent="0.3">
      <c r="A19" s="9" t="s">
        <v>16</v>
      </c>
      <c r="B19" s="10">
        <f>+[15]Summary!$H$33</f>
        <v>388243.27028779039</v>
      </c>
      <c r="C19" s="10">
        <f t="shared" si="0"/>
        <v>19412.163514389522</v>
      </c>
      <c r="D19" s="11">
        <f t="shared" si="4"/>
        <v>7.4999999999999997E-2</v>
      </c>
      <c r="E19" s="12">
        <f t="shared" si="1"/>
        <v>29118.245271584277</v>
      </c>
      <c r="F19" s="12">
        <f t="shared" si="2"/>
        <v>436773.67907376419</v>
      </c>
      <c r="G19" s="9"/>
      <c r="H19" s="15">
        <v>45536</v>
      </c>
      <c r="I19" s="9" t="s">
        <v>36</v>
      </c>
      <c r="J19" s="9"/>
      <c r="K19" s="9"/>
      <c r="L19" s="9"/>
      <c r="M19" s="9"/>
    </row>
    <row r="20" spans="1:13" x14ac:dyDescent="0.3">
      <c r="B20" s="8"/>
      <c r="C20" s="8"/>
    </row>
    <row r="21" spans="1:13" x14ac:dyDescent="0.3">
      <c r="A21" s="5" t="s">
        <v>14</v>
      </c>
      <c r="B21" s="6">
        <f>+SUM(B5:B20)</f>
        <v>1389959.3809732127</v>
      </c>
      <c r="C21" s="6">
        <f>+SUM(C5:C20)</f>
        <v>69497.969048660641</v>
      </c>
      <c r="D21" s="5"/>
      <c r="E21" s="6">
        <f>+SUM(E5:E20)</f>
        <v>100197.28759407121</v>
      </c>
      <c r="F21" s="6">
        <f>+SUM(F5:F20)</f>
        <v>1559654.6376159445</v>
      </c>
    </row>
    <row r="22" spans="1:13" x14ac:dyDescent="0.3">
      <c r="C22" s="14">
        <v>0.05</v>
      </c>
    </row>
    <row r="24" spans="1:13" x14ac:dyDescent="0.3">
      <c r="A24" s="5" t="s">
        <v>23</v>
      </c>
    </row>
    <row r="25" spans="1:13" x14ac:dyDescent="0.3">
      <c r="A25" s="5" t="s">
        <v>24</v>
      </c>
      <c r="B25" s="5" t="s">
        <v>25</v>
      </c>
      <c r="C25" s="5" t="s">
        <v>26</v>
      </c>
      <c r="D25" s="5" t="s">
        <v>27</v>
      </c>
      <c r="E25" s="5" t="s">
        <v>28</v>
      </c>
      <c r="F25" s="5" t="s">
        <v>29</v>
      </c>
      <c r="G25" s="5" t="s">
        <v>30</v>
      </c>
      <c r="H25" s="5" t="s">
        <v>31</v>
      </c>
      <c r="I25" s="5" t="s">
        <v>32</v>
      </c>
      <c r="J25" s="16" t="s">
        <v>33</v>
      </c>
      <c r="K25" s="17" t="s">
        <v>34</v>
      </c>
    </row>
    <row r="26" spans="1:13" x14ac:dyDescent="0.3">
      <c r="A26" s="7">
        <f>+'[16]XCH Allocation'!C4*(1+$D$19)+'[16]XCH Allocation'!C4*$C$22</f>
        <v>-4.1849870431189269E-2</v>
      </c>
      <c r="B26" s="7">
        <f>+'[16]XCH Allocation'!D4*(1+$D$19)+'[16]XCH Allocation'!D4*$C$22</f>
        <v>-3.3225310828107459E-2</v>
      </c>
      <c r="C26" s="7">
        <f>+'[16]XCH Allocation'!E4*(1+$D$19)+'[16]XCH Allocation'!E4*$C$22</f>
        <v>31.898938108184986</v>
      </c>
      <c r="D26" s="7">
        <f>+'[16]XCH Allocation'!F4*(1+$D$19)+'[16]XCH Allocation'!F4*$C$22</f>
        <v>43710.359472259632</v>
      </c>
      <c r="E26" s="7">
        <f>+'[16]XCH Allocation'!G4*(1+$D$19)+'[16]XCH Allocation'!G4*$C$22</f>
        <v>405989.96821400191</v>
      </c>
      <c r="F26" s="7">
        <f>+'[16]XCH Allocation'!H4*(1+$D$19)+'[16]XCH Allocation'!H4*$C$22</f>
        <v>33.394085192746722</v>
      </c>
      <c r="G26" s="7">
        <f>+'[16]XCH Allocation'!I4*(1+$D$19)+'[16]XCH Allocation'!I4*$C$22</f>
        <v>546.64923159252692</v>
      </c>
      <c r="H26" s="7">
        <f>+'[16]XCH Allocation'!J4*(1+$D$19)+'[16]XCH Allocation'!J4*$C$22</f>
        <v>2042.4173824019133</v>
      </c>
      <c r="I26" s="7">
        <f>+'[16]XCH Allocation'!K4*(1+$D$19)+'[16]XCH Allocation'!K4*$C$22</f>
        <v>0</v>
      </c>
      <c r="J26" s="7">
        <f>+'[16]XCH Allocation'!L4*(1+$D$19)+'[16]XCH Allocation'!L4*$C$22</f>
        <v>0.31682538846453856</v>
      </c>
      <c r="K26" s="18">
        <f>+SUM(A26:J26)-F19</f>
        <v>15581.25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Claims Liability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2024-08-16T11:17:23Z</dcterms:created>
  <dcterms:modified xsi:type="dcterms:W3CDTF">2024-12-13T19:14:08Z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