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6ebda2db8a49eb/Documents/Master - Data/"/>
    </mc:Choice>
  </mc:AlternateContent>
  <xr:revisionPtr revIDLastSave="685" documentId="8_{CCEBCCFC-DED8-4AE0-B24D-4F93383E012B}" xr6:coauthVersionLast="47" xr6:coauthVersionMax="47" xr10:uidLastSave="{749126EB-BFE1-4595-9B1A-B3DE06F55DB4}"/>
  <bookViews>
    <workbookView xWindow="1920" yWindow="-12705" windowWidth="21600" windowHeight="11295" activeTab="3" xr2:uid="{358FEDBB-753E-4FA8-B7CD-50464F58ABCC}"/>
  </bookViews>
  <sheets>
    <sheet name="DNA" sheetId="2" r:id="rId1"/>
    <sheet name="RNA" sheetId="3" r:id="rId2"/>
    <sheet name="Lipid " sheetId="4" r:id="rId3"/>
    <sheet name="Proteins - HPLC" sheetId="5" r:id="rId4"/>
    <sheet name="Proteins - Bradford 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C38" i="5"/>
  <c r="C44" i="5"/>
  <c r="B50" i="5"/>
  <c r="C45" i="5" s="1"/>
  <c r="C41" i="5" l="1"/>
  <c r="C37" i="5"/>
  <c r="C36" i="5"/>
  <c r="C35" i="5"/>
  <c r="C30" i="5"/>
  <c r="C34" i="5"/>
  <c r="C40" i="5"/>
  <c r="C49" i="5"/>
  <c r="C33" i="5"/>
  <c r="C39" i="5"/>
  <c r="C48" i="5"/>
  <c r="C32" i="5"/>
  <c r="C47" i="5"/>
  <c r="C31" i="5"/>
  <c r="C42" i="5"/>
  <c r="C46" i="5"/>
  <c r="C43" i="5"/>
  <c r="B52" i="5"/>
  <c r="F22" i="2"/>
  <c r="K50" i="5"/>
  <c r="N50" i="5"/>
  <c r="C50" i="5" l="1"/>
  <c r="N52" i="5"/>
  <c r="O45" i="5"/>
  <c r="O48" i="5"/>
  <c r="O46" i="5"/>
  <c r="O47" i="5"/>
  <c r="O31" i="5"/>
  <c r="O32" i="5"/>
  <c r="O33" i="5"/>
  <c r="O49" i="5"/>
  <c r="O34" i="5"/>
  <c r="O30" i="5"/>
  <c r="O35" i="5"/>
  <c r="O36" i="5"/>
  <c r="O37" i="5"/>
  <c r="O38" i="5"/>
  <c r="O39" i="5"/>
  <c r="O40" i="5"/>
  <c r="O41" i="5"/>
  <c r="O42" i="5"/>
  <c r="O43" i="5"/>
  <c r="O44" i="5"/>
  <c r="K52" i="5"/>
  <c r="L40" i="5"/>
  <c r="L42" i="5"/>
  <c r="L41" i="5"/>
  <c r="L43" i="5"/>
  <c r="L44" i="5"/>
  <c r="L36" i="5"/>
  <c r="L45" i="5"/>
  <c r="L46" i="5"/>
  <c r="L34" i="5"/>
  <c r="L37" i="5"/>
  <c r="L31" i="5"/>
  <c r="L47" i="5"/>
  <c r="L33" i="5"/>
  <c r="L38" i="5"/>
  <c r="L32" i="5"/>
  <c r="L48" i="5"/>
  <c r="L49" i="5"/>
  <c r="L30" i="5"/>
  <c r="L35" i="5"/>
  <c r="L39" i="5"/>
  <c r="H50" i="5"/>
  <c r="H52" i="5" l="1"/>
  <c r="I35" i="5"/>
  <c r="I37" i="5"/>
  <c r="I34" i="5"/>
  <c r="I36" i="5"/>
  <c r="I38" i="5"/>
  <c r="I39" i="5"/>
  <c r="I40" i="5"/>
  <c r="I45" i="5"/>
  <c r="I32" i="5"/>
  <c r="I49" i="5"/>
  <c r="I41" i="5"/>
  <c r="I44" i="5"/>
  <c r="I42" i="5"/>
  <c r="I46" i="5"/>
  <c r="I31" i="5"/>
  <c r="I43" i="5"/>
  <c r="I47" i="5"/>
  <c r="I48" i="5"/>
  <c r="I33" i="5"/>
  <c r="I30" i="5"/>
  <c r="O50" i="5"/>
  <c r="L50" i="5"/>
  <c r="E50" i="5"/>
  <c r="E52" i="5" l="1"/>
  <c r="F46" i="5"/>
  <c r="F48" i="5"/>
  <c r="F33" i="5"/>
  <c r="F31" i="5"/>
  <c r="F47" i="5"/>
  <c r="F32" i="5"/>
  <c r="F49" i="5"/>
  <c r="F34" i="5"/>
  <c r="F30" i="5"/>
  <c r="F44" i="5"/>
  <c r="F35" i="5"/>
  <c r="F41" i="5"/>
  <c r="F42" i="5"/>
  <c r="F43" i="5"/>
  <c r="F36" i="5"/>
  <c r="F45" i="5"/>
  <c r="F37" i="5"/>
  <c r="F39" i="5"/>
  <c r="F40" i="5"/>
  <c r="F38" i="5"/>
  <c r="I50" i="5"/>
  <c r="C39" i="7"/>
  <c r="Q30" i="7" s="1"/>
  <c r="T30" i="7" s="1"/>
  <c r="K33" i="7"/>
  <c r="N33" i="7" s="1"/>
  <c r="J33" i="7"/>
  <c r="M33" i="7" s="1"/>
  <c r="I33" i="7"/>
  <c r="L33" i="7" s="1"/>
  <c r="O33" i="7" s="1"/>
  <c r="R33" i="7" s="1"/>
  <c r="N32" i="7"/>
  <c r="K32" i="7"/>
  <c r="J32" i="7"/>
  <c r="M32" i="7" s="1"/>
  <c r="P32" i="7" s="1"/>
  <c r="S32" i="7" s="1"/>
  <c r="I32" i="7"/>
  <c r="L32" i="7" s="1"/>
  <c r="O32" i="7" s="1"/>
  <c r="R32" i="7" s="1"/>
  <c r="N31" i="7"/>
  <c r="Q31" i="7" s="1"/>
  <c r="T31" i="7" s="1"/>
  <c r="M31" i="7"/>
  <c r="K31" i="7"/>
  <c r="J31" i="7"/>
  <c r="I31" i="7"/>
  <c r="L31" i="7" s="1"/>
  <c r="N30" i="7"/>
  <c r="M30" i="7"/>
  <c r="L30" i="7"/>
  <c r="K30" i="7"/>
  <c r="J30" i="7"/>
  <c r="I30" i="7"/>
  <c r="M29" i="7"/>
  <c r="L29" i="7"/>
  <c r="O29" i="7" s="1"/>
  <c r="R29" i="7" s="1"/>
  <c r="K29" i="7"/>
  <c r="N29" i="7" s="1"/>
  <c r="Q29" i="7" s="1"/>
  <c r="T29" i="7" s="1"/>
  <c r="J29" i="7"/>
  <c r="I29" i="7"/>
  <c r="G23" i="7"/>
  <c r="H23" i="7" s="1"/>
  <c r="I23" i="7" s="1"/>
  <c r="J23" i="7" s="1"/>
  <c r="K23" i="7" s="1"/>
  <c r="C23" i="7"/>
  <c r="G22" i="7"/>
  <c r="H22" i="7" s="1"/>
  <c r="I22" i="7" s="1"/>
  <c r="J22" i="7" s="1"/>
  <c r="K22" i="7" s="1"/>
  <c r="C22" i="7"/>
  <c r="G21" i="7"/>
  <c r="H21" i="7" s="1"/>
  <c r="I21" i="7" s="1"/>
  <c r="J21" i="7" s="1"/>
  <c r="K21" i="7" s="1"/>
  <c r="C21" i="7"/>
  <c r="G20" i="7"/>
  <c r="H20" i="7" s="1"/>
  <c r="I20" i="7" s="1"/>
  <c r="J20" i="7" s="1"/>
  <c r="K20" i="7" s="1"/>
  <c r="C20" i="7"/>
  <c r="C19" i="7"/>
  <c r="F18" i="7"/>
  <c r="F19" i="7" s="1"/>
  <c r="G19" i="7" s="1"/>
  <c r="H19" i="7" s="1"/>
  <c r="I19" i="7" s="1"/>
  <c r="J19" i="7" s="1"/>
  <c r="K19" i="7" s="1"/>
  <c r="C18" i="7"/>
  <c r="F17" i="7"/>
  <c r="G17" i="7" s="1"/>
  <c r="H17" i="7" s="1"/>
  <c r="I17" i="7" s="1"/>
  <c r="J17" i="7" s="1"/>
  <c r="K17" i="7" s="1"/>
  <c r="C17" i="7"/>
  <c r="G9" i="7"/>
  <c r="E9" i="7"/>
  <c r="D9" i="7"/>
  <c r="F9" i="7" s="1"/>
  <c r="E8" i="7"/>
  <c r="D8" i="7"/>
  <c r="G8" i="7" s="1"/>
  <c r="E7" i="7"/>
  <c r="D7" i="7"/>
  <c r="F7" i="7" s="1"/>
  <c r="E6" i="7"/>
  <c r="D6" i="7"/>
  <c r="G6" i="7" s="1"/>
  <c r="G5" i="7"/>
  <c r="E5" i="7"/>
  <c r="D5" i="7"/>
  <c r="F5" i="7" s="1"/>
  <c r="F4" i="7"/>
  <c r="P33" i="7" l="1"/>
  <c r="S33" i="7" s="1"/>
  <c r="Q33" i="7"/>
  <c r="T33" i="7" s="1"/>
  <c r="P30" i="7"/>
  <c r="S30" i="7" s="1"/>
  <c r="O31" i="7"/>
  <c r="R31" i="7" s="1"/>
  <c r="F50" i="5"/>
  <c r="V33" i="7"/>
  <c r="U33" i="7"/>
  <c r="G18" i="7"/>
  <c r="H18" i="7" s="1"/>
  <c r="I18" i="7" s="1"/>
  <c r="J18" i="7" s="1"/>
  <c r="K18" i="7" s="1"/>
  <c r="F8" i="7"/>
  <c r="G7" i="7"/>
  <c r="F6" i="7"/>
  <c r="O30" i="7"/>
  <c r="R30" i="7" s="1"/>
  <c r="P31" i="7"/>
  <c r="S31" i="7" s="1"/>
  <c r="V31" i="7" s="1"/>
  <c r="Q32" i="7"/>
  <c r="T32" i="7" s="1"/>
  <c r="V32" i="7" s="1"/>
  <c r="P29" i="7"/>
  <c r="S29" i="7" s="1"/>
  <c r="V29" i="7" s="1"/>
  <c r="U32" i="7" l="1"/>
  <c r="U31" i="7"/>
  <c r="W31" i="7" s="1"/>
  <c r="V30" i="7"/>
  <c r="U30" i="7"/>
  <c r="W32" i="7"/>
  <c r="W33" i="7"/>
  <c r="U29" i="7"/>
  <c r="W29" i="7" s="1"/>
  <c r="W30" i="7" l="1"/>
  <c r="D2" i="5" l="1"/>
  <c r="E2" i="5" s="1"/>
  <c r="F2" i="5" s="1"/>
  <c r="G2" i="5" s="1"/>
  <c r="J2" i="5"/>
  <c r="D3" i="5"/>
  <c r="E3" i="5" s="1"/>
  <c r="F3" i="5" s="1"/>
  <c r="G3" i="5" s="1"/>
  <c r="J3" i="5"/>
  <c r="D4" i="5"/>
  <c r="E4" i="5" s="1"/>
  <c r="F4" i="5" s="1"/>
  <c r="G4" i="5" s="1"/>
  <c r="J4" i="5"/>
  <c r="D5" i="5"/>
  <c r="E5" i="5" s="1"/>
  <c r="F5" i="5" s="1"/>
  <c r="G5" i="5" s="1"/>
  <c r="J5" i="5"/>
  <c r="D6" i="5"/>
  <c r="E6" i="5" s="1"/>
  <c r="F6" i="5" s="1"/>
  <c r="G6" i="5" s="1"/>
  <c r="J6" i="5"/>
  <c r="D7" i="5"/>
  <c r="E7" i="5" s="1"/>
  <c r="F7" i="5" s="1"/>
  <c r="G7" i="5" s="1"/>
  <c r="K7" i="5" s="1"/>
  <c r="L7" i="5" s="1"/>
  <c r="M7" i="5" s="1"/>
  <c r="O7" i="5" s="1"/>
  <c r="J7" i="5"/>
  <c r="D8" i="5"/>
  <c r="E8" i="5" s="1"/>
  <c r="F8" i="5" s="1"/>
  <c r="G8" i="5" s="1"/>
  <c r="J8" i="5"/>
  <c r="D9" i="5"/>
  <c r="E9" i="5" s="1"/>
  <c r="F9" i="5" s="1"/>
  <c r="G9" i="5" s="1"/>
  <c r="J9" i="5"/>
  <c r="D10" i="5"/>
  <c r="E10" i="5" s="1"/>
  <c r="F10" i="5" s="1"/>
  <c r="G10" i="5" s="1"/>
  <c r="K10" i="5" s="1"/>
  <c r="L10" i="5" s="1"/>
  <c r="M10" i="5" s="1"/>
  <c r="O10" i="5" s="1"/>
  <c r="J10" i="5"/>
  <c r="D11" i="5"/>
  <c r="E11" i="5" s="1"/>
  <c r="F11" i="5" s="1"/>
  <c r="G11" i="5" s="1"/>
  <c r="K11" i="5" s="1"/>
  <c r="L11" i="5" s="1"/>
  <c r="M11" i="5" s="1"/>
  <c r="O11" i="5" s="1"/>
  <c r="J11" i="5"/>
  <c r="D12" i="5"/>
  <c r="E12" i="5" s="1"/>
  <c r="F12" i="5" s="1"/>
  <c r="G12" i="5" s="1"/>
  <c r="J12" i="5"/>
  <c r="D13" i="5"/>
  <c r="E13" i="5" s="1"/>
  <c r="F13" i="5" s="1"/>
  <c r="G13" i="5" s="1"/>
  <c r="K13" i="5" s="1"/>
  <c r="L13" i="5" s="1"/>
  <c r="M13" i="5" s="1"/>
  <c r="O13" i="5" s="1"/>
  <c r="J13" i="5"/>
  <c r="D14" i="5"/>
  <c r="E14" i="5" s="1"/>
  <c r="F14" i="5" s="1"/>
  <c r="G14" i="5" s="1"/>
  <c r="K14" i="5" s="1"/>
  <c r="L14" i="5" s="1"/>
  <c r="M14" i="5" s="1"/>
  <c r="O14" i="5" s="1"/>
  <c r="J14" i="5"/>
  <c r="D15" i="5"/>
  <c r="E15" i="5" s="1"/>
  <c r="F15" i="5" s="1"/>
  <c r="G15" i="5" s="1"/>
  <c r="K15" i="5" s="1"/>
  <c r="L15" i="5" s="1"/>
  <c r="M15" i="5" s="1"/>
  <c r="O15" i="5" s="1"/>
  <c r="J15" i="5"/>
  <c r="D16" i="5"/>
  <c r="E16" i="5" s="1"/>
  <c r="F16" i="5" s="1"/>
  <c r="G16" i="5" s="1"/>
  <c r="J16" i="5"/>
  <c r="D17" i="5"/>
  <c r="E17" i="5" s="1"/>
  <c r="F17" i="5" s="1"/>
  <c r="G17" i="5" s="1"/>
  <c r="J17" i="5"/>
  <c r="D18" i="5"/>
  <c r="E18" i="5" s="1"/>
  <c r="F18" i="5" s="1"/>
  <c r="G18" i="5" s="1"/>
  <c r="K18" i="5" s="1"/>
  <c r="L18" i="5" s="1"/>
  <c r="M18" i="5" s="1"/>
  <c r="O18" i="5" s="1"/>
  <c r="J18" i="5"/>
  <c r="D19" i="5"/>
  <c r="E19" i="5" s="1"/>
  <c r="F19" i="5" s="1"/>
  <c r="G19" i="5" s="1"/>
  <c r="K19" i="5" s="1"/>
  <c r="L19" i="5" s="1"/>
  <c r="M19" i="5" s="1"/>
  <c r="O19" i="5" s="1"/>
  <c r="J19" i="5"/>
  <c r="D20" i="5"/>
  <c r="E20" i="5" s="1"/>
  <c r="F20" i="5" s="1"/>
  <c r="G20" i="5" s="1"/>
  <c r="J20" i="5"/>
  <c r="D21" i="5"/>
  <c r="E21" i="5" s="1"/>
  <c r="F21" i="5" s="1"/>
  <c r="G21" i="5" s="1"/>
  <c r="K21" i="5" s="1"/>
  <c r="L21" i="5" s="1"/>
  <c r="M21" i="5" s="1"/>
  <c r="O21" i="5" s="1"/>
  <c r="J21" i="5"/>
  <c r="D22" i="5"/>
  <c r="E22" i="5" s="1"/>
  <c r="F22" i="5" s="1"/>
  <c r="G22" i="5" s="1"/>
  <c r="K22" i="5" s="1"/>
  <c r="L22" i="5" s="1"/>
  <c r="M22" i="5" s="1"/>
  <c r="O22" i="5" s="1"/>
  <c r="J22" i="5"/>
  <c r="D23" i="5"/>
  <c r="E23" i="5" s="1"/>
  <c r="F23" i="5" s="1"/>
  <c r="G23" i="5" s="1"/>
  <c r="K23" i="5" s="1"/>
  <c r="L23" i="5" s="1"/>
  <c r="M23" i="5" s="1"/>
  <c r="O23" i="5" s="1"/>
  <c r="J23" i="5"/>
  <c r="D24" i="5"/>
  <c r="E24" i="5" s="1"/>
  <c r="F24" i="5" s="1"/>
  <c r="G24" i="5" s="1"/>
  <c r="J24" i="5"/>
  <c r="D25" i="5"/>
  <c r="E25" i="5" s="1"/>
  <c r="F25" i="5" s="1"/>
  <c r="G25" i="5" s="1"/>
  <c r="J25" i="5"/>
  <c r="H4" i="4"/>
  <c r="H5" i="4" s="1"/>
  <c r="B16" i="4"/>
  <c r="C16" i="4"/>
  <c r="D16" i="4"/>
  <c r="E16" i="4"/>
  <c r="F16" i="4"/>
  <c r="G16" i="4"/>
  <c r="H16" i="4"/>
  <c r="H18" i="4" s="1"/>
  <c r="I16" i="4"/>
  <c r="I18" i="4" s="1"/>
  <c r="J16" i="4"/>
  <c r="J18" i="4" s="1"/>
  <c r="C18" i="4"/>
  <c r="H19" i="4"/>
  <c r="I19" i="4"/>
  <c r="J19" i="4"/>
  <c r="B36" i="4"/>
  <c r="C36" i="4"/>
  <c r="D36" i="4"/>
  <c r="E36" i="4"/>
  <c r="C38" i="4" s="1"/>
  <c r="F36" i="4"/>
  <c r="G36" i="4"/>
  <c r="H36" i="4"/>
  <c r="I36" i="4"/>
  <c r="I38" i="4" s="1"/>
  <c r="J36" i="4"/>
  <c r="J38" i="4" s="1"/>
  <c r="K36" i="4"/>
  <c r="K38" i="4" s="1"/>
  <c r="L36" i="4"/>
  <c r="L38" i="4" s="1"/>
  <c r="M36" i="4"/>
  <c r="M38" i="4" s="1"/>
  <c r="N36" i="4"/>
  <c r="N38" i="4" s="1"/>
  <c r="O36" i="4"/>
  <c r="O38" i="4" s="1"/>
  <c r="P36" i="4"/>
  <c r="P38" i="4" s="1"/>
  <c r="Q36" i="4"/>
  <c r="R36" i="4"/>
  <c r="S36" i="4"/>
  <c r="H38" i="4"/>
  <c r="Q38" i="4"/>
  <c r="R38" i="4"/>
  <c r="S38" i="4"/>
  <c r="H39" i="4"/>
  <c r="I39" i="4"/>
  <c r="J39" i="4"/>
  <c r="K39" i="4"/>
  <c r="L39" i="4"/>
  <c r="M39" i="4"/>
  <c r="N39" i="4"/>
  <c r="O39" i="4"/>
  <c r="P39" i="4"/>
  <c r="Q39" i="4"/>
  <c r="R39" i="4"/>
  <c r="S39" i="4"/>
  <c r="D15" i="3"/>
  <c r="D16" i="3"/>
  <c r="H15" i="3" s="1"/>
  <c r="E6" i="3" s="1"/>
  <c r="D17" i="3"/>
  <c r="D18" i="3"/>
  <c r="D19" i="3"/>
  <c r="D20" i="3"/>
  <c r="D21" i="3"/>
  <c r="D22" i="3"/>
  <c r="D23" i="3"/>
  <c r="D24" i="3"/>
  <c r="D25" i="3"/>
  <c r="D26" i="3"/>
  <c r="D44" i="3"/>
  <c r="D45" i="3"/>
  <c r="D46" i="3"/>
  <c r="D47" i="3"/>
  <c r="D48" i="3"/>
  <c r="D49" i="3"/>
  <c r="D50" i="3"/>
  <c r="D51" i="3"/>
  <c r="D52" i="3"/>
  <c r="D53" i="3"/>
  <c r="D54" i="3"/>
  <c r="N15" i="3"/>
  <c r="D30" i="3"/>
  <c r="N16" i="3"/>
  <c r="D31" i="3"/>
  <c r="N17" i="3"/>
  <c r="D32" i="3"/>
  <c r="N18" i="3"/>
  <c r="S15" i="3" s="1"/>
  <c r="D33" i="3"/>
  <c r="N19" i="3"/>
  <c r="D34" i="3"/>
  <c r="N20" i="3"/>
  <c r="D35" i="3"/>
  <c r="N21" i="3"/>
  <c r="D36" i="3"/>
  <c r="N22" i="3"/>
  <c r="D37" i="3"/>
  <c r="N23" i="3"/>
  <c r="D38" i="3"/>
  <c r="N24" i="3"/>
  <c r="D39" i="3"/>
  <c r="N25" i="3"/>
  <c r="D40" i="3"/>
  <c r="N26" i="3"/>
  <c r="D41" i="3"/>
  <c r="N27" i="3"/>
  <c r="N28" i="3"/>
  <c r="N29" i="3"/>
  <c r="N30" i="3"/>
  <c r="N31" i="3"/>
  <c r="N32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F14" i="2"/>
  <c r="F10" i="2"/>
  <c r="F11" i="2"/>
  <c r="F12" i="2"/>
  <c r="F13" i="2"/>
  <c r="F15" i="2"/>
  <c r="F16" i="2"/>
  <c r="F17" i="2"/>
  <c r="F18" i="2"/>
  <c r="P22" i="2"/>
  <c r="AM28" i="2"/>
  <c r="P23" i="2"/>
  <c r="AM29" i="2"/>
  <c r="AP30" i="2" s="1"/>
  <c r="P24" i="2"/>
  <c r="AM30" i="2"/>
  <c r="P25" i="2"/>
  <c r="AM31" i="2"/>
  <c r="P26" i="2"/>
  <c r="AM32" i="2"/>
  <c r="AO32" i="2"/>
  <c r="P27" i="2"/>
  <c r="AM33" i="2"/>
  <c r="P28" i="2"/>
  <c r="AM34" i="2"/>
  <c r="AP32" i="2" s="1"/>
  <c r="P29" i="2"/>
  <c r="P30" i="2"/>
  <c r="AM36" i="2"/>
  <c r="AM37" i="2"/>
  <c r="AM38" i="2"/>
  <c r="AM39" i="2"/>
  <c r="AM40" i="2"/>
  <c r="AP40" i="2"/>
  <c r="AM41" i="2"/>
  <c r="AM42" i="2"/>
  <c r="F23" i="2"/>
  <c r="F24" i="2"/>
  <c r="I22" i="2" s="1"/>
  <c r="F25" i="2"/>
  <c r="F26" i="2"/>
  <c r="F27" i="2"/>
  <c r="F28" i="2"/>
  <c r="F29" i="2"/>
  <c r="F30" i="2"/>
  <c r="F34" i="2"/>
  <c r="P9" i="2"/>
  <c r="S9" i="2" s="1"/>
  <c r="F35" i="2"/>
  <c r="P10" i="2"/>
  <c r="F36" i="2"/>
  <c r="P11" i="2"/>
  <c r="F37" i="2"/>
  <c r="P12" i="2"/>
  <c r="F38" i="2"/>
  <c r="P13" i="2"/>
  <c r="F39" i="2"/>
  <c r="P14" i="2"/>
  <c r="F40" i="2"/>
  <c r="P15" i="2"/>
  <c r="F41" i="2"/>
  <c r="P16" i="2"/>
  <c r="F42" i="2"/>
  <c r="P17" i="2"/>
  <c r="F43" i="2"/>
  <c r="H44" i="3" l="1"/>
  <c r="H30" i="3"/>
  <c r="E9" i="3" s="1"/>
  <c r="R15" i="3"/>
  <c r="E8" i="3" s="1"/>
  <c r="I20" i="4"/>
  <c r="I21" i="4" s="1"/>
  <c r="I22" i="4" s="1"/>
  <c r="I23" i="4" s="1"/>
  <c r="I24" i="4" s="1"/>
  <c r="H20" i="4"/>
  <c r="H21" i="4" s="1"/>
  <c r="J20" i="4"/>
  <c r="J21" i="4" s="1"/>
  <c r="H40" i="4"/>
  <c r="H41" i="4" s="1"/>
  <c r="H42" i="4" s="1"/>
  <c r="I40" i="4"/>
  <c r="I41" i="4" s="1"/>
  <c r="J40" i="4"/>
  <c r="J41" i="4" s="1"/>
  <c r="J42" i="4" s="1"/>
  <c r="J43" i="4" s="1"/>
  <c r="J44" i="4" s="1"/>
  <c r="K40" i="4"/>
  <c r="K41" i="4" s="1"/>
  <c r="K42" i="4" s="1"/>
  <c r="K43" i="4" s="1"/>
  <c r="K44" i="4" s="1"/>
  <c r="O40" i="4"/>
  <c r="O41" i="4" s="1"/>
  <c r="O42" i="4" s="1"/>
  <c r="O43" i="4" s="1"/>
  <c r="O44" i="4" s="1"/>
  <c r="P40" i="4"/>
  <c r="R40" i="4"/>
  <c r="R41" i="4" s="1"/>
  <c r="R42" i="4" s="1"/>
  <c r="R43" i="4" s="1"/>
  <c r="R44" i="4" s="1"/>
  <c r="P41" i="4"/>
  <c r="R44" i="3"/>
  <c r="E10" i="3" s="1"/>
  <c r="S44" i="3"/>
  <c r="E7" i="3"/>
  <c r="AO28" i="2"/>
  <c r="AP28" i="2"/>
  <c r="R22" i="2"/>
  <c r="H22" i="2"/>
  <c r="C5" i="2" s="1"/>
  <c r="S22" i="2"/>
  <c r="D3" i="2" s="1"/>
  <c r="D5" i="2"/>
  <c r="H34" i="2"/>
  <c r="R9" i="2"/>
  <c r="I34" i="2"/>
  <c r="D4" i="2"/>
  <c r="C3" i="2"/>
  <c r="K6" i="5"/>
  <c r="L6" i="5" s="1"/>
  <c r="M6" i="5" s="1"/>
  <c r="O6" i="5" s="1"/>
  <c r="K5" i="5"/>
  <c r="L5" i="5" s="1"/>
  <c r="M5" i="5" s="1"/>
  <c r="O5" i="5" s="1"/>
  <c r="K4" i="5"/>
  <c r="L4" i="5" s="1"/>
  <c r="M4" i="5" s="1"/>
  <c r="O4" i="5" s="1"/>
  <c r="K2" i="5"/>
  <c r="L2" i="5" s="1"/>
  <c r="M2" i="5" s="1"/>
  <c r="O2" i="5" s="1"/>
  <c r="K24" i="5"/>
  <c r="L24" i="5" s="1"/>
  <c r="M24" i="5" s="1"/>
  <c r="O24" i="5" s="1"/>
  <c r="K8" i="5"/>
  <c r="L8" i="5" s="1"/>
  <c r="M8" i="5" s="1"/>
  <c r="O8" i="5" s="1"/>
  <c r="K16" i="5"/>
  <c r="L16" i="5" s="1"/>
  <c r="M16" i="5" s="1"/>
  <c r="O16" i="5" s="1"/>
  <c r="K25" i="5"/>
  <c r="L25" i="5" s="1"/>
  <c r="M25" i="5" s="1"/>
  <c r="O25" i="5" s="1"/>
  <c r="K20" i="5"/>
  <c r="L20" i="5" s="1"/>
  <c r="M20" i="5" s="1"/>
  <c r="O20" i="5" s="1"/>
  <c r="K17" i="5"/>
  <c r="L17" i="5" s="1"/>
  <c r="M17" i="5" s="1"/>
  <c r="O17" i="5" s="1"/>
  <c r="K3" i="5"/>
  <c r="L3" i="5" s="1"/>
  <c r="M3" i="5" s="1"/>
  <c r="O3" i="5" s="1"/>
  <c r="K9" i="5"/>
  <c r="L9" i="5" s="1"/>
  <c r="M9" i="5" s="1"/>
  <c r="O9" i="5" s="1"/>
  <c r="K12" i="5"/>
  <c r="L12" i="5" s="1"/>
  <c r="M12" i="5" s="1"/>
  <c r="O12" i="5" s="1"/>
  <c r="H43" i="4"/>
  <c r="H44" i="4" s="1"/>
  <c r="P42" i="4"/>
  <c r="P43" i="4" s="1"/>
  <c r="P44" i="4" s="1"/>
  <c r="S40" i="4"/>
  <c r="S41" i="4" s="1"/>
  <c r="S42" i="4" s="1"/>
  <c r="S43" i="4" s="1"/>
  <c r="S44" i="4" s="1"/>
  <c r="J22" i="4"/>
  <c r="J23" i="4" s="1"/>
  <c r="J24" i="4" s="1"/>
  <c r="I42" i="4"/>
  <c r="I43" i="4" s="1"/>
  <c r="I44" i="4" s="1"/>
  <c r="Q40" i="4"/>
  <c r="Q41" i="4" s="1"/>
  <c r="Q42" i="4" s="1"/>
  <c r="Q43" i="4" s="1"/>
  <c r="Q44" i="4" s="1"/>
  <c r="H22" i="4"/>
  <c r="H23" i="4" s="1"/>
  <c r="H24" i="4" s="1"/>
  <c r="N40" i="4"/>
  <c r="N41" i="4" s="1"/>
  <c r="N42" i="4" s="1"/>
  <c r="N43" i="4" s="1"/>
  <c r="N44" i="4" s="1"/>
  <c r="M40" i="4"/>
  <c r="M41" i="4" s="1"/>
  <c r="M42" i="4" s="1"/>
  <c r="M43" i="4" s="1"/>
  <c r="M44" i="4" s="1"/>
  <c r="L40" i="4"/>
  <c r="L41" i="4" s="1"/>
  <c r="L42" i="4" s="1"/>
  <c r="L43" i="4" s="1"/>
  <c r="L44" i="4" s="1"/>
  <c r="I15" i="3"/>
  <c r="I44" i="3"/>
  <c r="I30" i="3"/>
  <c r="AO30" i="2"/>
  <c r="F9" i="2"/>
  <c r="I45" i="4" l="1"/>
  <c r="C4" i="4" s="1"/>
  <c r="I9" i="2"/>
  <c r="I11" i="2" s="1"/>
  <c r="H9" i="2"/>
  <c r="C4" i="2"/>
  <c r="D6" i="2"/>
  <c r="C6" i="2"/>
  <c r="R46" i="4"/>
  <c r="D6" i="4" s="1"/>
  <c r="R45" i="4"/>
  <c r="C6" i="4" s="1"/>
  <c r="O46" i="4"/>
  <c r="D5" i="4" s="1"/>
  <c r="O45" i="4"/>
  <c r="C5" i="4" s="1"/>
  <c r="I25" i="4"/>
  <c r="C2" i="4" s="1"/>
  <c r="I26" i="4"/>
  <c r="D2" i="4" s="1"/>
  <c r="L45" i="4"/>
  <c r="C3" i="4" s="1"/>
  <c r="L46" i="4"/>
  <c r="D3" i="4" s="1"/>
  <c r="I46" i="4"/>
  <c r="D4" i="4" s="1"/>
  <c r="H11" i="2" l="1"/>
  <c r="C2" i="2"/>
  <c r="D2" i="2"/>
</calcChain>
</file>

<file path=xl/sharedStrings.xml><?xml version="1.0" encoding="utf-8"?>
<sst xmlns="http://schemas.openxmlformats.org/spreadsheetml/2006/main" count="318" uniqueCount="146">
  <si>
    <t>P3</t>
  </si>
  <si>
    <t>P2</t>
  </si>
  <si>
    <t>P1</t>
  </si>
  <si>
    <t>Std. Dev:</t>
  </si>
  <si>
    <t>Avg. gRNA/gDW (%)</t>
  </si>
  <si>
    <t>Utveide celler (mg):</t>
  </si>
  <si>
    <t>gDNA/gDW</t>
  </si>
  <si>
    <t>Replikat</t>
  </si>
  <si>
    <t>Glycerol</t>
  </si>
  <si>
    <t>Succinat</t>
  </si>
  <si>
    <t>gDNA/gDW (%)</t>
  </si>
  <si>
    <t>A260/A230</t>
  </si>
  <si>
    <t>A260/A280</t>
  </si>
  <si>
    <t>ng/uL</t>
  </si>
  <si>
    <t>Xylose</t>
  </si>
  <si>
    <t>P4</t>
  </si>
  <si>
    <t>Mannitol</t>
  </si>
  <si>
    <t>Avg. gDNA/gDW (%)</t>
  </si>
  <si>
    <t>Glukose</t>
  </si>
  <si>
    <t>Disodium succinate</t>
  </si>
  <si>
    <t>Glucose</t>
  </si>
  <si>
    <t>std. Dev</t>
  </si>
  <si>
    <t>Growth rate (1/h)</t>
  </si>
  <si>
    <t>C-source:</t>
  </si>
  <si>
    <t>gRNA/gDW (%)</t>
  </si>
  <si>
    <t>[RNA]nanogram/mikroL</t>
  </si>
  <si>
    <t>Succinate</t>
  </si>
  <si>
    <t>nanogram/mikroL</t>
  </si>
  <si>
    <t xml:space="preserve">Faktor: </t>
  </si>
  <si>
    <t>MDH glucose</t>
  </si>
  <si>
    <t>Std.avvik:</t>
  </si>
  <si>
    <t>Growth rate</t>
  </si>
  <si>
    <t>C-kilde:</t>
  </si>
  <si>
    <t>Analysedato</t>
  </si>
  <si>
    <t>Std. Avvik:</t>
  </si>
  <si>
    <t>Average gLipid/gDW (%)</t>
  </si>
  <si>
    <t>gLipid/gDW(%)</t>
  </si>
  <si>
    <t>Korrigert med blank:</t>
  </si>
  <si>
    <t>Korrigert for teoretisk utbytte:</t>
  </si>
  <si>
    <t>Ratio collected av mulig:</t>
  </si>
  <si>
    <t>Teoretisk vekt organic phase mg:</t>
  </si>
  <si>
    <t>Collected organic phase mg:</t>
  </si>
  <si>
    <t>Avg blank dried:</t>
  </si>
  <si>
    <t>2.Dried (mg)</t>
  </si>
  <si>
    <t>1.Dried (mg)</t>
  </si>
  <si>
    <t>2.Evaporated (mg)</t>
  </si>
  <si>
    <t>1. Evaporated (mg)</t>
  </si>
  <si>
    <t>Filled (mg)</t>
  </si>
  <si>
    <t>Empty (mg)</t>
  </si>
  <si>
    <t>Weight cells (mg):</t>
  </si>
  <si>
    <t xml:space="preserve">Replicate: </t>
  </si>
  <si>
    <t>Blank</t>
  </si>
  <si>
    <t>Weight organic phase (mg):</t>
  </si>
  <si>
    <t>Weight organic phase (g):</t>
  </si>
  <si>
    <t>ml</t>
  </si>
  <si>
    <t>Sample size (organic phase):</t>
  </si>
  <si>
    <t>g/ml</t>
  </si>
  <si>
    <t>Density Chloroform:</t>
  </si>
  <si>
    <t>std dev:</t>
  </si>
  <si>
    <t>Avg lipid content:</t>
  </si>
  <si>
    <t>MDH glucose_methanol</t>
  </si>
  <si>
    <t>Glucose_methanol</t>
  </si>
  <si>
    <t>Sample loss after boiling (mg):</t>
  </si>
  <si>
    <t>Weight total sample after 24 hours (mg):</t>
  </si>
  <si>
    <t>Weight total sample (mg):</t>
  </si>
  <si>
    <t>HCl added (microL):</t>
  </si>
  <si>
    <t>cDW (g)</t>
  </si>
  <si>
    <t>Replicate:</t>
  </si>
  <si>
    <t xml:space="preserve">Replicate 1 </t>
  </si>
  <si>
    <t>OD500nm</t>
  </si>
  <si>
    <t>Konsentrasjon (ug/mL):</t>
  </si>
  <si>
    <t>Replicate 2</t>
  </si>
  <si>
    <t>Replicate 3</t>
  </si>
  <si>
    <t>Average:</t>
  </si>
  <si>
    <t>Standard deviation:</t>
  </si>
  <si>
    <t>Equation:</t>
  </si>
  <si>
    <t xml:space="preserve">Y = </t>
  </si>
  <si>
    <t>x       +</t>
  </si>
  <si>
    <t>TEST:</t>
  </si>
  <si>
    <t>Supernatant extrahert</t>
  </si>
  <si>
    <t>Minutes:</t>
  </si>
  <si>
    <t>Time (h):</t>
  </si>
  <si>
    <t>Cells (mg):</t>
  </si>
  <si>
    <t>OD (ikke korrigert):</t>
  </si>
  <si>
    <t>Fortynningsfaktor:</t>
  </si>
  <si>
    <t>Korrigert OD:</t>
  </si>
  <si>
    <t>ug/ml:</t>
  </si>
  <si>
    <t xml:space="preserve">ug: </t>
  </si>
  <si>
    <t>mg:</t>
  </si>
  <si>
    <t>g/gDW (%):</t>
  </si>
  <si>
    <t>Sample analysis:</t>
  </si>
  <si>
    <t>Weight (mg):</t>
  </si>
  <si>
    <t>Absorbance (OD595nm):</t>
  </si>
  <si>
    <t>Corrected OD:</t>
  </si>
  <si>
    <t>Protein (ug/mL):</t>
  </si>
  <si>
    <t>Protein (ug), corrected for lysoxyme:</t>
  </si>
  <si>
    <t xml:space="preserve">Average: </t>
  </si>
  <si>
    <t xml:space="preserve">Fortynningsfaktor: </t>
  </si>
  <si>
    <t>Relative std. Dev:</t>
  </si>
  <si>
    <t>Glucose:</t>
  </si>
  <si>
    <t>Xylose:</t>
  </si>
  <si>
    <t>Glycerol:</t>
  </si>
  <si>
    <t>Succinate:</t>
  </si>
  <si>
    <t>Mannitol:</t>
  </si>
  <si>
    <t>Control:</t>
  </si>
  <si>
    <t>-</t>
  </si>
  <si>
    <t>Blank:</t>
  </si>
  <si>
    <t>Lysozyme:</t>
  </si>
  <si>
    <t>Volume (mL):</t>
  </si>
  <si>
    <t>Concentration (50 ug/mL):</t>
  </si>
  <si>
    <t>Lysozyme (ug):</t>
  </si>
  <si>
    <t xml:space="preserve">Tetthet HCl, 6M: </t>
  </si>
  <si>
    <t>HCl (mL):</t>
  </si>
  <si>
    <t xml:space="preserve">HCl (g): </t>
  </si>
  <si>
    <t>HCl (mg):</t>
  </si>
  <si>
    <t xml:space="preserve">Weight HCl after boil (mg): </t>
  </si>
  <si>
    <t>Weight HCl After boil (g):</t>
  </si>
  <si>
    <t xml:space="preserve">Ml of HCl after boil: </t>
  </si>
  <si>
    <t xml:space="preserve">mL of NaOH added: </t>
  </si>
  <si>
    <t>Total volume:</t>
  </si>
  <si>
    <t>Asp</t>
  </si>
  <si>
    <t>Glu</t>
  </si>
  <si>
    <t>Asn</t>
  </si>
  <si>
    <t>His</t>
  </si>
  <si>
    <t>Ser</t>
  </si>
  <si>
    <t>Gln</t>
  </si>
  <si>
    <t>Thr</t>
  </si>
  <si>
    <t>Ala</t>
  </si>
  <si>
    <t>Tyr</t>
  </si>
  <si>
    <t>Met</t>
  </si>
  <si>
    <t>Val</t>
  </si>
  <si>
    <t>Phe</t>
  </si>
  <si>
    <t>Ile</t>
  </si>
  <si>
    <t>Leu</t>
  </si>
  <si>
    <t>Lys</t>
  </si>
  <si>
    <t>Arg</t>
  </si>
  <si>
    <t>Cys</t>
  </si>
  <si>
    <t>Gly</t>
  </si>
  <si>
    <t>Pro</t>
  </si>
  <si>
    <t>Trp</t>
  </si>
  <si>
    <t>Aminoacids:</t>
  </si>
  <si>
    <t>g/gDW:</t>
  </si>
  <si>
    <t>mmol/gDW:</t>
  </si>
  <si>
    <t>Sum (g/gDW):</t>
  </si>
  <si>
    <t>g/gDW (%)</t>
  </si>
  <si>
    <t>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</si>
</sst>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/>
    <xf numFmtId="165" fontId="1" fillId="0" borderId="0" xfId="0" applyNumberFormat="1" applyFont="1"/>
    <xf numFmtId="0" fontId="0" fillId="2" borderId="0" xfId="0" applyFill="1" applyAlignment="1">
      <alignment vertical="center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center"/>
    </xf>
    <xf numFmtId="164" fontId="1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 applyAlignment="1">
      <alignment horizontal="center" vertical="center"/>
    </xf>
    <xf numFmtId="167" fontId="1" fillId="0" borderId="0" xfId="0" applyNumberFormat="1" applyFont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6" fontId="0" fillId="2" borderId="0" xfId="0" applyNumberFormat="1" applyFill="1" applyAlignment="1">
      <alignment vertic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4" borderId="8" xfId="0" applyFill="1" applyBorder="1" applyAlignment="1">
      <alignment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2" xfId="0" applyFill="1" applyBorder="1"/>
    <xf numFmtId="0" fontId="0" fillId="0" borderId="3" xfId="0" applyBorder="1" applyAlignment="1">
      <alignment wrapText="1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horizontal="left"/>
    </xf>
    <xf numFmtId="166" fontId="0" fillId="4" borderId="0" xfId="0" applyNumberFormat="1" applyFill="1"/>
    <xf numFmtId="2" fontId="0" fillId="4" borderId="0" xfId="0" applyNumberFormat="1" applyFill="1"/>
    <xf numFmtId="0" fontId="2" fillId="0" borderId="0" xfId="0" applyFont="1"/>
    <xf numFmtId="165" fontId="3" fillId="0" borderId="0" xfId="1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/>
    <xf numFmtId="164" fontId="0" fillId="0" borderId="0" xfId="0" applyNumberFormat="1" applyAlignment="1">
      <alignment vertical="center"/>
    </xf>
    <xf numFmtId="164" fontId="0" fillId="2" borderId="0" xfId="0" applyNumberFormat="1" applyFill="1" applyAlignment="1">
      <alignment vertical="center"/>
    </xf>
    <xf numFmtId="164" fontId="1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 wrapText="1"/>
    </xf>
    <xf numFmtId="164" fontId="0" fillId="3" borderId="0" xfId="0" applyNumberFormat="1" applyFill="1"/>
    <xf numFmtId="2" fontId="1" fillId="0" borderId="0" xfId="0" applyNumberFormat="1" applyFont="1"/>
    <xf numFmtId="2" fontId="1" fillId="2" borderId="0" xfId="0" applyNumberFormat="1" applyFont="1" applyFill="1"/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4" borderId="15" xfId="0" applyFill="1" applyBorder="1" applyAlignment="1">
      <alignment wrapText="1"/>
    </xf>
    <xf numFmtId="0" fontId="0" fillId="0" borderId="16" xfId="0" applyBorder="1" applyAlignment="1">
      <alignment wrapText="1"/>
    </xf>
    <xf numFmtId="0" fontId="0" fillId="4" borderId="16" xfId="0" applyFill="1" applyBorder="1" applyAlignment="1">
      <alignment wrapText="1"/>
    </xf>
    <xf numFmtId="0" fontId="0" fillId="0" borderId="17" xfId="0" applyBorder="1" applyAlignment="1">
      <alignment wrapText="1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16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3">
    <cellStyle name="Normal" xfId="0" builtinId="0"/>
    <cellStyle name="Normal 2" xfId="1" xr:uid="{E71D5ACB-9675-4B73-85E7-731A17BD3717}"/>
    <cellStyle name="Normal 3" xfId="2" xr:uid="{F2B7FE65-560E-4519-8129-B172864641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AE3-41CB-A0F3-CE4A62CE8C5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AE3-41CB-A0F3-CE4A62CE8C5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AE3-41CB-A0F3-CE4A62CE8C5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AE3-41CB-A0F3-CE4A62CE8C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6B96F3C-25D5-4A26-81A0-1881ECF7AA54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E3-41CB-A0F3-CE4A62CE8C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8E7671-85EF-43A1-998A-8C1A9519D861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AE3-41CB-A0F3-CE4A62CE8C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5C3DD6-C7A8-469C-9311-DC524F1EEC55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E3-41CB-A0F3-CE4A62CE8C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69CDFD-68B9-4736-8BFF-6B076536DF75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AE3-41CB-A0F3-CE4A62CE8C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0615E2E-B5BF-4C83-A267-76FA11B74005}" type="CELLRANGE">
                      <a:rPr lang="nb-NO"/>
                      <a:pPr/>
                      <a:t>[CELLRANGE]</a:t>
                    </a:fld>
                    <a:endParaRPr lang="nb-N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E3-41CB-A0F3-CE4A62CE8C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RNA!$D$6:$D$10</c:f>
              <c:numCache>
                <c:formatCode>General</c:formatCode>
                <c:ptCount val="5"/>
                <c:pt idx="0">
                  <c:v>0.3569</c:v>
                </c:pt>
                <c:pt idx="1">
                  <c:v>0.41060000000000002</c:v>
                </c:pt>
                <c:pt idx="2">
                  <c:v>0.30309999999999998</c:v>
                </c:pt>
                <c:pt idx="3">
                  <c:v>9.11E-2</c:v>
                </c:pt>
                <c:pt idx="4">
                  <c:v>0.15579999999999999</c:v>
                </c:pt>
              </c:numCache>
            </c:numRef>
          </c:xVal>
          <c:yVal>
            <c:numRef>
              <c:f>RNA!$E$6:$E$10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RNA!$C$6:$C$10</c15:f>
                <c15:dlblRangeCache>
                  <c:ptCount val="5"/>
                  <c:pt idx="0">
                    <c:v>Glucose</c:v>
                  </c:pt>
                  <c:pt idx="1">
                    <c:v>Mannitol</c:v>
                  </c:pt>
                  <c:pt idx="2">
                    <c:v>Glycerol</c:v>
                  </c:pt>
                  <c:pt idx="3">
                    <c:v>Xylose</c:v>
                  </c:pt>
                  <c:pt idx="4">
                    <c:v>Succinate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AAE3-41CB-A0F3-CE4A62CE8C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50945104"/>
        <c:axId val="1050938448"/>
      </c:scatterChart>
      <c:valAx>
        <c:axId val="10509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Growth rate (mg/h)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38448"/>
        <c:crosses val="autoZero"/>
        <c:crossBetween val="midCat"/>
      </c:valAx>
      <c:valAx>
        <c:axId val="105093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 gRNA/gDW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5094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B98-4B6B-AB77-9558991A70C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B98-4B6B-AB77-9558991A70C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B98-4B6B-AB77-9558991A70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B98-4B6B-AB77-9558991A70C6}"/>
              </c:ext>
            </c:extLst>
          </c:dPt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RNA!$F$6:$F$11</c15:sqref>
                    </c15:fullRef>
                  </c:ext>
                </c:extLst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RNA!$F$6:$F$11</c15:sqref>
                    </c15:fullRef>
                  </c:ext>
                </c:extLst>
                <c:f>RNA!$F$6:$F$10</c:f>
                <c:numCache>
                  <c:formatCode>General</c:formatCode>
                  <c:ptCount val="5"/>
                  <c:pt idx="0">
                    <c:v>0.21895266659399534</c:v>
                  </c:pt>
                  <c:pt idx="1">
                    <c:v>0.15793123151361818</c:v>
                  </c:pt>
                  <c:pt idx="2">
                    <c:v>0.21927503856694849</c:v>
                  </c:pt>
                  <c:pt idx="3">
                    <c:v>0.23425515561855062</c:v>
                  </c:pt>
                  <c:pt idx="4">
                    <c:v>0.34442007855656182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RNA!$C$6:$C$11</c15:sqref>
                  </c15:fullRef>
                </c:ext>
              </c:extLst>
              <c:f>RNA!$C$6:$C$10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RNA!$E$6:$E$11</c15:sqref>
                  </c15:fullRef>
                </c:ext>
              </c:extLst>
              <c:f>RNA!$E$6:$E$10</c:f>
              <c:numCache>
                <c:formatCode>0.00</c:formatCode>
                <c:ptCount val="5"/>
                <c:pt idx="0">
                  <c:v>6.8814914706582755</c:v>
                </c:pt>
                <c:pt idx="1">
                  <c:v>8.6983034855135504</c:v>
                </c:pt>
                <c:pt idx="2">
                  <c:v>7.6221570241011625</c:v>
                </c:pt>
                <c:pt idx="3">
                  <c:v>6.2300813071273922</c:v>
                </c:pt>
                <c:pt idx="4">
                  <c:v>4.7651631713110607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RNA!$E$11</c15:sqref>
                  <c15:spPr xmlns:c15="http://schemas.microsoft.com/office/drawing/2012/chart">
                    <a:solidFill>
                      <a:schemeClr val="accent6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E-0B98-4B6B-AB77-9558991A7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117104"/>
        <c:axId val="1008120848"/>
      </c:barChart>
      <c:catAx>
        <c:axId val="100811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Carbon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20848"/>
        <c:crosses val="autoZero"/>
        <c:auto val="1"/>
        <c:lblAlgn val="ctr"/>
        <c:lblOffset val="100"/>
        <c:noMultiLvlLbl val="0"/>
      </c:catAx>
      <c:valAx>
        <c:axId val="10081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Avg. gRNA/gDW (%)</a:t>
                </a:r>
              </a:p>
            </c:rich>
          </c:tx>
          <c:layout>
            <c:manualLayout>
              <c:xMode val="edge"/>
              <c:yMode val="edge"/>
              <c:x val="3.6076423456361729E-2"/>
              <c:y val="0.29347586759988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081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'Lipid '!$B$2:$B$7</c15:sqref>
                  </c15:fullRef>
                </c:ext>
              </c:extLst>
              <c:f>'Lipid '!$B$2:$B$6</c:f>
              <c:strCache>
                <c:ptCount val="5"/>
                <c:pt idx="0">
                  <c:v>Glucose</c:v>
                </c:pt>
                <c:pt idx="1">
                  <c:v>Mannitol</c:v>
                </c:pt>
                <c:pt idx="2">
                  <c:v>Glycerol</c:v>
                </c:pt>
                <c:pt idx="3">
                  <c:v>Xylose</c:v>
                </c:pt>
                <c:pt idx="4">
                  <c:v>Succinate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'Lipid '!$C$2:$C$7</c15:sqref>
                  </c15:fullRef>
                </c:ext>
              </c:extLst>
              <c:f>'Lipid '!$C$2:$C$6</c:f>
              <c:numCache>
                <c:formatCode>0.0</c:formatCode>
                <c:ptCount val="5"/>
                <c:pt idx="0">
                  <c:v>3.0682709121898384</c:v>
                </c:pt>
                <c:pt idx="1">
                  <c:v>3.2562276991425301</c:v>
                </c:pt>
                <c:pt idx="2">
                  <c:v>2.92138628123528</c:v>
                </c:pt>
                <c:pt idx="3">
                  <c:v>3.2782564787632396</c:v>
                </c:pt>
                <c:pt idx="4">
                  <c:v>3.5830426870555656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C-41E2-A240-FF2916C6B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291583"/>
        <c:axId val="560288671"/>
      </c:barChart>
      <c:catAx>
        <c:axId val="56029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88671"/>
        <c:crosses val="autoZero"/>
        <c:auto val="1"/>
        <c:lblAlgn val="ctr"/>
        <c:lblOffset val="100"/>
        <c:noMultiLvlLbl val="0"/>
      </c:catAx>
      <c:valAx>
        <c:axId val="56028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029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Standard</a:t>
            </a:r>
            <a:r>
              <a:rPr lang="nb-NO" baseline="0"/>
              <a:t> curve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'Proteins - Bradford '!$B$4:$B$9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'Proteins - Bradford '!$F$4:$F$9</c:f>
              <c:numCache>
                <c:formatCode>0.000</c:formatCode>
                <c:ptCount val="6"/>
                <c:pt idx="0">
                  <c:v>-1.6666666666666663E-2</c:v>
                </c:pt>
                <c:pt idx="1">
                  <c:v>0.11199999999999999</c:v>
                </c:pt>
                <c:pt idx="2">
                  <c:v>0.18900000000000003</c:v>
                </c:pt>
                <c:pt idx="3">
                  <c:v>0.26299999999999996</c:v>
                </c:pt>
                <c:pt idx="4">
                  <c:v>0.33166666666666672</c:v>
                </c:pt>
                <c:pt idx="5">
                  <c:v>0.37399999999999994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EE-4169-B3E2-19BB20577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406015"/>
        <c:axId val="545730143"/>
      </c:scatterChart>
      <c:valAx>
        <c:axId val="10144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45730143"/>
        <c:crosses val="autoZero"/>
        <c:crossBetween val="midCat"/>
      </c:valAx>
      <c:valAx>
        <c:axId val="5457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01440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'Proteins - Bradford '!$V$29:$V$36</c15:sqref>
                    </c15:fullRef>
                  </c:ext>
                </c:extLst>
                <c:f>'Proteins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'Proteins - Bradford '!$V$29:$V$36</c15:sqref>
                    </c15:fullRef>
                  </c:ext>
                </c:extLst>
                <c:f>'Proteins - Bradford '!$V$29:$V$33</c:f>
                <c:numCache>
                  <c:formatCode>General</c:formatCode>
                  <c:ptCount val="5"/>
                  <c:pt idx="0">
                    <c:v>1.5890732074946985</c:v>
                  </c:pt>
                  <c:pt idx="1">
                    <c:v>0.58910571220519459</c:v>
                  </c:pt>
                  <c:pt idx="2">
                    <c:v>2.7190021731050509</c:v>
                  </c:pt>
                  <c:pt idx="3">
                    <c:v>2.0831553000430429</c:v>
                  </c:pt>
                  <c:pt idx="4">
                    <c:v>1.4191035333146498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'Proteins - Bradford '!$A$29:$A$36</c15:sqref>
                  </c15:fullRef>
                </c:ext>
              </c:extLst>
              <c:f>'Proteins - Bradford '!$A$29:$A$33</c:f>
              <c:strCache>
                <c:ptCount val="5"/>
                <c:pt idx="0">
                  <c:v>Glucose:</c:v>
                </c:pt>
                <c:pt idx="1">
                  <c:v>Xylose:</c:v>
                </c:pt>
                <c:pt idx="2">
                  <c:v>Glycerol:</c:v>
                </c:pt>
                <c:pt idx="3">
                  <c:v>Succinate:</c:v>
                </c:pt>
                <c:pt idx="4">
                  <c:v>Mannitol: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'Proteins - Bradford '!$U$29:$U$36</c15:sqref>
                  </c15:fullRef>
                </c:ext>
              </c:extLst>
              <c:f>'Proteins - Bradford '!$U$29:$U$33</c:f>
              <c:numCache>
                <c:formatCode>0.0</c:formatCode>
                <c:ptCount val="5"/>
                <c:pt idx="0">
                  <c:v>42.320413980414678</c:v>
                </c:pt>
                <c:pt idx="1">
                  <c:v>43.442361472969537</c:v>
                </c:pt>
                <c:pt idx="2">
                  <c:v>44.394647458140945</c:v>
                </c:pt>
                <c:pt idx="3">
                  <c:v>46.173294860718272</c:v>
                </c:pt>
                <c:pt idx="4">
                  <c:v>42.547370156494864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0-4C97-8B47-5CB83564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1724096"/>
        <c:axId val="323590192"/>
      </c:barChart>
      <c:catAx>
        <c:axId val="21417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23590192"/>
        <c:crosses val="autoZero"/>
        <c:auto val="1"/>
        <c:lblAlgn val="ctr"/>
        <c:lblOffset val="100"/>
        <c:noMultiLvlLbl val="0"/>
      </c:catAx>
      <c:valAx>
        <c:axId val="3235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417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480438</xdr:colOff>
      <xdr:row>13</xdr:row>
      <xdr:rowOff>303068</xdr:rowOff>
    </xdr:from>
    <xdr:to>
      <xdr:col>25</xdr:col>
      <xdr:colOff>411307</xdr:colOff>
      <xdr:row>28</xdr:row>
      <xdr:rowOff>216477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F513C17-EB89-4652-A269-47CA17C43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443778</xdr:colOff>
      <xdr:row>0</xdr:row>
      <xdr:rowOff>119064</xdr:rowOff>
    </xdr:from>
    <xdr:to>
      <xdr:col>25</xdr:col>
      <xdr:colOff>378835</xdr:colOff>
      <xdr:row>13</xdr:row>
      <xdr:rowOff>75767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D7CD178-0866-4FAF-A8A9-CA8A3DB5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373425</xdr:colOff>
      <xdr:row>7</xdr:row>
      <xdr:rowOff>160662</xdr:rowOff>
    </xdr:from>
    <xdr:to>
      <xdr:col>15</xdr:col>
      <xdr:colOff>298375</xdr:colOff>
      <xdr:row>23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6AF513B-13E4-4A13-B2D6-0BE6A66A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0</xdr:row>
      <xdr:rowOff>95250</xdr:rowOff>
    </xdr:from>
    <xdr:to>
      <xdr:col>14</xdr:col>
      <xdr:colOff>342900</xdr:colOff>
      <xdr:row>13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96242F-152B-4301-8BE3-7C8279436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35</xdr:row>
      <xdr:rowOff>166687</xdr:rowOff>
    </xdr:from>
    <xdr:to>
      <xdr:col>16</xdr:col>
      <xdr:colOff>276225</xdr:colOff>
      <xdr:row>50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2638A5-E733-409B-A90B-08E97F08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8BCAB-9A7D-432E-8A24-859506550822}">
  <dimension ref="A1:AP84"/>
  <sheetViews>
    <sheetView zoomScaleNormal="100" workbookViewId="0">
      <selection activeCell="E2" sqref="E2"/>
    </sheetView>
  </sheetViews>
  <sheetFormatPr defaultColWidth="11.42578125" defaultRowHeight="15" x14ac:dyDescent="0.25"/>
  <cols>
    <col min="1" max="1" width="15" customWidth="1"/>
    <col min="6" max="6" width="12" bestFit="1" customWidth="1"/>
  </cols>
  <sheetData>
    <row r="1" spans="1:21" x14ac:dyDescent="0.25">
      <c r="A1" t="s">
        <v>23</v>
      </c>
      <c r="B1" t="s">
        <v>22</v>
      </c>
      <c r="C1" t="s">
        <v>17</v>
      </c>
      <c r="D1" t="s">
        <v>21</v>
      </c>
      <c r="E1" t="s">
        <v>145</v>
      </c>
    </row>
    <row r="2" spans="1:21" x14ac:dyDescent="0.25">
      <c r="A2" t="s">
        <v>20</v>
      </c>
      <c r="B2">
        <v>0.35670000000000002</v>
      </c>
      <c r="C2" s="17">
        <f>H9</f>
        <v>2.3126896002593376</v>
      </c>
      <c r="D2">
        <f>I9</f>
        <v>0.15666128226073267</v>
      </c>
      <c r="E2">
        <f>(51/1000000000)/(1/1000)</f>
        <v>5.1E-5</v>
      </c>
    </row>
    <row r="3" spans="1:21" x14ac:dyDescent="0.25">
      <c r="A3" s="34" t="s">
        <v>16</v>
      </c>
      <c r="B3">
        <v>0.41060000000000002</v>
      </c>
      <c r="C3" s="17">
        <f>R22</f>
        <v>4.6828058829103298</v>
      </c>
      <c r="D3">
        <f>S22</f>
        <v>0.19648334942942056</v>
      </c>
    </row>
    <row r="4" spans="1:21" x14ac:dyDescent="0.25">
      <c r="A4" s="34" t="s">
        <v>8</v>
      </c>
      <c r="B4">
        <v>0.30309999999999998</v>
      </c>
      <c r="C4" s="17">
        <f>R9</f>
        <v>2.3800799472329266</v>
      </c>
      <c r="D4">
        <f>S9</f>
        <v>0.13569117957633539</v>
      </c>
    </row>
    <row r="5" spans="1:21" x14ac:dyDescent="0.25">
      <c r="A5" s="34" t="s">
        <v>14</v>
      </c>
      <c r="B5">
        <v>9.11E-2</v>
      </c>
      <c r="C5" s="17">
        <f>H22</f>
        <v>1.4085555087757788</v>
      </c>
      <c r="D5">
        <f>I22</f>
        <v>3.2577988058367049E-2</v>
      </c>
    </row>
    <row r="6" spans="1:21" ht="30" x14ac:dyDescent="0.25">
      <c r="A6" s="34" t="s">
        <v>19</v>
      </c>
      <c r="B6">
        <v>0.15579999999999999</v>
      </c>
      <c r="C6" s="17">
        <f>H34</f>
        <v>2.7356383211247595</v>
      </c>
      <c r="D6">
        <f>I34</f>
        <v>8.7161586281371231E-2</v>
      </c>
    </row>
    <row r="7" spans="1:21" x14ac:dyDescent="0.25">
      <c r="A7" s="34"/>
      <c r="C7" s="17"/>
    </row>
    <row r="8" spans="1:21" ht="45" x14ac:dyDescent="0.25">
      <c r="A8" s="25" t="s">
        <v>18</v>
      </c>
      <c r="B8" s="25" t="s">
        <v>7</v>
      </c>
      <c r="C8" s="25" t="s">
        <v>13</v>
      </c>
      <c r="D8" s="25" t="s">
        <v>12</v>
      </c>
      <c r="E8" s="25" t="s">
        <v>11</v>
      </c>
      <c r="F8" s="24" t="s">
        <v>10</v>
      </c>
      <c r="G8" s="24" t="s">
        <v>5</v>
      </c>
      <c r="H8" s="24" t="s">
        <v>17</v>
      </c>
      <c r="I8" s="24" t="s">
        <v>3</v>
      </c>
      <c r="K8" s="15" t="s">
        <v>8</v>
      </c>
      <c r="L8" s="15" t="s">
        <v>7</v>
      </c>
      <c r="M8" s="15"/>
      <c r="N8" s="15"/>
      <c r="O8" s="15"/>
      <c r="P8" s="15" t="s">
        <v>6</v>
      </c>
      <c r="Q8" s="14" t="s">
        <v>5</v>
      </c>
      <c r="R8" s="13" t="s">
        <v>4</v>
      </c>
      <c r="S8" s="13" t="s">
        <v>3</v>
      </c>
    </row>
    <row r="9" spans="1:21" x14ac:dyDescent="0.25">
      <c r="A9" s="3" t="s">
        <v>2</v>
      </c>
      <c r="B9" s="3">
        <v>1</v>
      </c>
      <c r="C9" s="3">
        <v>4836.2</v>
      </c>
      <c r="D9" s="3">
        <v>1.97</v>
      </c>
      <c r="E9" s="3">
        <v>2.23</v>
      </c>
      <c r="F9" s="83">
        <f>(C9/$G$9)*E2*100</f>
        <v>2.4348094768015796</v>
      </c>
      <c r="G9" s="30">
        <v>10.130000000000001</v>
      </c>
      <c r="H9" s="29">
        <f>AVERAGE(F9:F18)</f>
        <v>2.3126896002593376</v>
      </c>
      <c r="I9" s="33">
        <f>_xlfn.STDEV.S(F9:F20)</f>
        <v>0.15666128226073267</v>
      </c>
      <c r="K9" s="1" t="s">
        <v>2</v>
      </c>
      <c r="L9" s="3">
        <v>1</v>
      </c>
      <c r="M9">
        <v>4837.2</v>
      </c>
      <c r="N9">
        <v>1.97</v>
      </c>
      <c r="O9">
        <v>2.2200000000000002</v>
      </c>
      <c r="P9" s="4">
        <f t="shared" ref="P9:P17" si="0">M9/Q9*$E$2*100</f>
        <v>2.4969352226720645</v>
      </c>
      <c r="Q9" s="1">
        <v>9.8800000000000008</v>
      </c>
      <c r="R9" s="11">
        <f>AVERAGE(P9:P17)</f>
        <v>2.3800799472329266</v>
      </c>
      <c r="S9">
        <f>_xlfn.STDEV.S(P9:P17)</f>
        <v>0.13569117957633539</v>
      </c>
    </row>
    <row r="10" spans="1:21" x14ac:dyDescent="0.25">
      <c r="A10" s="3"/>
      <c r="B10" s="3">
        <v>2</v>
      </c>
      <c r="C10" s="3">
        <v>4890.5</v>
      </c>
      <c r="D10" s="3">
        <v>1.97</v>
      </c>
      <c r="E10" s="3">
        <v>2.2599999999999998</v>
      </c>
      <c r="F10" s="83">
        <f>(C10/$G$9)*E2*100</f>
        <v>2.4621470878578475</v>
      </c>
      <c r="G10" s="30">
        <v>10.130000000000001</v>
      </c>
      <c r="H10" s="3"/>
      <c r="I10" s="3"/>
      <c r="K10" s="1"/>
      <c r="L10" s="3">
        <v>2</v>
      </c>
      <c r="M10">
        <v>4916.8</v>
      </c>
      <c r="N10">
        <v>1.97</v>
      </c>
      <c r="O10">
        <v>2.23</v>
      </c>
      <c r="P10" s="4">
        <f t="shared" si="0"/>
        <v>2.5380242914979756</v>
      </c>
      <c r="Q10" s="1">
        <v>9.8800000000000008</v>
      </c>
    </row>
    <row r="11" spans="1:21" x14ac:dyDescent="0.25">
      <c r="A11" s="3"/>
      <c r="B11" s="3">
        <v>3</v>
      </c>
      <c r="C11" s="3">
        <v>4823.3</v>
      </c>
      <c r="D11" s="3">
        <v>1.96</v>
      </c>
      <c r="E11" s="3">
        <v>2.23</v>
      </c>
      <c r="F11" s="83">
        <f>(C11/$G$9)*$E$2*100</f>
        <v>2.4283149062191511</v>
      </c>
      <c r="G11" s="30">
        <v>10.130000000000001</v>
      </c>
      <c r="H11" s="3">
        <f>H9/100</f>
        <v>2.3126896002593374E-2</v>
      </c>
      <c r="I11" s="3">
        <f>I9/100</f>
        <v>1.5666128226073267E-3</v>
      </c>
      <c r="K11" s="1"/>
      <c r="L11" s="3">
        <v>3</v>
      </c>
      <c r="M11">
        <v>5066.8999999999996</v>
      </c>
      <c r="N11">
        <v>1.97</v>
      </c>
      <c r="O11">
        <v>2.23</v>
      </c>
      <c r="P11" s="4">
        <f t="shared" si="0"/>
        <v>2.615505060728744</v>
      </c>
      <c r="Q11" s="1">
        <v>9.8800000000000008</v>
      </c>
    </row>
    <row r="12" spans="1:21" ht="15" customHeight="1" x14ac:dyDescent="0.25">
      <c r="A12" s="9" t="s">
        <v>1</v>
      </c>
      <c r="B12" s="9">
        <v>1</v>
      </c>
      <c r="C12" s="9">
        <v>4378.7</v>
      </c>
      <c r="D12" s="9">
        <v>1.96</v>
      </c>
      <c r="E12" s="9">
        <v>2.2400000000000002</v>
      </c>
      <c r="F12" s="84">
        <f>(C12/$G$12)*$E$2*100</f>
        <v>2.1207378917378916</v>
      </c>
      <c r="G12" s="32">
        <v>10.53</v>
      </c>
      <c r="H12" s="3"/>
      <c r="I12" s="3"/>
      <c r="K12" s="6" t="s">
        <v>1</v>
      </c>
      <c r="L12" s="9">
        <v>1</v>
      </c>
      <c r="M12" s="7">
        <v>4793.8999999999996</v>
      </c>
      <c r="N12" s="7">
        <v>1.98</v>
      </c>
      <c r="O12" s="7">
        <v>2.27</v>
      </c>
      <c r="P12" s="10">
        <f t="shared" si="0"/>
        <v>2.3599314671814668</v>
      </c>
      <c r="Q12" s="6">
        <v>10.36</v>
      </c>
    </row>
    <row r="13" spans="1:21" x14ac:dyDescent="0.25">
      <c r="A13" s="9"/>
      <c r="B13" s="9">
        <v>2</v>
      </c>
      <c r="C13" s="9">
        <v>4425</v>
      </c>
      <c r="D13" s="9">
        <v>1.96</v>
      </c>
      <c r="E13" s="9">
        <v>2.2599999999999998</v>
      </c>
      <c r="F13" s="84">
        <f>(C13/$G$12)*$E$2*100</f>
        <v>2.1431623931623935</v>
      </c>
      <c r="G13" s="32">
        <v>10.53</v>
      </c>
      <c r="H13" s="3"/>
      <c r="I13" s="3"/>
      <c r="J13" s="3"/>
      <c r="K13" s="6"/>
      <c r="L13" s="9">
        <v>2</v>
      </c>
      <c r="M13" s="7">
        <v>4700.3999999999996</v>
      </c>
      <c r="N13" s="7">
        <v>1.97</v>
      </c>
      <c r="O13" s="7">
        <v>2.27</v>
      </c>
      <c r="P13" s="10">
        <f t="shared" si="0"/>
        <v>2.313903474903475</v>
      </c>
      <c r="Q13" s="6">
        <v>10.36</v>
      </c>
      <c r="T13" s="33"/>
      <c r="U13" s="3"/>
    </row>
    <row r="14" spans="1:21" x14ac:dyDescent="0.25">
      <c r="A14" s="9"/>
      <c r="B14" s="9">
        <v>3</v>
      </c>
      <c r="C14" s="9">
        <v>4434.5</v>
      </c>
      <c r="D14" s="9">
        <v>1.95</v>
      </c>
      <c r="E14" s="9">
        <v>2.23</v>
      </c>
      <c r="F14" s="84">
        <f>(C14/$G$12)*$E$2*100</f>
        <v>2.1477635327635327</v>
      </c>
      <c r="G14" s="32">
        <v>10.53</v>
      </c>
      <c r="H14" s="3"/>
      <c r="I14" s="3"/>
      <c r="J14" s="3"/>
      <c r="K14" s="6"/>
      <c r="L14" s="9">
        <v>3</v>
      </c>
      <c r="M14" s="7">
        <v>4723</v>
      </c>
      <c r="N14" s="7">
        <v>1.97</v>
      </c>
      <c r="O14" s="7">
        <v>2.2799999999999998</v>
      </c>
      <c r="P14" s="10">
        <f t="shared" si="0"/>
        <v>2.3250289575289576</v>
      </c>
      <c r="Q14" s="6">
        <v>10.36</v>
      </c>
      <c r="T14" s="3"/>
      <c r="U14" s="3"/>
    </row>
    <row r="15" spans="1:21" x14ac:dyDescent="0.25">
      <c r="A15" s="9"/>
      <c r="B15" s="9">
        <v>4</v>
      </c>
      <c r="C15" s="9">
        <v>4365.2</v>
      </c>
      <c r="D15" s="9">
        <v>1.96</v>
      </c>
      <c r="E15" s="9">
        <v>2.2599999999999998</v>
      </c>
      <c r="F15" s="84">
        <f>(C15/$G$12)*$E$2*100</f>
        <v>2.11419943019943</v>
      </c>
      <c r="G15" s="32">
        <v>10.53</v>
      </c>
      <c r="H15" s="3"/>
      <c r="I15" s="3"/>
      <c r="J15" s="3"/>
      <c r="K15" s="1" t="s">
        <v>0</v>
      </c>
      <c r="L15" s="3">
        <v>1</v>
      </c>
      <c r="M15">
        <v>4538.7</v>
      </c>
      <c r="N15">
        <v>1.99</v>
      </c>
      <c r="O15">
        <v>2.29</v>
      </c>
      <c r="P15" s="4">
        <f t="shared" si="0"/>
        <v>2.2516896887159534</v>
      </c>
      <c r="Q15" s="1">
        <v>10.28</v>
      </c>
      <c r="T15" s="3"/>
      <c r="U15" s="3"/>
    </row>
    <row r="16" spans="1:21" x14ac:dyDescent="0.25">
      <c r="A16" s="3" t="s">
        <v>0</v>
      </c>
      <c r="B16" s="3">
        <v>1</v>
      </c>
      <c r="C16" s="3">
        <v>4731.7</v>
      </c>
      <c r="D16" s="3">
        <v>1.95</v>
      </c>
      <c r="E16" s="3">
        <v>2.25</v>
      </c>
      <c r="F16" s="83">
        <f>(C16/$G$16)*$E$2*100</f>
        <v>2.4204282848545633</v>
      </c>
      <c r="G16" s="30">
        <v>9.9700000000000006</v>
      </c>
      <c r="H16" s="3"/>
      <c r="I16" s="3"/>
      <c r="J16" s="3"/>
      <c r="K16" s="1"/>
      <c r="L16" s="3">
        <v>2</v>
      </c>
      <c r="M16">
        <v>4566.2</v>
      </c>
      <c r="N16">
        <v>1.98</v>
      </c>
      <c r="O16">
        <v>2.2599999999999998</v>
      </c>
      <c r="P16" s="4">
        <f t="shared" si="0"/>
        <v>2.2653326848249029</v>
      </c>
      <c r="Q16" s="1">
        <v>10.28</v>
      </c>
      <c r="T16" s="3"/>
      <c r="U16" s="3"/>
    </row>
    <row r="17" spans="1:42" x14ac:dyDescent="0.25">
      <c r="A17" s="3"/>
      <c r="B17" s="3">
        <v>2</v>
      </c>
      <c r="C17" s="3">
        <v>4737.8</v>
      </c>
      <c r="D17" s="3">
        <v>1.95</v>
      </c>
      <c r="E17" s="3">
        <v>2.27</v>
      </c>
      <c r="F17" s="83">
        <f>(C17/$G$16)*$E$2*100</f>
        <v>2.4235486459378133</v>
      </c>
      <c r="G17" s="30">
        <v>9.9700000000000006</v>
      </c>
      <c r="H17" s="3"/>
      <c r="I17" s="3"/>
      <c r="J17" s="3"/>
      <c r="K17" s="1"/>
      <c r="L17" s="3">
        <v>3</v>
      </c>
      <c r="M17">
        <v>4544.1000000000004</v>
      </c>
      <c r="N17">
        <v>1.98</v>
      </c>
      <c r="O17">
        <v>2.2799999999999998</v>
      </c>
      <c r="P17" s="4">
        <f t="shared" si="0"/>
        <v>2.2543686770428022</v>
      </c>
      <c r="Q17" s="1">
        <v>10.28</v>
      </c>
      <c r="T17" s="3"/>
      <c r="U17" s="3"/>
    </row>
    <row r="18" spans="1:42" x14ac:dyDescent="0.25">
      <c r="A18" s="3"/>
      <c r="B18" s="3">
        <v>3</v>
      </c>
      <c r="C18" s="3">
        <v>4753.8999999999996</v>
      </c>
      <c r="D18" s="3">
        <v>1.96</v>
      </c>
      <c r="E18" s="3">
        <v>2.2599999999999998</v>
      </c>
      <c r="F18" s="83">
        <f>(C18/$G$16)*$E$2*100</f>
        <v>2.431784353059177</v>
      </c>
      <c r="G18" s="30">
        <v>9.9700000000000006</v>
      </c>
      <c r="H18" s="3"/>
      <c r="I18" s="3"/>
      <c r="J18" s="3"/>
      <c r="T18" s="3"/>
      <c r="U18" s="3"/>
    </row>
    <row r="19" spans="1:42" x14ac:dyDescent="0.25">
      <c r="J19" s="3"/>
      <c r="K19" s="3"/>
      <c r="L19" s="3"/>
      <c r="M19" s="3"/>
      <c r="Q19" s="89"/>
      <c r="R19" s="29"/>
      <c r="S19" s="3"/>
      <c r="T19" s="3"/>
      <c r="U19" s="3"/>
    </row>
    <row r="20" spans="1:42" x14ac:dyDescent="0.25">
      <c r="J20" s="3"/>
      <c r="K20" s="3"/>
      <c r="L20" s="3"/>
      <c r="M20" s="3"/>
      <c r="Q20" s="89"/>
      <c r="R20" s="29"/>
      <c r="S20" s="3"/>
      <c r="T20" s="3"/>
      <c r="U20" s="3"/>
    </row>
    <row r="21" spans="1:42" ht="45" x14ac:dyDescent="0.25">
      <c r="A21" s="15" t="s">
        <v>14</v>
      </c>
      <c r="B21" s="25" t="s">
        <v>7</v>
      </c>
      <c r="C21" s="25" t="s">
        <v>13</v>
      </c>
      <c r="D21" s="25" t="s">
        <v>12</v>
      </c>
      <c r="E21" s="25" t="s">
        <v>11</v>
      </c>
      <c r="F21" s="85" t="s">
        <v>10</v>
      </c>
      <c r="G21" s="24" t="s">
        <v>5</v>
      </c>
      <c r="H21" s="24" t="s">
        <v>4</v>
      </c>
      <c r="I21" s="24" t="s">
        <v>3</v>
      </c>
      <c r="J21" s="3"/>
      <c r="K21" s="15" t="s">
        <v>16</v>
      </c>
      <c r="L21" s="25" t="s">
        <v>7</v>
      </c>
      <c r="M21" s="25" t="s">
        <v>13</v>
      </c>
      <c r="N21" s="25" t="s">
        <v>12</v>
      </c>
      <c r="O21" s="25" t="s">
        <v>11</v>
      </c>
      <c r="P21" s="85" t="s">
        <v>10</v>
      </c>
      <c r="Q21" s="24" t="s">
        <v>5</v>
      </c>
      <c r="R21" s="24" t="s">
        <v>4</v>
      </c>
      <c r="S21" s="24" t="s">
        <v>3</v>
      </c>
      <c r="T21" s="3"/>
      <c r="U21" s="3"/>
    </row>
    <row r="22" spans="1:42" x14ac:dyDescent="0.25">
      <c r="A22" s="1" t="s">
        <v>2</v>
      </c>
      <c r="B22" s="3">
        <v>1</v>
      </c>
      <c r="C22">
        <v>2723.7</v>
      </c>
      <c r="D22">
        <v>1.95</v>
      </c>
      <c r="E22">
        <v>2.0699999999999998</v>
      </c>
      <c r="F22" s="4">
        <f>C22/G22*$E$2*100</f>
        <v>1.3904774774774773</v>
      </c>
      <c r="G22" s="81">
        <v>9.99</v>
      </c>
      <c r="H22">
        <f>AVERAGE(F22:F30)</f>
        <v>1.4085555087757788</v>
      </c>
      <c r="I22">
        <f>_xlfn.STDEV.S(F22:F30)</f>
        <v>3.2577988058367049E-2</v>
      </c>
      <c r="J22" s="3"/>
      <c r="K22" s="1" t="s">
        <v>2</v>
      </c>
      <c r="L22" s="3">
        <v>1</v>
      </c>
      <c r="M22">
        <v>9165.5</v>
      </c>
      <c r="P22" s="87">
        <f t="shared" ref="P22:P30" si="1">M22/Q22*$E$2*100</f>
        <v>4.4645702005730659</v>
      </c>
      <c r="Q22" s="1">
        <v>10.47</v>
      </c>
      <c r="R22" s="28">
        <f>AVERAGE(P22:P30)</f>
        <v>4.6828058829103298</v>
      </c>
      <c r="S22" s="27">
        <f>_xlfn.STDEV.S(P22:P30)</f>
        <v>0.19648334942942056</v>
      </c>
      <c r="T22" s="3"/>
      <c r="U22" s="3"/>
    </row>
    <row r="23" spans="1:42" x14ac:dyDescent="0.25">
      <c r="A23" s="1"/>
      <c r="B23" s="3">
        <v>2</v>
      </c>
      <c r="C23">
        <v>2722.1</v>
      </c>
      <c r="D23">
        <v>1.94</v>
      </c>
      <c r="E23">
        <v>2.09</v>
      </c>
      <c r="F23" s="4">
        <f t="shared" ref="F23:F30" si="2">C23/G23*$E$2*100</f>
        <v>1.3896606606606605</v>
      </c>
      <c r="G23" s="81">
        <v>9.99</v>
      </c>
      <c r="J23" s="3"/>
      <c r="K23" s="1"/>
      <c r="L23" s="3">
        <v>2</v>
      </c>
      <c r="M23">
        <v>9135.6</v>
      </c>
      <c r="P23" s="87">
        <f t="shared" si="1"/>
        <v>4.4500057306590257</v>
      </c>
      <c r="Q23" s="1">
        <v>10.47</v>
      </c>
      <c r="T23" s="3"/>
      <c r="U23" s="3"/>
    </row>
    <row r="24" spans="1:42" x14ac:dyDescent="0.25">
      <c r="A24" s="1"/>
      <c r="B24" s="3">
        <v>3</v>
      </c>
      <c r="C24">
        <v>2834.6</v>
      </c>
      <c r="D24">
        <v>1.95</v>
      </c>
      <c r="E24">
        <v>2.0699999999999998</v>
      </c>
      <c r="F24" s="4">
        <f t="shared" si="2"/>
        <v>1.447093093093093</v>
      </c>
      <c r="G24" s="81">
        <v>9.99</v>
      </c>
      <c r="J24" s="3"/>
      <c r="K24" s="1"/>
      <c r="L24" s="3">
        <v>3</v>
      </c>
      <c r="M24">
        <v>9131.5</v>
      </c>
      <c r="P24" s="87">
        <f t="shared" si="1"/>
        <v>4.4480085959885383</v>
      </c>
      <c r="Q24" s="1">
        <v>10.47</v>
      </c>
      <c r="R24" s="26"/>
      <c r="T24" s="3"/>
      <c r="U24" s="3"/>
    </row>
    <row r="25" spans="1:42" x14ac:dyDescent="0.25">
      <c r="A25" s="6" t="s">
        <v>1</v>
      </c>
      <c r="B25" s="9">
        <v>1</v>
      </c>
      <c r="C25" s="7">
        <v>2653.7</v>
      </c>
      <c r="D25" s="7">
        <v>1.96</v>
      </c>
      <c r="E25" s="7">
        <v>2.13</v>
      </c>
      <c r="F25" s="10">
        <f t="shared" si="2"/>
        <v>1.3560991983967934</v>
      </c>
      <c r="G25" s="82">
        <v>9.98</v>
      </c>
      <c r="J25" s="3"/>
      <c r="K25" s="6" t="s">
        <v>1</v>
      </c>
      <c r="L25" s="9">
        <v>1</v>
      </c>
      <c r="M25" s="7">
        <v>9131.6</v>
      </c>
      <c r="N25" s="7"/>
      <c r="O25" s="7"/>
      <c r="P25" s="88">
        <f t="shared" si="1"/>
        <v>4.6571160000000011</v>
      </c>
      <c r="Q25" s="6">
        <v>10</v>
      </c>
      <c r="S25" s="3"/>
      <c r="T25" s="3"/>
      <c r="U25" s="3"/>
    </row>
    <row r="26" spans="1:42" x14ac:dyDescent="0.25">
      <c r="A26" s="6"/>
      <c r="B26" s="9">
        <v>2</v>
      </c>
      <c r="C26" s="7">
        <v>2738.4</v>
      </c>
      <c r="D26" s="7">
        <v>1.97</v>
      </c>
      <c r="E26" s="7">
        <v>2.17</v>
      </c>
      <c r="F26" s="10">
        <f t="shared" si="2"/>
        <v>1.399382765531062</v>
      </c>
      <c r="G26" s="82">
        <v>9.98</v>
      </c>
      <c r="K26" s="6"/>
      <c r="L26" s="9">
        <v>2</v>
      </c>
      <c r="M26" s="7">
        <v>9241.2000000000007</v>
      </c>
      <c r="N26" s="7"/>
      <c r="O26" s="7"/>
      <c r="P26" s="88">
        <f t="shared" si="1"/>
        <v>4.7130120000000009</v>
      </c>
      <c r="Q26" s="6">
        <v>10</v>
      </c>
      <c r="R26" s="26"/>
      <c r="S26" s="26"/>
    </row>
    <row r="27" spans="1:42" x14ac:dyDescent="0.25">
      <c r="A27" s="6"/>
      <c r="B27" s="9">
        <v>3</v>
      </c>
      <c r="C27" s="7">
        <v>2714.2</v>
      </c>
      <c r="D27" s="7">
        <v>1.96</v>
      </c>
      <c r="E27" s="7">
        <v>2.17</v>
      </c>
      <c r="F27" s="10">
        <f t="shared" si="2"/>
        <v>1.3870160320641283</v>
      </c>
      <c r="G27" s="82">
        <v>9.98</v>
      </c>
      <c r="K27" s="6"/>
      <c r="L27" s="9">
        <v>3</v>
      </c>
      <c r="M27" s="7">
        <v>9214.2000000000007</v>
      </c>
      <c r="N27" s="7"/>
      <c r="O27" s="7"/>
      <c r="P27" s="88">
        <f t="shared" si="1"/>
        <v>4.6992419999999999</v>
      </c>
      <c r="Q27" s="6">
        <v>10</v>
      </c>
      <c r="T27" s="33"/>
    </row>
    <row r="28" spans="1:42" x14ac:dyDescent="0.25">
      <c r="A28" s="1" t="s">
        <v>0</v>
      </c>
      <c r="B28" s="3">
        <v>1</v>
      </c>
      <c r="C28">
        <v>2832.6</v>
      </c>
      <c r="D28">
        <v>1.95</v>
      </c>
      <c r="E28">
        <v>2.12</v>
      </c>
      <c r="F28" s="4">
        <f t="shared" si="2"/>
        <v>1.4518854271356785</v>
      </c>
      <c r="G28" s="81">
        <v>9.9499999999999993</v>
      </c>
      <c r="K28" s="1" t="s">
        <v>0</v>
      </c>
      <c r="L28" s="3">
        <v>1</v>
      </c>
      <c r="M28">
        <v>9790</v>
      </c>
      <c r="P28" s="87">
        <f t="shared" si="1"/>
        <v>4.9336956521739133</v>
      </c>
      <c r="Q28" s="1">
        <v>10.119999999999999</v>
      </c>
      <c r="T28" s="17"/>
      <c r="AH28" s="1" t="s">
        <v>2</v>
      </c>
      <c r="AI28" s="3">
        <v>1</v>
      </c>
      <c r="AJ28">
        <v>8063.7</v>
      </c>
      <c r="AK28">
        <v>1.99</v>
      </c>
      <c r="AL28">
        <v>2.2799999999999998</v>
      </c>
      <c r="AM28" s="23">
        <f t="shared" ref="AM28:AM34" si="3">AJ28/AN28*$E$2*100</f>
        <v>4.1751137055837564</v>
      </c>
      <c r="AN28" s="1">
        <v>9.85</v>
      </c>
      <c r="AO28" s="28">
        <f>AVERAGE(AM28:AM42)</f>
        <v>3.5415305145725284</v>
      </c>
      <c r="AP28" s="27">
        <f>_xlfn.STDEV.S(AM28:AM42)</f>
        <v>1.9369311707834835</v>
      </c>
    </row>
    <row r="29" spans="1:42" x14ac:dyDescent="0.25">
      <c r="A29" s="1"/>
      <c r="B29" s="3">
        <v>2</v>
      </c>
      <c r="C29">
        <v>2813.4</v>
      </c>
      <c r="D29">
        <v>1.96</v>
      </c>
      <c r="E29">
        <v>2.12</v>
      </c>
      <c r="F29" s="4">
        <f t="shared" si="2"/>
        <v>1.442044221105528</v>
      </c>
      <c r="G29" s="81">
        <v>9.9499999999999993</v>
      </c>
      <c r="K29" s="1"/>
      <c r="L29" s="3">
        <v>2</v>
      </c>
      <c r="M29">
        <v>9755.6</v>
      </c>
      <c r="P29" s="87">
        <f t="shared" si="1"/>
        <v>4.9163596837944672</v>
      </c>
      <c r="Q29" s="1">
        <v>10.119999999999999</v>
      </c>
      <c r="AH29" s="1"/>
      <c r="AI29" s="3">
        <v>2</v>
      </c>
      <c r="AJ29">
        <v>7785.5</v>
      </c>
      <c r="AK29">
        <v>1.98</v>
      </c>
      <c r="AL29">
        <v>2.27</v>
      </c>
      <c r="AM29" s="23">
        <f t="shared" si="3"/>
        <v>4.0310710659898481</v>
      </c>
      <c r="AN29" s="1">
        <v>9.85</v>
      </c>
    </row>
    <row r="30" spans="1:42" ht="15" customHeight="1" x14ac:dyDescent="0.25">
      <c r="A30" s="1"/>
      <c r="B30" s="3">
        <v>3</v>
      </c>
      <c r="C30">
        <v>2757.4</v>
      </c>
      <c r="D30">
        <v>1.96</v>
      </c>
      <c r="E30">
        <v>2.14</v>
      </c>
      <c r="F30" s="4">
        <f t="shared" si="2"/>
        <v>1.4133407035175882</v>
      </c>
      <c r="G30" s="81">
        <v>9.9499999999999993</v>
      </c>
      <c r="K30" s="1"/>
      <c r="L30" s="3">
        <v>3</v>
      </c>
      <c r="M30">
        <v>9650.2000000000007</v>
      </c>
      <c r="P30" s="87">
        <f t="shared" si="1"/>
        <v>4.8632430830039537</v>
      </c>
      <c r="Q30" s="1">
        <v>10.119999999999999</v>
      </c>
      <c r="AH30" s="1"/>
      <c r="AI30" s="3">
        <v>3</v>
      </c>
      <c r="AJ30">
        <v>8588.2000000000007</v>
      </c>
      <c r="AK30">
        <v>2</v>
      </c>
      <c r="AL30">
        <v>2.2999999999999998</v>
      </c>
      <c r="AM30" s="23">
        <f t="shared" si="3"/>
        <v>4.4466822335025382</v>
      </c>
      <c r="AN30" s="1">
        <v>9.85</v>
      </c>
      <c r="AO30" s="26">
        <f>AVERAGE(AM28:AM31)</f>
        <v>4.369871573604061</v>
      </c>
      <c r="AP30">
        <f>_xlfn.STDEV.S(AM28:AM31)</f>
        <v>0.34987367454534862</v>
      </c>
    </row>
    <row r="31" spans="1:42" x14ac:dyDescent="0.25">
      <c r="L31" s="1"/>
      <c r="M31" s="3"/>
      <c r="Q31" s="5"/>
      <c r="R31" s="16"/>
      <c r="AH31" s="1"/>
      <c r="AI31" s="3">
        <v>4</v>
      </c>
      <c r="AJ31">
        <v>9322</v>
      </c>
      <c r="AK31">
        <v>2</v>
      </c>
      <c r="AL31">
        <v>2.29</v>
      </c>
      <c r="AM31" s="23">
        <f t="shared" si="3"/>
        <v>4.8266192893401021</v>
      </c>
      <c r="AN31" s="1">
        <v>9.85</v>
      </c>
      <c r="AP31" s="3"/>
    </row>
    <row r="32" spans="1:42" x14ac:dyDescent="0.25">
      <c r="L32" s="1"/>
      <c r="M32" s="3"/>
      <c r="Q32" s="5"/>
      <c r="R32" s="16"/>
      <c r="AH32" s="6" t="s">
        <v>1</v>
      </c>
      <c r="AI32" s="9">
        <v>1</v>
      </c>
      <c r="AJ32" s="7">
        <v>8576.1</v>
      </c>
      <c r="AK32" s="7">
        <v>1.91</v>
      </c>
      <c r="AL32" s="7">
        <v>2.11</v>
      </c>
      <c r="AM32" s="23">
        <f t="shared" si="3"/>
        <v>4.3134230769230761</v>
      </c>
      <c r="AN32" s="6">
        <v>10.14</v>
      </c>
      <c r="AO32" s="26">
        <f>AVERAGE(AM32:AM34)</f>
        <v>4.4291035502958573</v>
      </c>
      <c r="AP32">
        <f>_xlfn.STDEV.S(AM32:AM34)</f>
        <v>0.10037616847114139</v>
      </c>
    </row>
    <row r="33" spans="1:42" ht="45" x14ac:dyDescent="0.25">
      <c r="A33" s="15" t="s">
        <v>9</v>
      </c>
      <c r="B33" s="15" t="s">
        <v>7</v>
      </c>
      <c r="C33" s="15"/>
      <c r="D33" s="15"/>
      <c r="E33" s="15"/>
      <c r="F33" s="86" t="s">
        <v>6</v>
      </c>
      <c r="G33" s="14" t="s">
        <v>5</v>
      </c>
      <c r="H33" s="13" t="s">
        <v>4</v>
      </c>
      <c r="I33" s="13" t="s">
        <v>3</v>
      </c>
      <c r="L33" s="1"/>
      <c r="M33" s="3"/>
      <c r="Q33" s="5"/>
      <c r="R33" s="16"/>
      <c r="AH33" s="6"/>
      <c r="AI33" s="9">
        <v>2</v>
      </c>
      <c r="AJ33" s="7">
        <v>8908.7000000000007</v>
      </c>
      <c r="AK33" s="7">
        <v>1.91</v>
      </c>
      <c r="AL33" s="7">
        <v>2.1</v>
      </c>
      <c r="AM33" s="23">
        <f t="shared" si="3"/>
        <v>4.4807071005917161</v>
      </c>
      <c r="AN33" s="6">
        <v>10.14</v>
      </c>
    </row>
    <row r="34" spans="1:42" x14ac:dyDescent="0.25">
      <c r="A34" s="1" t="s">
        <v>2</v>
      </c>
      <c r="B34" s="3">
        <v>1</v>
      </c>
      <c r="C34">
        <v>5721.1</v>
      </c>
      <c r="D34">
        <v>1.93</v>
      </c>
      <c r="E34">
        <v>2.19</v>
      </c>
      <c r="F34" s="87">
        <f t="shared" ref="F34:F43" si="4">C34/G34*$E$2*100</f>
        <v>2.8163716216216219</v>
      </c>
      <c r="G34" s="1">
        <v>10.36</v>
      </c>
      <c r="H34" s="12">
        <f>AVERAGE(F34:F66)</f>
        <v>2.7356383211247595</v>
      </c>
      <c r="I34">
        <f>_xlfn.STDEV.S(F34:F66)</f>
        <v>8.7161586281371231E-2</v>
      </c>
      <c r="L34" s="1"/>
      <c r="M34" s="3"/>
      <c r="Q34" s="5"/>
      <c r="R34" s="16"/>
      <c r="AH34" s="6"/>
      <c r="AI34" s="9">
        <v>3</v>
      </c>
      <c r="AJ34" s="7">
        <v>8933.5</v>
      </c>
      <c r="AK34" s="7">
        <v>1.92</v>
      </c>
      <c r="AL34" s="7">
        <v>2.2200000000000002</v>
      </c>
      <c r="AM34" s="23">
        <f t="shared" si="3"/>
        <v>4.4931804733727807</v>
      </c>
      <c r="AN34" s="6">
        <v>10.14</v>
      </c>
    </row>
    <row r="35" spans="1:42" x14ac:dyDescent="0.25">
      <c r="A35" s="1"/>
      <c r="B35" s="3">
        <v>2</v>
      </c>
      <c r="C35">
        <v>5533.9</v>
      </c>
      <c r="D35">
        <v>1.94</v>
      </c>
      <c r="E35">
        <v>2.23</v>
      </c>
      <c r="F35" s="87">
        <f t="shared" si="4"/>
        <v>2.7242171814671812</v>
      </c>
      <c r="G35" s="1">
        <v>10.36</v>
      </c>
      <c r="L35" s="1"/>
      <c r="M35" s="3"/>
      <c r="Q35" s="5"/>
      <c r="R35" s="16"/>
      <c r="AH35" s="6"/>
      <c r="AI35" s="9">
        <v>4</v>
      </c>
      <c r="AJ35" s="7"/>
      <c r="AK35" s="7">
        <v>1.91</v>
      </c>
      <c r="AL35" s="7">
        <v>2.11</v>
      </c>
      <c r="AM35" s="23"/>
      <c r="AN35" s="6">
        <v>10.14</v>
      </c>
    </row>
    <row r="36" spans="1:42" x14ac:dyDescent="0.25">
      <c r="A36" s="1"/>
      <c r="B36" s="3">
        <v>3</v>
      </c>
      <c r="C36">
        <v>5564.8</v>
      </c>
      <c r="D36">
        <v>1.94</v>
      </c>
      <c r="E36">
        <v>2.2200000000000002</v>
      </c>
      <c r="F36" s="87">
        <f t="shared" si="4"/>
        <v>2.7394285714285718</v>
      </c>
      <c r="G36" s="1">
        <v>10.36</v>
      </c>
      <c r="L36" s="1"/>
      <c r="M36" s="3"/>
      <c r="Q36" s="5"/>
      <c r="R36" s="16"/>
      <c r="AH36" s="1" t="s">
        <v>0</v>
      </c>
      <c r="AI36" s="3">
        <v>1</v>
      </c>
      <c r="AJ36">
        <v>10468.700000000001</v>
      </c>
      <c r="AK36">
        <v>1.98</v>
      </c>
      <c r="AL36">
        <v>2.27</v>
      </c>
      <c r="AM36" s="23">
        <f t="shared" ref="AM36:AM42" si="5">AJ36/AN36*$E$2*100</f>
        <v>5.1238358925143963</v>
      </c>
      <c r="AN36" s="1">
        <v>10.42</v>
      </c>
    </row>
    <row r="37" spans="1:42" x14ac:dyDescent="0.25">
      <c r="B37" s="3">
        <v>4</v>
      </c>
      <c r="C37">
        <v>5557.6</v>
      </c>
      <c r="D37">
        <v>1.94</v>
      </c>
      <c r="E37">
        <v>2.2400000000000002</v>
      </c>
      <c r="F37" s="87">
        <f t="shared" si="4"/>
        <v>2.7358841698841703</v>
      </c>
      <c r="G37" s="1">
        <v>10.36</v>
      </c>
      <c r="L37" s="1"/>
      <c r="M37" s="3"/>
      <c r="Q37" s="5"/>
      <c r="R37" s="16"/>
      <c r="Y37" s="3"/>
      <c r="AC37" s="23"/>
      <c r="AD37" s="1"/>
      <c r="AH37" s="1"/>
      <c r="AI37" s="3">
        <v>2</v>
      </c>
      <c r="AK37">
        <v>1.98</v>
      </c>
      <c r="AL37">
        <v>2.2999999999999998</v>
      </c>
      <c r="AM37" s="23">
        <f t="shared" si="5"/>
        <v>0</v>
      </c>
      <c r="AN37" s="1">
        <v>10.42</v>
      </c>
    </row>
    <row r="38" spans="1:42" x14ac:dyDescent="0.25">
      <c r="A38" s="6" t="s">
        <v>1</v>
      </c>
      <c r="B38" s="9">
        <v>1</v>
      </c>
      <c r="C38" s="7">
        <v>5433.5</v>
      </c>
      <c r="D38" s="7">
        <v>1.94</v>
      </c>
      <c r="E38" s="7">
        <v>2.2200000000000002</v>
      </c>
      <c r="F38" s="88">
        <f t="shared" si="4"/>
        <v>2.8334202453987731</v>
      </c>
      <c r="G38" s="6">
        <v>9.7799999999999994</v>
      </c>
      <c r="Y38" s="3"/>
      <c r="AC38" s="23"/>
      <c r="AD38" s="1"/>
      <c r="AH38" s="1"/>
      <c r="AI38" s="3">
        <v>3</v>
      </c>
      <c r="AK38">
        <v>1.98</v>
      </c>
      <c r="AL38">
        <v>2.27</v>
      </c>
      <c r="AM38" s="23">
        <f t="shared" si="5"/>
        <v>0</v>
      </c>
      <c r="AN38" s="1">
        <v>10.42</v>
      </c>
    </row>
    <row r="39" spans="1:42" x14ac:dyDescent="0.25">
      <c r="A39" s="6"/>
      <c r="B39" s="9">
        <v>2</v>
      </c>
      <c r="C39" s="7">
        <v>5422.5</v>
      </c>
      <c r="D39" s="7">
        <v>1.94</v>
      </c>
      <c r="E39" s="7">
        <v>2.23</v>
      </c>
      <c r="F39" s="88">
        <f t="shared" si="4"/>
        <v>2.827684049079755</v>
      </c>
      <c r="G39" s="6">
        <v>9.7799999999999994</v>
      </c>
      <c r="Y39" s="3"/>
      <c r="AC39" s="23"/>
      <c r="AD39" s="1"/>
      <c r="AH39" s="1"/>
      <c r="AI39" s="3">
        <v>4</v>
      </c>
      <c r="AK39">
        <v>1.98</v>
      </c>
      <c r="AL39">
        <v>2.2799999999999998</v>
      </c>
      <c r="AM39" s="23">
        <f t="shared" si="5"/>
        <v>0</v>
      </c>
      <c r="AN39" s="1">
        <v>10.42</v>
      </c>
    </row>
    <row r="40" spans="1:42" x14ac:dyDescent="0.25">
      <c r="A40" s="6"/>
      <c r="B40" s="9">
        <v>3</v>
      </c>
      <c r="C40" s="8">
        <v>5385</v>
      </c>
      <c r="D40" s="7">
        <v>1.94</v>
      </c>
      <c r="E40" s="7">
        <v>2.2200000000000002</v>
      </c>
      <c r="F40" s="88">
        <f t="shared" si="4"/>
        <v>2.8081288343558284</v>
      </c>
      <c r="G40" s="6">
        <v>9.7799999999999994</v>
      </c>
      <c r="AF40" s="26"/>
      <c r="AH40" t="s">
        <v>15</v>
      </c>
      <c r="AI40" s="3">
        <v>1</v>
      </c>
      <c r="AJ40">
        <v>9378.7999999999993</v>
      </c>
      <c r="AM40" s="23">
        <f t="shared" si="5"/>
        <v>4.491256338028168</v>
      </c>
      <c r="AN40" s="1">
        <v>10.65</v>
      </c>
      <c r="AP40" s="26">
        <f>AVERAGE(AM40:AM42)</f>
        <v>4.5635981220657271</v>
      </c>
    </row>
    <row r="41" spans="1:42" x14ac:dyDescent="0.25">
      <c r="A41" s="1" t="s">
        <v>0</v>
      </c>
      <c r="B41" s="3">
        <v>1</v>
      </c>
      <c r="C41">
        <v>5243.3</v>
      </c>
      <c r="D41">
        <v>1.94</v>
      </c>
      <c r="E41">
        <v>2.23</v>
      </c>
      <c r="F41" s="87">
        <f t="shared" si="4"/>
        <v>2.6063187134502925</v>
      </c>
      <c r="G41" s="1">
        <v>10.26</v>
      </c>
      <c r="AI41" s="3">
        <v>2</v>
      </c>
      <c r="AJ41">
        <v>9699.6</v>
      </c>
      <c r="AM41" s="23">
        <f t="shared" si="5"/>
        <v>4.6448788732394366</v>
      </c>
      <c r="AN41" s="1">
        <v>10.65</v>
      </c>
    </row>
    <row r="42" spans="1:42" x14ac:dyDescent="0.25">
      <c r="A42" s="1"/>
      <c r="B42" s="3">
        <v>2</v>
      </c>
      <c r="C42">
        <v>5267.1</v>
      </c>
      <c r="D42">
        <v>1.95</v>
      </c>
      <c r="E42">
        <v>2.2599999999999998</v>
      </c>
      <c r="F42" s="87">
        <f t="shared" si="4"/>
        <v>2.6181491228070177</v>
      </c>
      <c r="G42" s="1">
        <v>10.26</v>
      </c>
      <c r="L42" s="34"/>
      <c r="M42" s="3"/>
      <c r="N42" s="3"/>
      <c r="O42" s="3"/>
      <c r="P42" s="3"/>
      <c r="Q42" s="33"/>
      <c r="R42" s="33"/>
      <c r="S42" s="33"/>
      <c r="T42" s="33"/>
      <c r="AI42" s="3">
        <v>3</v>
      </c>
      <c r="AJ42">
        <v>9511.2000000000007</v>
      </c>
      <c r="AM42" s="23">
        <f t="shared" si="5"/>
        <v>4.5546591549295776</v>
      </c>
      <c r="AN42" s="1">
        <v>10.65</v>
      </c>
    </row>
    <row r="43" spans="1:42" x14ac:dyDescent="0.25">
      <c r="A43" s="1"/>
      <c r="B43" s="3">
        <v>3</v>
      </c>
      <c r="C43">
        <v>5324.7</v>
      </c>
      <c r="D43">
        <v>1.94</v>
      </c>
      <c r="E43">
        <v>2.2599999999999998</v>
      </c>
      <c r="F43" s="87">
        <f t="shared" si="4"/>
        <v>2.6467807017543858</v>
      </c>
      <c r="G43" s="1">
        <v>10.26</v>
      </c>
      <c r="L43" s="19"/>
      <c r="M43" s="3"/>
      <c r="N43" s="18"/>
      <c r="O43" s="17"/>
      <c r="P43" s="17"/>
      <c r="Q43" s="90"/>
      <c r="R43" s="16"/>
      <c r="S43" s="91"/>
      <c r="T43" s="3"/>
    </row>
    <row r="44" spans="1:42" x14ac:dyDescent="0.25">
      <c r="L44" s="19"/>
      <c r="M44" s="3"/>
      <c r="N44" s="18"/>
      <c r="O44" s="17"/>
      <c r="P44" s="17"/>
      <c r="Q44" s="90"/>
      <c r="R44" s="16"/>
      <c r="S44" s="3"/>
      <c r="T44" s="3"/>
    </row>
    <row r="45" spans="1:42" x14ac:dyDescent="0.25">
      <c r="L45" s="19"/>
      <c r="M45" s="3"/>
      <c r="N45" s="18"/>
      <c r="O45" s="17"/>
      <c r="P45" s="17"/>
      <c r="Q45" s="90"/>
      <c r="R45" s="16"/>
      <c r="S45" s="3"/>
      <c r="T45" s="3"/>
    </row>
    <row r="46" spans="1:42" x14ac:dyDescent="0.25">
      <c r="L46" s="19"/>
      <c r="M46" s="3"/>
      <c r="N46" s="18"/>
      <c r="O46" s="17"/>
      <c r="P46" s="17"/>
      <c r="Q46" s="90"/>
      <c r="R46" s="16"/>
      <c r="S46" s="3"/>
      <c r="T46" s="3"/>
    </row>
    <row r="47" spans="1:42" x14ac:dyDescent="0.25">
      <c r="L47" s="19"/>
      <c r="M47" s="3"/>
      <c r="N47" s="18"/>
      <c r="O47" s="17"/>
      <c r="P47" s="17"/>
      <c r="Q47" s="90"/>
      <c r="R47" s="16"/>
      <c r="S47" s="3"/>
      <c r="T47" s="3"/>
    </row>
    <row r="48" spans="1:42" ht="15" customHeight="1" x14ac:dyDescent="0.25">
      <c r="L48" s="19"/>
      <c r="M48" s="3"/>
      <c r="N48" s="18"/>
      <c r="O48" s="17"/>
      <c r="P48" s="17"/>
      <c r="Q48" s="90"/>
      <c r="R48" s="16"/>
      <c r="S48" s="3"/>
      <c r="T48" s="3"/>
    </row>
    <row r="49" spans="1:20" x14ac:dyDescent="0.25">
      <c r="L49" s="3"/>
      <c r="M49" s="3"/>
      <c r="N49" s="18"/>
      <c r="O49" s="17"/>
      <c r="P49" s="17"/>
      <c r="Q49" s="90"/>
      <c r="R49" s="16"/>
      <c r="S49" s="3"/>
      <c r="T49" s="3"/>
    </row>
    <row r="50" spans="1:20" x14ac:dyDescent="0.25">
      <c r="L50" s="19"/>
      <c r="M50" s="3"/>
      <c r="N50" s="18"/>
      <c r="O50" s="17"/>
      <c r="P50" s="17"/>
      <c r="Q50" s="90"/>
      <c r="R50" s="16"/>
      <c r="S50" s="3"/>
      <c r="T50" s="3"/>
    </row>
    <row r="51" spans="1:20" x14ac:dyDescent="0.25">
      <c r="L51" s="19"/>
      <c r="M51" s="3"/>
      <c r="N51" s="18"/>
      <c r="O51" s="17"/>
      <c r="P51" s="17"/>
      <c r="Q51" s="90"/>
      <c r="R51" s="16"/>
      <c r="S51" s="3"/>
      <c r="T51" s="3"/>
    </row>
    <row r="52" spans="1:20" x14ac:dyDescent="0.25">
      <c r="A52" s="1"/>
      <c r="B52" s="3"/>
      <c r="F52" s="11"/>
      <c r="G52" s="1"/>
      <c r="L52" s="19"/>
      <c r="M52" s="3"/>
      <c r="N52" s="18"/>
      <c r="O52" s="17"/>
      <c r="P52" s="17"/>
      <c r="Q52" s="90"/>
      <c r="R52" s="16"/>
      <c r="S52" s="3"/>
      <c r="T52" s="3"/>
    </row>
    <row r="53" spans="1:20" x14ac:dyDescent="0.25">
      <c r="F53" s="11"/>
    </row>
    <row r="54" spans="1:20" x14ac:dyDescent="0.25">
      <c r="F54" s="11"/>
    </row>
    <row r="66" spans="1:18" x14ac:dyDescent="0.25">
      <c r="A66" s="1"/>
      <c r="B66" s="3"/>
      <c r="F66" s="5"/>
      <c r="G66" s="1"/>
      <c r="L66" s="1"/>
      <c r="M66" s="3"/>
      <c r="Q66" s="4"/>
      <c r="R66" s="1"/>
    </row>
    <row r="70" spans="1:18" x14ac:dyDescent="0.25">
      <c r="A70" s="1"/>
      <c r="B70" s="3"/>
      <c r="F70" s="2"/>
      <c r="G70" s="1"/>
      <c r="L70" s="1"/>
      <c r="M70" s="3"/>
      <c r="Q70" s="2"/>
      <c r="R70" s="1"/>
    </row>
    <row r="74" spans="1:18" x14ac:dyDescent="0.25">
      <c r="L74" s="17"/>
    </row>
    <row r="75" spans="1:18" x14ac:dyDescent="0.25">
      <c r="L75" s="17"/>
    </row>
    <row r="76" spans="1:18" x14ac:dyDescent="0.25">
      <c r="L76" s="17"/>
    </row>
    <row r="77" spans="1:18" x14ac:dyDescent="0.25">
      <c r="L77" s="17"/>
    </row>
    <row r="78" spans="1:18" x14ac:dyDescent="0.25">
      <c r="L78" s="17"/>
    </row>
    <row r="79" spans="1:18" x14ac:dyDescent="0.25">
      <c r="L79" s="17"/>
    </row>
    <row r="80" spans="1:18" x14ac:dyDescent="0.25">
      <c r="L80" s="17"/>
    </row>
    <row r="81" spans="12:12" x14ac:dyDescent="0.25">
      <c r="L81" s="17"/>
    </row>
    <row r="82" spans="12:12" x14ac:dyDescent="0.25">
      <c r="L82" s="17"/>
    </row>
    <row r="84" spans="12:12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0E2B-7E8B-404B-BF33-EB36C0009E64}">
  <dimension ref="A2:T107"/>
  <sheetViews>
    <sheetView topLeftCell="C13" zoomScale="88" zoomScaleNormal="130" workbookViewId="0">
      <selection activeCell="K40" sqref="K40"/>
    </sheetView>
  </sheetViews>
  <sheetFormatPr defaultColWidth="11.42578125" defaultRowHeight="15" x14ac:dyDescent="0.25"/>
  <cols>
    <col min="3" max="3" width="12.7109375" customWidth="1"/>
    <col min="4" max="4" width="14.28515625" bestFit="1" customWidth="1"/>
    <col min="8" max="8" width="15.140625" customWidth="1"/>
    <col min="12" max="12" width="14.5703125" customWidth="1"/>
    <col min="19" max="19" width="14.42578125" customWidth="1"/>
  </cols>
  <sheetData>
    <row r="2" spans="1:20" x14ac:dyDescent="0.25">
      <c r="B2" t="s">
        <v>28</v>
      </c>
      <c r="C2" t="s">
        <v>145</v>
      </c>
      <c r="E2">
        <v>1.4999999999999999E-2</v>
      </c>
    </row>
    <row r="3" spans="1:20" ht="15" customHeight="1" x14ac:dyDescent="0.25">
      <c r="Q3" s="102"/>
    </row>
    <row r="4" spans="1:20" x14ac:dyDescent="0.25">
      <c r="B4" t="s">
        <v>33</v>
      </c>
      <c r="C4" t="s">
        <v>32</v>
      </c>
      <c r="D4" t="s">
        <v>31</v>
      </c>
      <c r="E4" t="s">
        <v>4</v>
      </c>
      <c r="F4" t="s">
        <v>30</v>
      </c>
      <c r="Q4" s="102"/>
    </row>
    <row r="5" spans="1:20" x14ac:dyDescent="0.25">
      <c r="R5" s="34"/>
    </row>
    <row r="6" spans="1:20" x14ac:dyDescent="0.25">
      <c r="B6" s="44">
        <v>44937</v>
      </c>
      <c r="C6" t="s">
        <v>20</v>
      </c>
      <c r="D6">
        <v>0.3569</v>
      </c>
      <c r="E6" s="17">
        <f>H15</f>
        <v>6.8814914706582755</v>
      </c>
      <c r="F6">
        <v>0.21895266659399534</v>
      </c>
      <c r="R6" s="34"/>
    </row>
    <row r="7" spans="1:20" x14ac:dyDescent="0.25">
      <c r="B7" s="44">
        <v>44939</v>
      </c>
      <c r="C7" s="34" t="s">
        <v>16</v>
      </c>
      <c r="D7">
        <v>0.41060000000000002</v>
      </c>
      <c r="E7" s="17">
        <f>H44</f>
        <v>8.6983034855135504</v>
      </c>
      <c r="F7">
        <v>0.15793123151361818</v>
      </c>
      <c r="R7" s="34"/>
    </row>
    <row r="8" spans="1:20" x14ac:dyDescent="0.25">
      <c r="B8" s="44">
        <v>44939</v>
      </c>
      <c r="C8" s="34" t="s">
        <v>8</v>
      </c>
      <c r="D8">
        <v>0.30309999999999998</v>
      </c>
      <c r="E8" s="17">
        <f>R15</f>
        <v>7.6221570241011625</v>
      </c>
      <c r="F8">
        <v>0.21927503856694849</v>
      </c>
      <c r="R8" s="34"/>
    </row>
    <row r="9" spans="1:20" x14ac:dyDescent="0.25">
      <c r="B9" s="44">
        <v>44939</v>
      </c>
      <c r="C9" s="34" t="s">
        <v>14</v>
      </c>
      <c r="D9">
        <v>9.11E-2</v>
      </c>
      <c r="E9" s="17">
        <f>H30</f>
        <v>6.2300813071273922</v>
      </c>
      <c r="F9">
        <v>0.23425515561855062</v>
      </c>
      <c r="R9" s="34"/>
    </row>
    <row r="10" spans="1:20" x14ac:dyDescent="0.25">
      <c r="B10" s="44">
        <v>44942</v>
      </c>
      <c r="C10" s="34" t="s">
        <v>26</v>
      </c>
      <c r="D10">
        <v>0.15579999999999999</v>
      </c>
      <c r="E10" s="17">
        <f>R44</f>
        <v>4.7651631713110607</v>
      </c>
      <c r="F10">
        <v>0.34442007855656182</v>
      </c>
      <c r="R10" s="34"/>
    </row>
    <row r="11" spans="1:20" x14ac:dyDescent="0.25">
      <c r="B11" s="44"/>
      <c r="E11" s="17"/>
      <c r="R11" s="34"/>
    </row>
    <row r="12" spans="1:20" ht="15" customHeight="1" x14ac:dyDescent="0.25">
      <c r="A12" s="43"/>
      <c r="Q12" s="34"/>
    </row>
    <row r="13" spans="1:20" ht="12" customHeight="1" x14ac:dyDescent="0.25">
      <c r="M13" s="3"/>
    </row>
    <row r="14" spans="1:20" ht="36" customHeight="1" x14ac:dyDescent="0.25">
      <c r="A14" s="42" t="s">
        <v>18</v>
      </c>
      <c r="B14" s="42" t="s">
        <v>7</v>
      </c>
      <c r="C14" s="13" t="s">
        <v>27</v>
      </c>
      <c r="D14" s="42" t="s">
        <v>24</v>
      </c>
      <c r="E14" s="42" t="s">
        <v>12</v>
      </c>
      <c r="F14" s="42" t="s">
        <v>11</v>
      </c>
      <c r="G14" s="13" t="s">
        <v>5</v>
      </c>
      <c r="H14" s="13" t="s">
        <v>4</v>
      </c>
      <c r="I14" s="13" t="s">
        <v>3</v>
      </c>
      <c r="J14" s="19"/>
      <c r="K14" s="15" t="s">
        <v>8</v>
      </c>
      <c r="L14" s="25" t="s">
        <v>7</v>
      </c>
      <c r="M14" s="14" t="s">
        <v>27</v>
      </c>
      <c r="N14" s="15" t="s">
        <v>24</v>
      </c>
      <c r="O14" s="15" t="s">
        <v>12</v>
      </c>
      <c r="P14" s="15" t="s">
        <v>11</v>
      </c>
      <c r="Q14" s="14" t="s">
        <v>5</v>
      </c>
      <c r="R14" s="13" t="s">
        <v>4</v>
      </c>
      <c r="S14" s="13" t="s">
        <v>3</v>
      </c>
      <c r="T14" s="27"/>
    </row>
    <row r="15" spans="1:20" x14ac:dyDescent="0.25">
      <c r="A15" s="35" t="s">
        <v>2</v>
      </c>
      <c r="B15" s="22">
        <v>1</v>
      </c>
      <c r="C15" s="22">
        <v>49.8</v>
      </c>
      <c r="D15" s="36">
        <f t="shared" ref="D15:D26" si="0">C15/G15*0.015*100</f>
        <v>6.8847926267281103</v>
      </c>
      <c r="E15" s="22">
        <v>1.52</v>
      </c>
      <c r="F15" s="22">
        <v>2.9</v>
      </c>
      <c r="G15" s="22">
        <v>10.85</v>
      </c>
      <c r="H15" s="36">
        <f>AVERAGE(D15:D26)</f>
        <v>6.8814914706582755</v>
      </c>
      <c r="I15" s="41">
        <f>_xlfn.STDEV.S(D15:D26)</f>
        <v>0.21895266659399534</v>
      </c>
      <c r="J15" s="19"/>
      <c r="K15" s="38" t="s">
        <v>2</v>
      </c>
      <c r="L15" s="7">
        <v>1</v>
      </c>
      <c r="M15" s="7">
        <v>50</v>
      </c>
      <c r="N15" s="37">
        <f t="shared" ref="N15:N32" si="1">M15/Q15*0.015*100</f>
        <v>7.6530612244897958</v>
      </c>
      <c r="O15" s="7">
        <v>1.5</v>
      </c>
      <c r="P15" s="7">
        <v>3.15</v>
      </c>
      <c r="Q15" s="7">
        <v>9.8000000000000007</v>
      </c>
      <c r="R15" s="37">
        <f>AVERAGE(N15:N32)</f>
        <v>7.6221570241011625</v>
      </c>
      <c r="S15" s="7">
        <f>_xlfn.STDEV.S(N15:N32)</f>
        <v>0.21927503856694849</v>
      </c>
    </row>
    <row r="16" spans="1:20" x14ac:dyDescent="0.25">
      <c r="A16" s="35"/>
      <c r="B16" s="22">
        <v>2</v>
      </c>
      <c r="C16" s="22">
        <v>50.1</v>
      </c>
      <c r="D16" s="36">
        <f t="shared" si="0"/>
        <v>6.9262672811059911</v>
      </c>
      <c r="E16" s="22">
        <v>1.51</v>
      </c>
      <c r="F16" s="22">
        <v>2.92</v>
      </c>
      <c r="G16" s="22">
        <v>10.85</v>
      </c>
      <c r="H16" s="22"/>
      <c r="I16" s="41"/>
      <c r="J16" s="19"/>
      <c r="K16" s="38"/>
      <c r="L16" s="7">
        <v>2</v>
      </c>
      <c r="M16" s="7">
        <v>48.2</v>
      </c>
      <c r="N16" s="37">
        <f t="shared" si="1"/>
        <v>7.3775510204081627</v>
      </c>
      <c r="O16" s="7">
        <v>1.5</v>
      </c>
      <c r="P16" s="7">
        <v>3.13</v>
      </c>
      <c r="Q16" s="7">
        <v>9.8000000000000007</v>
      </c>
      <c r="R16" s="7"/>
      <c r="S16" s="7"/>
    </row>
    <row r="17" spans="1:20" x14ac:dyDescent="0.25">
      <c r="A17" s="35"/>
      <c r="B17" s="22">
        <v>3</v>
      </c>
      <c r="C17" s="22">
        <v>49.8</v>
      </c>
      <c r="D17" s="36">
        <f t="shared" si="0"/>
        <v>6.8847926267281103</v>
      </c>
      <c r="E17" s="22">
        <v>1.51</v>
      </c>
      <c r="F17" s="22">
        <v>2.9</v>
      </c>
      <c r="G17" s="22">
        <v>10.85</v>
      </c>
      <c r="H17" s="22"/>
      <c r="I17" s="41"/>
      <c r="J17" s="19"/>
      <c r="K17" s="38"/>
      <c r="L17" s="7">
        <v>3</v>
      </c>
      <c r="M17" s="7">
        <v>50.6</v>
      </c>
      <c r="N17" s="37">
        <f t="shared" si="1"/>
        <v>7.7448979591836737</v>
      </c>
      <c r="O17" s="7">
        <v>1.51</v>
      </c>
      <c r="P17" s="7">
        <v>3.12</v>
      </c>
      <c r="Q17" s="7">
        <v>9.8000000000000007</v>
      </c>
      <c r="R17" s="7"/>
      <c r="S17" s="7"/>
    </row>
    <row r="18" spans="1:20" x14ac:dyDescent="0.25">
      <c r="A18" s="19" t="s">
        <v>1</v>
      </c>
      <c r="B18" s="19">
        <v>1</v>
      </c>
      <c r="C18" s="19">
        <v>47.8</v>
      </c>
      <c r="D18" s="28">
        <f t="shared" si="0"/>
        <v>7.2865853658536581</v>
      </c>
      <c r="E18" s="19">
        <v>1.52</v>
      </c>
      <c r="F18" s="19">
        <v>2.5499999999999998</v>
      </c>
      <c r="G18" s="19">
        <v>9.84</v>
      </c>
      <c r="H18" s="19"/>
      <c r="I18" s="27"/>
      <c r="J18" s="19"/>
      <c r="K18" s="38"/>
      <c r="L18" s="7">
        <v>4</v>
      </c>
      <c r="M18" s="7">
        <v>48.4</v>
      </c>
      <c r="N18" s="37">
        <f t="shared" si="1"/>
        <v>7.4081632653061211</v>
      </c>
      <c r="O18" s="7">
        <v>1.49</v>
      </c>
      <c r="P18" s="7">
        <v>3.12</v>
      </c>
      <c r="Q18" s="7">
        <v>9.8000000000000007</v>
      </c>
      <c r="R18" s="7"/>
      <c r="S18" s="7"/>
    </row>
    <row r="19" spans="1:20" x14ac:dyDescent="0.25">
      <c r="A19" s="19"/>
      <c r="B19" s="19">
        <v>2</v>
      </c>
      <c r="C19" s="19">
        <v>45.3</v>
      </c>
      <c r="D19" s="28">
        <f t="shared" si="0"/>
        <v>6.9054878048780477</v>
      </c>
      <c r="E19" s="19">
        <v>1.49</v>
      </c>
      <c r="F19" s="19">
        <v>3.16</v>
      </c>
      <c r="G19" s="19">
        <v>9.84</v>
      </c>
      <c r="H19" s="19"/>
      <c r="I19" s="27"/>
      <c r="J19" s="19"/>
      <c r="K19" s="38"/>
      <c r="L19" s="7">
        <v>5</v>
      </c>
      <c r="M19" s="7">
        <v>48.8</v>
      </c>
      <c r="N19" s="37">
        <f t="shared" si="1"/>
        <v>7.4693877551020398</v>
      </c>
      <c r="O19" s="7">
        <v>1.51</v>
      </c>
      <c r="P19" s="7">
        <v>3.01</v>
      </c>
      <c r="Q19" s="7">
        <v>9.8000000000000007</v>
      </c>
      <c r="R19" s="7"/>
      <c r="S19" s="7"/>
    </row>
    <row r="20" spans="1:20" x14ac:dyDescent="0.25">
      <c r="A20" s="19"/>
      <c r="B20" s="19">
        <v>3</v>
      </c>
      <c r="C20" s="19">
        <v>46.7</v>
      </c>
      <c r="D20" s="28">
        <f t="shared" si="0"/>
        <v>7.1189024390243896</v>
      </c>
      <c r="E20" s="19">
        <v>1.5</v>
      </c>
      <c r="F20" s="19">
        <v>3.5</v>
      </c>
      <c r="G20" s="19">
        <v>9.84</v>
      </c>
      <c r="H20" s="19"/>
      <c r="I20" s="27"/>
      <c r="J20" s="19"/>
      <c r="K20" s="38"/>
      <c r="L20" s="7">
        <v>6</v>
      </c>
      <c r="M20" s="7">
        <v>47.7</v>
      </c>
      <c r="N20" s="37">
        <f t="shared" si="1"/>
        <v>7.3010204081632653</v>
      </c>
      <c r="O20" s="7">
        <v>1.5</v>
      </c>
      <c r="P20" s="7">
        <v>3.15</v>
      </c>
      <c r="Q20" s="7">
        <v>9.8000000000000007</v>
      </c>
      <c r="R20" s="7"/>
      <c r="S20" s="7"/>
    </row>
    <row r="21" spans="1:20" x14ac:dyDescent="0.25">
      <c r="A21" s="19"/>
      <c r="B21" s="19">
        <v>4</v>
      </c>
      <c r="C21" s="19">
        <v>43.6</v>
      </c>
      <c r="D21" s="28">
        <f t="shared" si="0"/>
        <v>6.6463414634146334</v>
      </c>
      <c r="E21" s="19">
        <v>1.49</v>
      </c>
      <c r="F21" s="19">
        <v>3.27</v>
      </c>
      <c r="G21" s="19">
        <v>9.84</v>
      </c>
      <c r="H21" s="19"/>
      <c r="I21" s="27"/>
      <c r="J21" s="19"/>
      <c r="K21" s="38"/>
      <c r="L21" s="7">
        <v>7</v>
      </c>
      <c r="M21" s="7">
        <v>49.1</v>
      </c>
      <c r="N21" s="37">
        <f t="shared" si="1"/>
        <v>7.5153061224489779</v>
      </c>
      <c r="O21" s="7">
        <v>1.52</v>
      </c>
      <c r="P21" s="7">
        <v>2.95</v>
      </c>
      <c r="Q21" s="7">
        <v>9.8000000000000007</v>
      </c>
      <c r="R21" s="7"/>
      <c r="S21" s="7"/>
    </row>
    <row r="22" spans="1:20" x14ac:dyDescent="0.25">
      <c r="A22" s="19"/>
      <c r="B22" s="19">
        <v>5</v>
      </c>
      <c r="C22" s="19">
        <v>46.3</v>
      </c>
      <c r="D22" s="28">
        <f t="shared" si="0"/>
        <v>7.0579268292682924</v>
      </c>
      <c r="E22" s="19">
        <v>1.52</v>
      </c>
      <c r="F22" s="19">
        <v>3.05</v>
      </c>
      <c r="G22" s="19">
        <v>9.84</v>
      </c>
      <c r="H22" s="19"/>
      <c r="I22" s="27"/>
      <c r="J22" s="19"/>
      <c r="K22" s="1" t="s">
        <v>1</v>
      </c>
      <c r="L22">
        <v>1</v>
      </c>
      <c r="M22">
        <v>54.9</v>
      </c>
      <c r="N22" s="11">
        <f t="shared" si="1"/>
        <v>7.8879310344827589</v>
      </c>
      <c r="O22">
        <v>1.52</v>
      </c>
      <c r="P22">
        <v>3.02</v>
      </c>
      <c r="Q22">
        <v>10.44</v>
      </c>
    </row>
    <row r="23" spans="1:20" x14ac:dyDescent="0.25">
      <c r="A23" s="22" t="s">
        <v>0</v>
      </c>
      <c r="B23" s="22">
        <v>1</v>
      </c>
      <c r="C23" s="22">
        <v>45</v>
      </c>
      <c r="D23" s="36">
        <f t="shared" si="0"/>
        <v>6.8113017154389501</v>
      </c>
      <c r="E23" s="22">
        <v>1.52</v>
      </c>
      <c r="F23" s="22">
        <v>2.92</v>
      </c>
      <c r="G23" s="22">
        <v>9.91</v>
      </c>
      <c r="H23" s="22"/>
      <c r="I23" s="41"/>
      <c r="J23" s="19"/>
      <c r="K23" s="1"/>
      <c r="L23">
        <v>2</v>
      </c>
      <c r="M23">
        <v>52.3</v>
      </c>
      <c r="N23" s="11">
        <f t="shared" si="1"/>
        <v>7.5143678160919549</v>
      </c>
      <c r="O23">
        <v>1.74</v>
      </c>
      <c r="P23">
        <v>2.56</v>
      </c>
      <c r="Q23">
        <v>10.44</v>
      </c>
    </row>
    <row r="24" spans="1:20" ht="15" customHeight="1" x14ac:dyDescent="0.25">
      <c r="A24" s="22"/>
      <c r="B24" s="22">
        <v>2</v>
      </c>
      <c r="C24" s="22">
        <v>44</v>
      </c>
      <c r="D24" s="36">
        <f t="shared" si="0"/>
        <v>6.6599394550958619</v>
      </c>
      <c r="E24" s="22">
        <v>1.51</v>
      </c>
      <c r="F24" s="22">
        <v>3.21</v>
      </c>
      <c r="G24" s="22">
        <v>9.91</v>
      </c>
      <c r="H24" s="22"/>
      <c r="I24" s="41"/>
      <c r="J24" s="19"/>
      <c r="K24" s="1"/>
      <c r="L24">
        <v>3</v>
      </c>
      <c r="M24">
        <v>54.9</v>
      </c>
      <c r="N24" s="11">
        <f t="shared" si="1"/>
        <v>7.8879310344827589</v>
      </c>
      <c r="O24">
        <v>1.51</v>
      </c>
      <c r="P24">
        <v>3.09</v>
      </c>
      <c r="Q24">
        <v>10.44</v>
      </c>
    </row>
    <row r="25" spans="1:20" x14ac:dyDescent="0.25">
      <c r="A25" s="22"/>
      <c r="B25" s="22">
        <v>3</v>
      </c>
      <c r="C25" s="22">
        <v>45.7</v>
      </c>
      <c r="D25" s="36">
        <f t="shared" si="0"/>
        <v>6.9172552976791115</v>
      </c>
      <c r="E25" s="22">
        <v>1.51</v>
      </c>
      <c r="F25" s="22">
        <v>3</v>
      </c>
      <c r="G25" s="22">
        <v>9.91</v>
      </c>
      <c r="H25" s="22"/>
      <c r="I25" s="41"/>
      <c r="J25" s="19"/>
      <c r="L25">
        <v>4</v>
      </c>
      <c r="M25">
        <v>53.5</v>
      </c>
      <c r="N25" s="11">
        <f t="shared" si="1"/>
        <v>7.6867816091954015</v>
      </c>
      <c r="O25">
        <v>1.51</v>
      </c>
      <c r="P25">
        <v>3.06</v>
      </c>
      <c r="Q25">
        <v>10.44</v>
      </c>
    </row>
    <row r="26" spans="1:20" x14ac:dyDescent="0.25">
      <c r="A26" s="22"/>
      <c r="B26" s="9">
        <v>4</v>
      </c>
      <c r="C26" s="9">
        <v>42.8</v>
      </c>
      <c r="D26" s="31">
        <f t="shared" si="0"/>
        <v>6.4783047426841573</v>
      </c>
      <c r="E26" s="9">
        <v>1.49</v>
      </c>
      <c r="F26" s="9">
        <v>2.88</v>
      </c>
      <c r="G26" s="22">
        <v>9.91</v>
      </c>
      <c r="H26" s="9"/>
      <c r="I26" s="40"/>
      <c r="J26" s="3"/>
      <c r="K26" s="6" t="s">
        <v>0</v>
      </c>
      <c r="L26" s="7">
        <v>1</v>
      </c>
      <c r="M26" s="7">
        <v>55.1</v>
      </c>
      <c r="N26" s="37">
        <f t="shared" si="1"/>
        <v>8.0242718446601948</v>
      </c>
      <c r="O26" s="7">
        <v>1.53</v>
      </c>
      <c r="P26" s="7">
        <v>3.11</v>
      </c>
      <c r="Q26" s="7">
        <v>10.3</v>
      </c>
      <c r="R26" s="7"/>
      <c r="S26" s="7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6"/>
      <c r="L27" s="7">
        <v>2</v>
      </c>
      <c r="M27" s="7">
        <v>55</v>
      </c>
      <c r="N27" s="37">
        <f t="shared" si="1"/>
        <v>8.0097087378640772</v>
      </c>
      <c r="O27" s="7">
        <v>1.51</v>
      </c>
      <c r="P27" s="7">
        <v>3.05</v>
      </c>
      <c r="Q27" s="7">
        <v>10.3</v>
      </c>
      <c r="R27" s="7"/>
      <c r="S27" s="7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6"/>
      <c r="L28" s="7">
        <v>3</v>
      </c>
      <c r="M28" s="7">
        <v>51.1</v>
      </c>
      <c r="N28" s="37">
        <f t="shared" si="1"/>
        <v>7.441747572815534</v>
      </c>
      <c r="O28" s="7">
        <v>1.51</v>
      </c>
      <c r="P28" s="7">
        <v>2.97</v>
      </c>
      <c r="Q28" s="7">
        <v>10.3</v>
      </c>
      <c r="R28" s="7"/>
      <c r="S28" s="7"/>
    </row>
    <row r="29" spans="1:20" ht="30.75" customHeight="1" x14ac:dyDescent="0.25">
      <c r="A29" s="15" t="s">
        <v>14</v>
      </c>
      <c r="B29" s="25" t="s">
        <v>7</v>
      </c>
      <c r="C29" s="14" t="s">
        <v>27</v>
      </c>
      <c r="D29" s="15" t="s">
        <v>24</v>
      </c>
      <c r="E29" s="15" t="s">
        <v>12</v>
      </c>
      <c r="F29" s="15" t="s">
        <v>11</v>
      </c>
      <c r="G29" s="14" t="s">
        <v>5</v>
      </c>
      <c r="H29" s="13" t="s">
        <v>4</v>
      </c>
      <c r="I29" s="13" t="s">
        <v>3</v>
      </c>
      <c r="K29" s="6"/>
      <c r="L29" s="7">
        <v>4</v>
      </c>
      <c r="M29" s="7">
        <v>52.2</v>
      </c>
      <c r="N29" s="37">
        <f t="shared" si="1"/>
        <v>7.6019417475728144</v>
      </c>
      <c r="O29" s="7">
        <v>1.52</v>
      </c>
      <c r="P29" s="7">
        <v>3.13</v>
      </c>
      <c r="Q29" s="7">
        <v>10.3</v>
      </c>
      <c r="R29" s="7"/>
      <c r="S29" s="7"/>
    </row>
    <row r="30" spans="1:20" ht="15" customHeight="1" x14ac:dyDescent="0.25">
      <c r="A30" s="38" t="s">
        <v>2</v>
      </c>
      <c r="B30" s="7">
        <v>1</v>
      </c>
      <c r="C30" s="7">
        <v>44.5</v>
      </c>
      <c r="D30" s="21">
        <f t="shared" ref="D30:D41" si="2">C30/G30*0.015*100</f>
        <v>6.4059500959692901</v>
      </c>
      <c r="E30" s="7">
        <v>1.51</v>
      </c>
      <c r="F30" s="7">
        <v>2.96</v>
      </c>
      <c r="G30" s="7">
        <v>10.42</v>
      </c>
      <c r="H30" s="21">
        <f>AVERAGE(D30:D41)</f>
        <v>6.2300813071273922</v>
      </c>
      <c r="I30" s="7">
        <f>_xlfn.STDEV.S(D30:D41)</f>
        <v>0.23425515561855062</v>
      </c>
      <c r="K30" s="6"/>
      <c r="L30" s="7">
        <v>5</v>
      </c>
      <c r="M30" s="7">
        <v>51.7</v>
      </c>
      <c r="N30" s="37">
        <f t="shared" si="1"/>
        <v>7.5291262135922326</v>
      </c>
      <c r="O30" s="7">
        <v>1.51</v>
      </c>
      <c r="P30" s="7">
        <v>3.2</v>
      </c>
      <c r="Q30" s="7">
        <v>10.3</v>
      </c>
      <c r="R30" s="7"/>
      <c r="S30" s="7"/>
      <c r="T30" s="27"/>
    </row>
    <row r="31" spans="1:20" x14ac:dyDescent="0.25">
      <c r="A31" s="38"/>
      <c r="B31" s="7">
        <v>2</v>
      </c>
      <c r="C31" s="7">
        <v>45.7</v>
      </c>
      <c r="D31" s="21">
        <f t="shared" si="2"/>
        <v>6.5786948176583495</v>
      </c>
      <c r="E31" s="7">
        <v>1.51</v>
      </c>
      <c r="F31" s="7">
        <v>2.99</v>
      </c>
      <c r="G31" s="7">
        <v>10.42</v>
      </c>
      <c r="H31" s="7"/>
      <c r="I31" s="7"/>
      <c r="K31" s="6"/>
      <c r="L31" s="7">
        <v>6</v>
      </c>
      <c r="M31" s="7">
        <v>51</v>
      </c>
      <c r="N31" s="37">
        <f t="shared" si="1"/>
        <v>7.4271844660194164</v>
      </c>
      <c r="O31" s="7">
        <v>1.56</v>
      </c>
      <c r="P31" s="7">
        <v>4.01</v>
      </c>
      <c r="Q31" s="7">
        <v>10.3</v>
      </c>
      <c r="R31" s="7"/>
      <c r="S31" s="7"/>
    </row>
    <row r="32" spans="1:20" x14ac:dyDescent="0.25">
      <c r="A32" s="38"/>
      <c r="B32" s="7">
        <v>3</v>
      </c>
      <c r="C32" s="7">
        <v>44.8</v>
      </c>
      <c r="D32" s="21">
        <f t="shared" si="2"/>
        <v>6.4491362763915543</v>
      </c>
      <c r="E32" s="7">
        <v>1.5</v>
      </c>
      <c r="F32" s="7">
        <v>3.03</v>
      </c>
      <c r="G32" s="7">
        <v>10.42</v>
      </c>
      <c r="H32" s="7"/>
      <c r="I32" s="7"/>
      <c r="K32" s="6"/>
      <c r="L32" s="7">
        <v>7</v>
      </c>
      <c r="M32" s="7">
        <v>53</v>
      </c>
      <c r="N32" s="37">
        <f t="shared" si="1"/>
        <v>7.7184466019417464</v>
      </c>
      <c r="O32" s="7">
        <v>1.52</v>
      </c>
      <c r="P32" s="7">
        <v>3.17</v>
      </c>
      <c r="Q32" s="7">
        <v>10.3</v>
      </c>
      <c r="R32" s="7"/>
      <c r="S32" s="7"/>
    </row>
    <row r="33" spans="1:19" x14ac:dyDescent="0.25">
      <c r="A33" s="7"/>
      <c r="B33" s="7">
        <v>4</v>
      </c>
      <c r="C33" s="7">
        <v>44.3</v>
      </c>
      <c r="D33" s="21">
        <f t="shared" si="2"/>
        <v>6.3771593090211134</v>
      </c>
      <c r="E33" s="7">
        <v>1.51</v>
      </c>
      <c r="F33" s="7">
        <v>3.04</v>
      </c>
      <c r="G33" s="7">
        <v>10.42</v>
      </c>
      <c r="H33" s="7"/>
      <c r="I33" s="7"/>
      <c r="L33" s="93"/>
      <c r="M33" s="3"/>
      <c r="O33" s="26"/>
      <c r="R33" s="1"/>
    </row>
    <row r="34" spans="1:19" x14ac:dyDescent="0.25">
      <c r="A34" s="1" t="s">
        <v>1</v>
      </c>
      <c r="B34">
        <v>1</v>
      </c>
      <c r="C34">
        <v>39.799999999999997</v>
      </c>
      <c r="D34" s="17">
        <f t="shared" si="2"/>
        <v>5.8817733990147776</v>
      </c>
      <c r="E34">
        <v>1.51</v>
      </c>
      <c r="F34">
        <v>2.95</v>
      </c>
      <c r="G34">
        <v>10.15</v>
      </c>
    </row>
    <row r="35" spans="1:19" x14ac:dyDescent="0.25">
      <c r="A35" s="1"/>
      <c r="B35">
        <v>2</v>
      </c>
      <c r="C35">
        <v>39.5</v>
      </c>
      <c r="D35" s="17">
        <f t="shared" si="2"/>
        <v>5.8374384236453203</v>
      </c>
      <c r="E35">
        <v>1.49</v>
      </c>
      <c r="F35">
        <v>3.12</v>
      </c>
      <c r="G35">
        <v>10.15</v>
      </c>
    </row>
    <row r="36" spans="1:19" x14ac:dyDescent="0.25">
      <c r="A36" s="1"/>
      <c r="B36">
        <v>3</v>
      </c>
      <c r="C36">
        <v>41.6</v>
      </c>
      <c r="D36" s="17">
        <f t="shared" si="2"/>
        <v>6.1477832512315276</v>
      </c>
      <c r="E36">
        <v>1.51</v>
      </c>
      <c r="F36">
        <v>3.04</v>
      </c>
      <c r="G36">
        <v>10.15</v>
      </c>
    </row>
    <row r="37" spans="1:19" x14ac:dyDescent="0.25">
      <c r="B37">
        <v>4</v>
      </c>
      <c r="C37">
        <v>41</v>
      </c>
      <c r="D37" s="17">
        <f t="shared" si="2"/>
        <v>6.0591133004926103</v>
      </c>
      <c r="E37">
        <v>1.51</v>
      </c>
      <c r="F37">
        <v>3.08</v>
      </c>
      <c r="G37">
        <v>10.15</v>
      </c>
    </row>
    <row r="38" spans="1:19" x14ac:dyDescent="0.25">
      <c r="B38">
        <v>5</v>
      </c>
      <c r="C38">
        <v>40.9</v>
      </c>
      <c r="D38" s="17">
        <f t="shared" si="2"/>
        <v>6.0443349753694573</v>
      </c>
      <c r="E38">
        <v>1.52</v>
      </c>
      <c r="F38">
        <v>2.93</v>
      </c>
      <c r="G38">
        <v>10.15</v>
      </c>
    </row>
    <row r="39" spans="1:19" x14ac:dyDescent="0.25">
      <c r="A39" s="6" t="s">
        <v>0</v>
      </c>
      <c r="B39" s="7">
        <v>1</v>
      </c>
      <c r="C39" s="7">
        <v>41.4</v>
      </c>
      <c r="D39" s="21">
        <f t="shared" si="2"/>
        <v>6.3367346938775508</v>
      </c>
      <c r="E39" s="7">
        <v>1.5</v>
      </c>
      <c r="F39" s="7">
        <v>3.08</v>
      </c>
      <c r="G39" s="7">
        <v>9.8000000000000007</v>
      </c>
      <c r="H39" s="7"/>
      <c r="I39" s="7"/>
      <c r="J39" s="34"/>
    </row>
    <row r="40" spans="1:19" x14ac:dyDescent="0.25">
      <c r="A40" s="6"/>
      <c r="B40" s="7">
        <v>2</v>
      </c>
      <c r="C40" s="7">
        <v>41.7</v>
      </c>
      <c r="D40" s="21">
        <f t="shared" si="2"/>
        <v>6.3826530612244889</v>
      </c>
      <c r="E40" s="7">
        <v>1.5</v>
      </c>
      <c r="F40" s="7">
        <v>3.05</v>
      </c>
      <c r="G40" s="7">
        <v>9.8000000000000007</v>
      </c>
      <c r="H40" s="7"/>
      <c r="I40" s="7"/>
      <c r="J40" s="34"/>
    </row>
    <row r="41" spans="1:19" ht="15" customHeight="1" x14ac:dyDescent="0.25">
      <c r="A41" s="6"/>
      <c r="B41" s="7">
        <v>3</v>
      </c>
      <c r="C41" s="7">
        <v>40.9</v>
      </c>
      <c r="D41" s="21">
        <f t="shared" si="2"/>
        <v>6.2602040816326516</v>
      </c>
      <c r="E41" s="7">
        <v>1.52</v>
      </c>
      <c r="F41" s="7">
        <v>3.04</v>
      </c>
      <c r="G41" s="7">
        <v>9.8000000000000007</v>
      </c>
      <c r="H41" s="7"/>
      <c r="I41" s="7"/>
      <c r="J41" s="34"/>
    </row>
    <row r="42" spans="1:19" ht="15" customHeight="1" x14ac:dyDescent="0.25"/>
    <row r="43" spans="1:19" ht="45" x14ac:dyDescent="0.25">
      <c r="A43" s="15" t="s">
        <v>16</v>
      </c>
      <c r="B43" s="25" t="s">
        <v>7</v>
      </c>
      <c r="C43" s="14" t="s">
        <v>27</v>
      </c>
      <c r="D43" s="15" t="s">
        <v>24</v>
      </c>
      <c r="E43" s="15" t="s">
        <v>12</v>
      </c>
      <c r="F43" s="15" t="s">
        <v>11</v>
      </c>
      <c r="G43" s="14" t="s">
        <v>5</v>
      </c>
      <c r="H43" s="13" t="s">
        <v>4</v>
      </c>
      <c r="I43" s="13" t="s">
        <v>3</v>
      </c>
      <c r="K43" s="15" t="s">
        <v>26</v>
      </c>
      <c r="L43" s="25" t="s">
        <v>7</v>
      </c>
      <c r="M43" s="15" t="s">
        <v>25</v>
      </c>
      <c r="N43" s="15" t="s">
        <v>12</v>
      </c>
      <c r="O43" s="15" t="s">
        <v>11</v>
      </c>
      <c r="P43" s="15" t="s">
        <v>24</v>
      </c>
      <c r="Q43" s="14" t="s">
        <v>5</v>
      </c>
      <c r="R43" s="13" t="s">
        <v>4</v>
      </c>
      <c r="S43" s="13" t="s">
        <v>3</v>
      </c>
    </row>
    <row r="44" spans="1:19" x14ac:dyDescent="0.25">
      <c r="A44" s="38" t="s">
        <v>2</v>
      </c>
      <c r="B44" s="7">
        <v>1</v>
      </c>
      <c r="C44" s="7">
        <v>60.7</v>
      </c>
      <c r="D44" s="21">
        <f t="shared" ref="D44:D54" si="3">C44/G44*0.015*100</f>
        <v>8.7632338787295474</v>
      </c>
      <c r="E44" s="7">
        <v>1.51</v>
      </c>
      <c r="F44" s="7">
        <v>3.26</v>
      </c>
      <c r="G44" s="7">
        <v>10.39</v>
      </c>
      <c r="H44" s="21">
        <f>AVERAGE(D44:D54)</f>
        <v>8.6983034855135504</v>
      </c>
      <c r="I44" s="7">
        <f>_xlfn.STDEV.S(D44:D54)</f>
        <v>0.15793123151361818</v>
      </c>
      <c r="K44" s="101" t="s">
        <v>2</v>
      </c>
      <c r="L44" s="22">
        <v>1</v>
      </c>
      <c r="M44" s="22">
        <v>32.1</v>
      </c>
      <c r="N44" s="22">
        <v>1.51</v>
      </c>
      <c r="O44" s="20">
        <v>3.4</v>
      </c>
      <c r="P44" s="20">
        <f>M44/Q44*100*0.015</f>
        <v>4.8294884653961878</v>
      </c>
      <c r="Q44" s="22">
        <v>9.9700000000000006</v>
      </c>
      <c r="R44" s="36">
        <f>AVERAGE(P44:P58)</f>
        <v>4.7651631713110607</v>
      </c>
      <c r="S44" s="22">
        <f>_xlfn.STDEV.S(P44:P58)</f>
        <v>0.34442007855656182</v>
      </c>
    </row>
    <row r="45" spans="1:19" x14ac:dyDescent="0.25">
      <c r="A45" s="38"/>
      <c r="B45" s="7">
        <v>2</v>
      </c>
      <c r="C45" s="7">
        <v>59.3</v>
      </c>
      <c r="D45" s="21">
        <f t="shared" si="3"/>
        <v>8.561116458132819</v>
      </c>
      <c r="E45" s="7">
        <v>1.51</v>
      </c>
      <c r="F45" s="7">
        <v>3.13</v>
      </c>
      <c r="G45" s="7">
        <v>10.39</v>
      </c>
      <c r="H45" s="7"/>
      <c r="I45" s="7"/>
      <c r="K45" s="101"/>
      <c r="L45" s="22">
        <v>2</v>
      </c>
      <c r="M45" s="22">
        <v>29.2</v>
      </c>
      <c r="N45" s="22">
        <v>1.51</v>
      </c>
      <c r="O45" s="22">
        <v>3.16</v>
      </c>
      <c r="P45" s="20">
        <f>M45/Q44*100*0.015</f>
        <v>4.393179538615847</v>
      </c>
      <c r="Q45" s="22">
        <v>9.9700000000000006</v>
      </c>
      <c r="R45" s="22"/>
      <c r="S45" s="22"/>
    </row>
    <row r="46" spans="1:19" ht="34.5" customHeight="1" x14ac:dyDescent="0.25">
      <c r="A46" s="38"/>
      <c r="B46" s="7">
        <v>3</v>
      </c>
      <c r="C46" s="7">
        <v>59.6</v>
      </c>
      <c r="D46" s="21">
        <f t="shared" si="3"/>
        <v>8.6044273339749751</v>
      </c>
      <c r="E46" s="7">
        <v>1.52</v>
      </c>
      <c r="F46" s="7">
        <v>3.28</v>
      </c>
      <c r="G46" s="7">
        <v>10.39</v>
      </c>
      <c r="H46" s="7"/>
      <c r="I46" s="7"/>
      <c r="K46" s="101"/>
      <c r="L46" s="22">
        <v>3</v>
      </c>
      <c r="M46" s="22">
        <v>27.9</v>
      </c>
      <c r="N46" s="22">
        <v>1.52</v>
      </c>
      <c r="O46" s="22">
        <v>3.37</v>
      </c>
      <c r="P46" s="20">
        <f>M46/Q44*100*0.015</f>
        <v>4.1975927783350047</v>
      </c>
      <c r="Q46" s="22">
        <v>9.9700000000000006</v>
      </c>
      <c r="R46" s="22"/>
      <c r="S46" s="22"/>
    </row>
    <row r="47" spans="1:19" x14ac:dyDescent="0.25">
      <c r="A47" s="1" t="s">
        <v>1</v>
      </c>
      <c r="B47">
        <v>1</v>
      </c>
      <c r="C47">
        <v>59.8</v>
      </c>
      <c r="D47" s="17">
        <f t="shared" si="3"/>
        <v>8.7683284457477981</v>
      </c>
      <c r="E47">
        <v>1.52</v>
      </c>
      <c r="F47">
        <v>3.21</v>
      </c>
      <c r="G47">
        <v>10.23</v>
      </c>
      <c r="J47" s="34"/>
      <c r="K47" s="101"/>
      <c r="L47" s="22">
        <v>4</v>
      </c>
      <c r="M47" s="22">
        <v>27.7</v>
      </c>
      <c r="N47" s="22">
        <v>1.52</v>
      </c>
      <c r="O47" s="22">
        <v>3.58</v>
      </c>
      <c r="P47" s="20">
        <f>M47/Q44*100*0.015</f>
        <v>4.1675025075225669</v>
      </c>
      <c r="Q47" s="22">
        <v>9.9700000000000006</v>
      </c>
      <c r="R47" s="22"/>
      <c r="S47" s="22"/>
    </row>
    <row r="48" spans="1:19" x14ac:dyDescent="0.25">
      <c r="A48" s="1"/>
      <c r="B48">
        <v>2</v>
      </c>
      <c r="C48">
        <v>59.8</v>
      </c>
      <c r="D48" s="17">
        <f t="shared" si="3"/>
        <v>8.7683284457477981</v>
      </c>
      <c r="E48">
        <v>1.52</v>
      </c>
      <c r="F48">
        <v>3.2</v>
      </c>
      <c r="G48">
        <v>10.23</v>
      </c>
      <c r="J48" s="34"/>
      <c r="K48" s="22"/>
      <c r="L48" s="22">
        <v>5</v>
      </c>
      <c r="M48" s="22">
        <v>31.6</v>
      </c>
      <c r="N48" s="22">
        <v>1.52</v>
      </c>
      <c r="O48" s="22">
        <v>3.55</v>
      </c>
      <c r="P48" s="20">
        <f>M48/Q44*100*0.015</f>
        <v>4.7542627883650947</v>
      </c>
      <c r="Q48" s="22">
        <v>9.9700000000000006</v>
      </c>
      <c r="R48" s="22"/>
      <c r="S48" s="22"/>
    </row>
    <row r="49" spans="1:19" x14ac:dyDescent="0.25">
      <c r="A49" s="1"/>
      <c r="B49">
        <v>3</v>
      </c>
      <c r="C49">
        <v>58.8</v>
      </c>
      <c r="D49" s="17">
        <f t="shared" si="3"/>
        <v>8.6217008797653936</v>
      </c>
      <c r="E49">
        <v>1.52</v>
      </c>
      <c r="F49">
        <v>3.18</v>
      </c>
      <c r="G49">
        <v>10.23</v>
      </c>
      <c r="J49" s="34"/>
      <c r="K49" s="19" t="s">
        <v>1</v>
      </c>
      <c r="L49" s="19">
        <v>1</v>
      </c>
      <c r="M49" s="19">
        <v>32.1</v>
      </c>
      <c r="N49" s="19">
        <v>1.52</v>
      </c>
      <c r="O49" s="19">
        <v>4.09</v>
      </c>
      <c r="P49" s="16">
        <f>M49/Q49*100*0.015</f>
        <v>4.7391732283464565</v>
      </c>
      <c r="Q49" s="19">
        <v>10.16</v>
      </c>
      <c r="R49" s="19"/>
      <c r="S49" s="19"/>
    </row>
    <row r="50" spans="1:19" x14ac:dyDescent="0.25">
      <c r="A50" s="6" t="s">
        <v>0</v>
      </c>
      <c r="B50" s="7">
        <v>1</v>
      </c>
      <c r="C50" s="7">
        <v>62.8</v>
      </c>
      <c r="D50" s="21">
        <f t="shared" si="3"/>
        <v>9.1014492753623202</v>
      </c>
      <c r="E50" s="7">
        <v>1.52</v>
      </c>
      <c r="F50" s="7">
        <v>3.21</v>
      </c>
      <c r="G50" s="7">
        <v>10.35</v>
      </c>
      <c r="H50" s="7"/>
      <c r="I50" s="7"/>
      <c r="J50" s="34"/>
      <c r="K50" s="19"/>
      <c r="L50" s="19">
        <v>2</v>
      </c>
      <c r="M50" s="19">
        <v>35.4</v>
      </c>
      <c r="N50" s="19">
        <v>1.51</v>
      </c>
      <c r="O50" s="19">
        <v>3.59</v>
      </c>
      <c r="P50" s="16">
        <f>M50/Q49*100*0.015</f>
        <v>5.2263779527559056</v>
      </c>
      <c r="Q50" s="19">
        <v>10.16</v>
      </c>
      <c r="R50" s="19"/>
      <c r="S50" s="19"/>
    </row>
    <row r="51" spans="1:19" x14ac:dyDescent="0.25">
      <c r="A51" s="6"/>
      <c r="B51" s="7">
        <v>2</v>
      </c>
      <c r="C51" s="7">
        <v>60.1</v>
      </c>
      <c r="D51" s="21">
        <f t="shared" si="3"/>
        <v>8.7101449275362306</v>
      </c>
      <c r="E51" s="7">
        <v>1.51</v>
      </c>
      <c r="F51" s="7">
        <v>3.22</v>
      </c>
      <c r="G51" s="7">
        <v>10.35</v>
      </c>
      <c r="H51" s="7"/>
      <c r="I51" s="7"/>
      <c r="J51" s="34"/>
      <c r="K51" s="19"/>
      <c r="L51" s="19">
        <v>3</v>
      </c>
      <c r="M51" s="19">
        <v>32.299999999999997</v>
      </c>
      <c r="N51" s="19">
        <v>1.49</v>
      </c>
      <c r="O51" s="19">
        <v>3.29</v>
      </c>
      <c r="P51" s="16">
        <f>M51/Q49*100*0.015</f>
        <v>4.7687007874015741</v>
      </c>
      <c r="Q51" s="19">
        <v>10.16</v>
      </c>
      <c r="R51" s="19"/>
      <c r="S51" s="19"/>
    </row>
    <row r="52" spans="1:19" x14ac:dyDescent="0.25">
      <c r="A52" s="6"/>
      <c r="B52" s="7">
        <v>3</v>
      </c>
      <c r="C52" s="7">
        <v>59.3</v>
      </c>
      <c r="D52" s="21">
        <f t="shared" si="3"/>
        <v>8.5942028985507228</v>
      </c>
      <c r="E52" s="7">
        <v>1.52</v>
      </c>
      <c r="F52" s="7">
        <v>3.17</v>
      </c>
      <c r="G52" s="7">
        <v>10.35</v>
      </c>
      <c r="H52" s="7"/>
      <c r="I52" s="7"/>
      <c r="J52" s="34"/>
      <c r="K52" s="19"/>
      <c r="L52" s="19">
        <v>4</v>
      </c>
      <c r="M52" s="19">
        <v>32.5</v>
      </c>
      <c r="N52" s="19">
        <v>1.51</v>
      </c>
      <c r="O52" s="19">
        <v>3.69</v>
      </c>
      <c r="P52" s="16">
        <f>M52/Q49*100*0.015</f>
        <v>4.7982283464566935</v>
      </c>
      <c r="Q52" s="19">
        <v>10.16</v>
      </c>
      <c r="R52" s="19"/>
      <c r="S52" s="19"/>
    </row>
    <row r="53" spans="1:19" x14ac:dyDescent="0.25">
      <c r="A53" s="6"/>
      <c r="B53" s="7">
        <v>4</v>
      </c>
      <c r="C53" s="7">
        <v>58.9</v>
      </c>
      <c r="D53" s="21">
        <f t="shared" si="3"/>
        <v>8.5362318840579707</v>
      </c>
      <c r="E53" s="7">
        <v>1.52</v>
      </c>
      <c r="F53" s="7">
        <v>3.13</v>
      </c>
      <c r="G53" s="7">
        <v>10.35</v>
      </c>
      <c r="H53" s="7"/>
      <c r="I53" s="7"/>
      <c r="J53" s="34"/>
      <c r="K53" s="22" t="s">
        <v>0</v>
      </c>
      <c r="L53" s="22">
        <v>1</v>
      </c>
      <c r="M53" s="22">
        <v>32.4</v>
      </c>
      <c r="N53" s="22">
        <v>1.52</v>
      </c>
      <c r="O53" s="22">
        <v>3.63</v>
      </c>
      <c r="P53" s="20">
        <f>M53/Q53*100*0.015</f>
        <v>4.7647058823529411</v>
      </c>
      <c r="Q53" s="22">
        <v>10.199999999999999</v>
      </c>
      <c r="R53" s="22"/>
      <c r="S53" s="22"/>
    </row>
    <row r="54" spans="1:19" x14ac:dyDescent="0.25">
      <c r="A54" s="6"/>
      <c r="B54" s="7">
        <v>5</v>
      </c>
      <c r="C54" s="7">
        <v>59.7</v>
      </c>
      <c r="D54" s="21">
        <f t="shared" si="3"/>
        <v>8.6521739130434785</v>
      </c>
      <c r="E54" s="7">
        <v>1.52</v>
      </c>
      <c r="F54" s="7">
        <v>3.15</v>
      </c>
      <c r="G54" s="7">
        <v>10.35</v>
      </c>
      <c r="H54" s="7"/>
      <c r="I54" s="7"/>
      <c r="J54" s="34"/>
      <c r="K54" s="22"/>
      <c r="L54" s="22">
        <v>2</v>
      </c>
      <c r="M54" s="22">
        <v>33.299999999999997</v>
      </c>
      <c r="N54" s="22">
        <v>1.51</v>
      </c>
      <c r="O54" s="22">
        <v>3.61</v>
      </c>
      <c r="P54" s="20">
        <f>M54/Q53*100*0.015</f>
        <v>4.8970588235294112</v>
      </c>
      <c r="Q54" s="22">
        <v>10.199999999999999</v>
      </c>
      <c r="R54" s="22"/>
      <c r="S54" s="22"/>
    </row>
    <row r="55" spans="1:19" x14ac:dyDescent="0.25">
      <c r="J55" s="34"/>
      <c r="K55" s="22"/>
      <c r="L55" s="22">
        <v>3</v>
      </c>
      <c r="M55" s="22">
        <v>34.5</v>
      </c>
      <c r="N55" s="22">
        <v>1.52</v>
      </c>
      <c r="O55" s="22">
        <v>3.67</v>
      </c>
      <c r="P55" s="20">
        <f>M55/Q53*100*0.015</f>
        <v>5.0735294117647056</v>
      </c>
      <c r="Q55" s="22">
        <v>10.199999999999999</v>
      </c>
      <c r="R55" s="22"/>
      <c r="S55" s="22"/>
    </row>
    <row r="56" spans="1:19" ht="15" customHeight="1" x14ac:dyDescent="0.25">
      <c r="J56" s="34"/>
      <c r="K56" s="22"/>
      <c r="L56" s="22">
        <v>4</v>
      </c>
      <c r="M56" s="22">
        <v>30.6</v>
      </c>
      <c r="N56" s="22">
        <v>1.52</v>
      </c>
      <c r="O56" s="22">
        <v>3.94</v>
      </c>
      <c r="P56" s="20">
        <f>M56/Q53*100*0.015</f>
        <v>4.5000000000000009</v>
      </c>
      <c r="Q56" s="22">
        <v>10.199999999999999</v>
      </c>
      <c r="R56" s="22"/>
      <c r="S56" s="22"/>
    </row>
    <row r="57" spans="1:19" x14ac:dyDescent="0.25">
      <c r="J57" s="34"/>
      <c r="K57" s="22"/>
      <c r="L57" s="22">
        <v>5</v>
      </c>
      <c r="M57" s="22">
        <v>36.700000000000003</v>
      </c>
      <c r="N57" s="20">
        <v>1.5</v>
      </c>
      <c r="O57" s="22">
        <v>3.54</v>
      </c>
      <c r="P57" s="20">
        <f>M57/Q53*100*0.015</f>
        <v>5.3970588235294121</v>
      </c>
      <c r="Q57" s="22">
        <v>10.199999999999999</v>
      </c>
      <c r="R57" s="22"/>
      <c r="S57" s="22"/>
    </row>
    <row r="58" spans="1:19" x14ac:dyDescent="0.25">
      <c r="J58" s="34"/>
      <c r="K58" s="22"/>
      <c r="L58" s="22">
        <v>6</v>
      </c>
      <c r="M58" s="22">
        <v>33.799999999999997</v>
      </c>
      <c r="N58" s="22">
        <v>1.49</v>
      </c>
      <c r="O58" s="22">
        <v>3.86</v>
      </c>
      <c r="P58" s="20">
        <f>M58/Q53*100*0.015</f>
        <v>4.9705882352941178</v>
      </c>
      <c r="Q58" s="22">
        <v>10.199999999999999</v>
      </c>
      <c r="R58" s="22"/>
      <c r="S58" s="22"/>
    </row>
    <row r="59" spans="1:19" x14ac:dyDescent="0.25">
      <c r="J59" s="34"/>
    </row>
    <row r="68" spans="2:20" ht="15" customHeight="1" x14ac:dyDescent="0.25">
      <c r="B68" s="3"/>
    </row>
    <row r="69" spans="2:20" x14ac:dyDescent="0.25">
      <c r="M69" s="3"/>
      <c r="R69" s="34"/>
      <c r="S69" s="27"/>
      <c r="T69" s="27"/>
    </row>
    <row r="70" spans="2:20" x14ac:dyDescent="0.25">
      <c r="J70" s="19"/>
      <c r="L70" s="92"/>
      <c r="M70" s="3"/>
      <c r="Q70" s="17"/>
      <c r="R70" s="19"/>
      <c r="S70" s="28"/>
      <c r="T70" s="19"/>
    </row>
    <row r="71" spans="2:20" x14ac:dyDescent="0.25">
      <c r="J71" s="19"/>
      <c r="L71" s="92"/>
      <c r="M71" s="3"/>
      <c r="Q71" s="17"/>
      <c r="R71" s="19"/>
      <c r="S71" s="19"/>
      <c r="T71" s="19"/>
    </row>
    <row r="72" spans="2:20" x14ac:dyDescent="0.25">
      <c r="J72" s="19"/>
      <c r="L72" s="92"/>
      <c r="M72" s="3"/>
      <c r="Q72" s="17"/>
      <c r="R72" s="19"/>
      <c r="S72" s="19"/>
      <c r="T72" s="19"/>
    </row>
    <row r="73" spans="2:20" x14ac:dyDescent="0.25">
      <c r="J73" s="19"/>
      <c r="L73" s="92"/>
      <c r="M73" s="3"/>
      <c r="Q73" s="17"/>
      <c r="R73" s="19"/>
      <c r="S73" s="19"/>
      <c r="T73" s="19"/>
    </row>
    <row r="74" spans="2:20" x14ac:dyDescent="0.25">
      <c r="J74" s="19"/>
      <c r="L74" s="92"/>
      <c r="M74" s="3"/>
      <c r="Q74" s="17"/>
      <c r="R74" s="19"/>
      <c r="S74" s="19"/>
      <c r="T74" s="19"/>
    </row>
    <row r="75" spans="2:20" x14ac:dyDescent="0.25">
      <c r="J75" s="19"/>
      <c r="L75" s="92"/>
      <c r="M75" s="3"/>
      <c r="Q75" s="17"/>
      <c r="R75" s="19"/>
      <c r="S75" s="19"/>
      <c r="T75" s="19"/>
    </row>
    <row r="76" spans="2:20" x14ac:dyDescent="0.25">
      <c r="J76" s="19"/>
      <c r="L76" s="19"/>
      <c r="M76" s="3"/>
      <c r="Q76" s="17"/>
      <c r="R76" s="19"/>
      <c r="S76" s="19"/>
      <c r="T76" s="19"/>
    </row>
    <row r="77" spans="2:20" x14ac:dyDescent="0.25">
      <c r="J77" s="19"/>
      <c r="L77" s="19"/>
      <c r="M77" s="3"/>
      <c r="Q77" s="17"/>
      <c r="R77" s="19"/>
      <c r="S77" s="19"/>
      <c r="T77" s="19"/>
    </row>
    <row r="78" spans="2:20" x14ac:dyDescent="0.25">
      <c r="J78" s="19"/>
      <c r="L78" s="19"/>
      <c r="M78" s="3"/>
      <c r="Q78" s="17"/>
      <c r="R78" s="19"/>
      <c r="S78" s="19"/>
      <c r="T78" s="19"/>
    </row>
    <row r="79" spans="2:20" x14ac:dyDescent="0.25">
      <c r="J79" s="19"/>
      <c r="L79" s="19"/>
      <c r="M79" s="3"/>
      <c r="Q79" s="17"/>
      <c r="R79" s="19"/>
      <c r="S79" s="19"/>
      <c r="T79" s="19"/>
    </row>
    <row r="80" spans="2:20" x14ac:dyDescent="0.25">
      <c r="J80" s="19"/>
      <c r="L80" s="19"/>
      <c r="M80" s="3"/>
      <c r="Q80" s="17"/>
      <c r="R80" s="19"/>
      <c r="S80" s="19"/>
      <c r="T80" s="19"/>
    </row>
    <row r="81" spans="10:20" x14ac:dyDescent="0.25">
      <c r="J81" s="19"/>
      <c r="L81" s="19"/>
      <c r="M81" s="3"/>
      <c r="Q81" s="17"/>
      <c r="R81" s="19"/>
      <c r="S81" s="19"/>
      <c r="T81" s="19"/>
    </row>
    <row r="82" spans="10:20" ht="15" customHeight="1" x14ac:dyDescent="0.25">
      <c r="J82" s="19"/>
      <c r="L82" s="19"/>
      <c r="M82" s="3"/>
      <c r="Q82" s="17"/>
      <c r="R82" s="19"/>
      <c r="S82" s="19"/>
      <c r="T82" s="19"/>
    </row>
    <row r="83" spans="10:20" x14ac:dyDescent="0.25">
      <c r="J83" s="19"/>
      <c r="L83" s="19"/>
      <c r="M83" s="3"/>
      <c r="Q83" s="17"/>
      <c r="R83" s="19"/>
      <c r="S83" s="19"/>
      <c r="T83" s="19"/>
    </row>
    <row r="84" spans="10:20" x14ac:dyDescent="0.25">
      <c r="J84" s="19"/>
      <c r="L84" s="19"/>
      <c r="M84" s="3"/>
      <c r="Q84" s="17"/>
      <c r="R84" s="19"/>
      <c r="S84" s="19"/>
      <c r="T84" s="19"/>
    </row>
    <row r="85" spans="10:20" x14ac:dyDescent="0.25">
      <c r="L85" s="19"/>
      <c r="M85" s="3"/>
      <c r="Q85" s="17"/>
      <c r="R85" s="19"/>
      <c r="S85" s="19"/>
      <c r="T85" s="19"/>
    </row>
    <row r="107" spans="4:4" x14ac:dyDescent="0.25">
      <c r="D107" s="3"/>
    </row>
  </sheetData>
  <mergeCells count="2">
    <mergeCell ref="K44:K47"/>
    <mergeCell ref="Q3:Q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3511-7D54-4322-B412-4931517502F4}">
  <dimension ref="A1:S46"/>
  <sheetViews>
    <sheetView zoomScale="83" workbookViewId="0">
      <selection activeCell="S24" sqref="S24"/>
    </sheetView>
  </sheetViews>
  <sheetFormatPr defaultColWidth="11.42578125" defaultRowHeight="15" x14ac:dyDescent="0.25"/>
  <cols>
    <col min="1" max="1" width="30.5703125" customWidth="1"/>
    <col min="8" max="19" width="12.5703125" bestFit="1" customWidth="1"/>
  </cols>
  <sheetData>
    <row r="1" spans="1:19" x14ac:dyDescent="0.25">
      <c r="C1" t="s">
        <v>59</v>
      </c>
      <c r="D1" t="s">
        <v>58</v>
      </c>
    </row>
    <row r="2" spans="1:19" x14ac:dyDescent="0.25">
      <c r="B2" t="s">
        <v>20</v>
      </c>
      <c r="C2" s="18">
        <f>I25</f>
        <v>3.0682709121898384</v>
      </c>
      <c r="D2" s="11">
        <f>I26</f>
        <v>0.16593709657820391</v>
      </c>
      <c r="F2" t="s">
        <v>57</v>
      </c>
      <c r="H2">
        <v>1.4832000000000001</v>
      </c>
      <c r="I2" t="s">
        <v>56</v>
      </c>
    </row>
    <row r="3" spans="1:19" x14ac:dyDescent="0.25">
      <c r="B3" t="s">
        <v>16</v>
      </c>
      <c r="C3" s="18">
        <f>L45</f>
        <v>3.2562276991425301</v>
      </c>
      <c r="D3" s="11">
        <f>L46</f>
        <v>0.32238804714969438</v>
      </c>
      <c r="F3" t="s">
        <v>55</v>
      </c>
      <c r="H3">
        <v>1.4</v>
      </c>
      <c r="I3" t="s">
        <v>54</v>
      </c>
    </row>
    <row r="4" spans="1:19" x14ac:dyDescent="0.25">
      <c r="B4" t="s">
        <v>8</v>
      </c>
      <c r="C4" s="18">
        <f>I45</f>
        <v>2.92138628123528</v>
      </c>
      <c r="D4" s="11">
        <f>I46</f>
        <v>0.2130247020423752</v>
      </c>
      <c r="F4" t="s">
        <v>53</v>
      </c>
      <c r="H4">
        <f>(H2*H3)</f>
        <v>2.0764800000000001</v>
      </c>
    </row>
    <row r="5" spans="1:19" x14ac:dyDescent="0.25">
      <c r="B5" t="s">
        <v>14</v>
      </c>
      <c r="C5" s="18">
        <f>O45</f>
        <v>3.2782564787632396</v>
      </c>
      <c r="D5" s="11">
        <f>O46</f>
        <v>0.19582266721281616</v>
      </c>
      <c r="F5" t="s">
        <v>52</v>
      </c>
      <c r="H5">
        <f>H4*1000</f>
        <v>2076.48</v>
      </c>
    </row>
    <row r="6" spans="1:19" x14ac:dyDescent="0.25">
      <c r="B6" t="s">
        <v>26</v>
      </c>
      <c r="C6" s="18">
        <f>R45</f>
        <v>3.5830426870555656</v>
      </c>
      <c r="D6" s="11">
        <f>R46</f>
        <v>6.474410710574463E-2</v>
      </c>
    </row>
    <row r="7" spans="1:19" x14ac:dyDescent="0.25">
      <c r="C7" s="18"/>
      <c r="D7" s="11"/>
    </row>
    <row r="9" spans="1:19" x14ac:dyDescent="0.25">
      <c r="A9" s="68"/>
      <c r="B9" s="107" t="s">
        <v>51</v>
      </c>
      <c r="C9" s="108"/>
      <c r="D9" s="109"/>
      <c r="E9" s="107" t="s">
        <v>51</v>
      </c>
      <c r="F9" s="108"/>
      <c r="G9" s="109"/>
      <c r="H9" s="107" t="s">
        <v>20</v>
      </c>
      <c r="I9" s="108"/>
      <c r="J9" s="109"/>
      <c r="K9" s="103"/>
      <c r="L9" s="103"/>
      <c r="M9" s="103"/>
      <c r="N9" s="103"/>
      <c r="O9" s="103"/>
      <c r="P9" s="103"/>
      <c r="Q9" s="103"/>
      <c r="R9" s="103"/>
      <c r="S9" s="103"/>
    </row>
    <row r="10" spans="1:19" x14ac:dyDescent="0.25">
      <c r="A10" s="64" t="s">
        <v>50</v>
      </c>
      <c r="B10" s="72">
        <v>7</v>
      </c>
      <c r="C10" s="71">
        <v>8</v>
      </c>
      <c r="D10" s="70">
        <v>9</v>
      </c>
      <c r="E10" s="72">
        <v>10</v>
      </c>
      <c r="F10" s="71">
        <v>11</v>
      </c>
      <c r="G10" s="70">
        <v>12</v>
      </c>
      <c r="H10" s="72">
        <v>1</v>
      </c>
      <c r="I10" s="71">
        <v>2</v>
      </c>
      <c r="J10" s="70">
        <v>3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s="61" t="s">
        <v>49</v>
      </c>
      <c r="B11" s="60"/>
      <c r="C11" s="3"/>
      <c r="D11" s="59"/>
      <c r="E11" s="60"/>
      <c r="F11" s="3"/>
      <c r="G11" s="59"/>
      <c r="H11" s="60">
        <v>39.69</v>
      </c>
      <c r="I11" s="3">
        <v>40.29</v>
      </c>
      <c r="J11" s="59">
        <v>39.99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s="64" t="s">
        <v>48</v>
      </c>
      <c r="B12" s="72">
        <v>2720.54</v>
      </c>
      <c r="C12" s="71">
        <v>2726.57</v>
      </c>
      <c r="D12" s="70">
        <v>2743.87</v>
      </c>
      <c r="E12" s="72">
        <v>2762.4</v>
      </c>
      <c r="F12" s="71">
        <v>2680.78</v>
      </c>
      <c r="G12" s="70">
        <v>2759.4</v>
      </c>
      <c r="H12" s="72">
        <v>2761.14</v>
      </c>
      <c r="I12" s="71">
        <v>2719.64</v>
      </c>
      <c r="J12" s="70">
        <v>2722.2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s="61" t="s">
        <v>47</v>
      </c>
      <c r="B13" s="60">
        <v>4738.28</v>
      </c>
      <c r="C13" s="3">
        <v>4749.3999999999996</v>
      </c>
      <c r="D13" s="59">
        <v>4739.5</v>
      </c>
      <c r="E13" s="60">
        <v>4817.75</v>
      </c>
      <c r="F13" s="3">
        <v>4643.6099999999997</v>
      </c>
      <c r="G13" s="59">
        <v>4697.38</v>
      </c>
      <c r="H13" s="60">
        <v>4653.7700000000004</v>
      </c>
      <c r="I13" s="3">
        <v>4674.34</v>
      </c>
      <c r="J13" s="59">
        <v>4625.78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s="64" t="s">
        <v>46</v>
      </c>
      <c r="B14" s="72">
        <v>2721.3</v>
      </c>
      <c r="C14" s="71">
        <v>2727.38</v>
      </c>
      <c r="D14" s="70">
        <v>2744.85</v>
      </c>
      <c r="E14" s="72">
        <v>2763.2</v>
      </c>
      <c r="F14" s="71">
        <v>2681.51</v>
      </c>
      <c r="G14" s="70">
        <v>2760.16</v>
      </c>
      <c r="H14" s="72">
        <v>2762.97</v>
      </c>
      <c r="I14" s="71">
        <v>2721.63</v>
      </c>
      <c r="J14" s="70">
        <v>2724.01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s="61" t="s">
        <v>45</v>
      </c>
      <c r="B15" s="60"/>
      <c r="C15" s="3"/>
      <c r="D15" s="59"/>
      <c r="E15" s="60"/>
      <c r="F15" s="3"/>
      <c r="G15" s="59"/>
      <c r="H15" s="60"/>
      <c r="I15" s="3"/>
      <c r="J15" s="59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64" t="s">
        <v>44</v>
      </c>
      <c r="B16" s="72">
        <f t="shared" ref="B16:J16" si="0">B14-B12</f>
        <v>0.76000000000021828</v>
      </c>
      <c r="C16" s="72">
        <f t="shared" si="0"/>
        <v>0.80999999999994543</v>
      </c>
      <c r="D16" s="72">
        <f t="shared" si="0"/>
        <v>0.98000000000001819</v>
      </c>
      <c r="E16" s="72">
        <f t="shared" si="0"/>
        <v>0.79999999999972715</v>
      </c>
      <c r="F16" s="72">
        <f t="shared" si="0"/>
        <v>0.73000000000001819</v>
      </c>
      <c r="G16" s="72">
        <f t="shared" si="0"/>
        <v>0.75999999999976353</v>
      </c>
      <c r="H16" s="72">
        <f t="shared" si="0"/>
        <v>1.8299999999999272</v>
      </c>
      <c r="I16" s="71">
        <f t="shared" si="0"/>
        <v>1.9900000000002365</v>
      </c>
      <c r="J16" s="70">
        <f t="shared" si="0"/>
        <v>1.8100000000004002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s="61" t="s">
        <v>43</v>
      </c>
      <c r="B17" s="60"/>
      <c r="C17" s="3" t="s">
        <v>42</v>
      </c>
      <c r="D17" s="59"/>
      <c r="E17" s="60"/>
      <c r="F17" s="3"/>
      <c r="G17" s="59"/>
      <c r="H17" s="60"/>
      <c r="I17" s="3"/>
      <c r="J17" s="59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s="61" t="s">
        <v>36</v>
      </c>
      <c r="B18" s="60"/>
      <c r="C18" s="59">
        <f>AVERAGE(B16:G16)</f>
        <v>0.80666666666661513</v>
      </c>
      <c r="D18" s="59"/>
      <c r="E18" s="60"/>
      <c r="F18" s="3"/>
      <c r="G18" s="59"/>
      <c r="H18" s="63">
        <f t="shared" ref="H18:J18" si="1">(H16/H11)*100</f>
        <v>4.6107331821615709</v>
      </c>
      <c r="I18" s="30">
        <f t="shared" si="1"/>
        <v>4.9391908662204926</v>
      </c>
      <c r="J18" s="62">
        <f t="shared" si="1"/>
        <v>4.5261315328842215</v>
      </c>
      <c r="K18" s="30"/>
      <c r="L18" s="30"/>
      <c r="M18" s="30"/>
      <c r="N18" s="30"/>
      <c r="O18" s="30"/>
      <c r="P18" s="30"/>
      <c r="Q18" s="30"/>
      <c r="R18" s="30"/>
      <c r="S18" s="30"/>
    </row>
    <row r="19" spans="1:19" x14ac:dyDescent="0.25">
      <c r="A19" s="61" t="s">
        <v>41</v>
      </c>
      <c r="B19" s="60"/>
      <c r="C19" s="3"/>
      <c r="D19" s="59"/>
      <c r="E19" s="60"/>
      <c r="F19" s="3"/>
      <c r="G19" s="59"/>
      <c r="H19" s="63">
        <f t="shared" ref="H19:J19" si="2">H13-H12</f>
        <v>1892.6300000000006</v>
      </c>
      <c r="I19" s="30">
        <f t="shared" si="2"/>
        <v>1954.7000000000003</v>
      </c>
      <c r="J19" s="62">
        <f t="shared" si="2"/>
        <v>1903.58</v>
      </c>
      <c r="K19" s="30"/>
      <c r="L19" s="30"/>
      <c r="M19" s="30"/>
      <c r="N19" s="30"/>
      <c r="O19" s="30"/>
      <c r="P19" s="30"/>
      <c r="Q19" s="30"/>
      <c r="R19" s="30"/>
      <c r="S19" s="30"/>
    </row>
    <row r="20" spans="1:19" x14ac:dyDescent="0.25">
      <c r="A20" s="61" t="s">
        <v>40</v>
      </c>
      <c r="B20" s="60"/>
      <c r="C20" s="3"/>
      <c r="D20" s="59"/>
      <c r="E20" s="60"/>
      <c r="F20" s="3"/>
      <c r="G20" s="59"/>
      <c r="H20" s="63">
        <f t="shared" ref="H20:J20" si="3">(H14-H12)+$H$5</f>
        <v>2078.31</v>
      </c>
      <c r="I20" s="30">
        <f t="shared" si="3"/>
        <v>2078.4700000000003</v>
      </c>
      <c r="J20" s="62">
        <f t="shared" si="3"/>
        <v>2078.2900000000004</v>
      </c>
      <c r="K20" s="30"/>
      <c r="L20" s="30"/>
      <c r="M20" s="30"/>
      <c r="N20" s="30"/>
      <c r="O20" s="30"/>
      <c r="P20" s="30"/>
      <c r="Q20" s="30"/>
      <c r="R20" s="30"/>
      <c r="S20" s="30"/>
    </row>
    <row r="21" spans="1:19" x14ac:dyDescent="0.25">
      <c r="A21" s="61" t="s">
        <v>39</v>
      </c>
      <c r="B21" s="60"/>
      <c r="C21" s="3"/>
      <c r="D21" s="59"/>
      <c r="E21" s="60"/>
      <c r="F21" s="3"/>
      <c r="G21" s="59"/>
      <c r="H21" s="63">
        <f t="shared" ref="H21:J21" si="4">H19/H20</f>
        <v>0.91065817900120805</v>
      </c>
      <c r="I21" s="30">
        <f t="shared" si="4"/>
        <v>0.94045138972417208</v>
      </c>
      <c r="J21" s="62">
        <f t="shared" si="4"/>
        <v>0.91593569713562573</v>
      </c>
      <c r="K21" s="30"/>
      <c r="L21" s="30"/>
      <c r="M21" s="30"/>
      <c r="N21" s="30"/>
      <c r="O21" s="30"/>
      <c r="P21" s="30"/>
      <c r="Q21" s="30"/>
      <c r="R21" s="30"/>
      <c r="S21" s="30"/>
    </row>
    <row r="22" spans="1:19" x14ac:dyDescent="0.25">
      <c r="A22" s="61" t="s">
        <v>38</v>
      </c>
      <c r="B22" s="60"/>
      <c r="C22" s="3"/>
      <c r="D22" s="59"/>
      <c r="E22" s="60"/>
      <c r="F22" s="3"/>
      <c r="G22" s="59"/>
      <c r="H22" s="63">
        <f t="shared" ref="H22:J22" si="5">H16/H21</f>
        <v>2.0095355669094581</v>
      </c>
      <c r="I22" s="30">
        <f t="shared" si="5"/>
        <v>2.1160051670335558</v>
      </c>
      <c r="J22" s="62">
        <f t="shared" si="5"/>
        <v>1.9761212557396235</v>
      </c>
      <c r="K22" s="30"/>
      <c r="L22" s="30"/>
      <c r="M22" s="30"/>
      <c r="N22" s="30"/>
      <c r="O22" s="30"/>
      <c r="P22" s="30"/>
      <c r="Q22" s="30"/>
      <c r="R22" s="30"/>
      <c r="S22" s="30"/>
    </row>
    <row r="23" spans="1:19" x14ac:dyDescent="0.25">
      <c r="A23" s="61" t="s">
        <v>37</v>
      </c>
      <c r="B23" s="60"/>
      <c r="C23" s="3"/>
      <c r="D23" s="59"/>
      <c r="E23" s="60"/>
      <c r="F23" s="3"/>
      <c r="G23" s="59"/>
      <c r="H23" s="63">
        <f>H22-$C$18</f>
        <v>1.202868900242843</v>
      </c>
      <c r="I23" s="30">
        <f>I22-$C$18</f>
        <v>1.3093385003669407</v>
      </c>
      <c r="J23" s="62">
        <f>J22-$C$18</f>
        <v>1.1694545890730084</v>
      </c>
      <c r="K23" s="30"/>
      <c r="L23" s="30"/>
      <c r="M23" s="30"/>
      <c r="N23" s="30"/>
      <c r="O23" s="30"/>
      <c r="P23" s="30"/>
      <c r="Q23" s="30"/>
      <c r="R23" s="30"/>
      <c r="S23" s="30"/>
    </row>
    <row r="24" spans="1:19" x14ac:dyDescent="0.25">
      <c r="A24" s="61" t="s">
        <v>36</v>
      </c>
      <c r="B24" s="60"/>
      <c r="C24" s="3"/>
      <c r="D24" s="59"/>
      <c r="E24" s="60"/>
      <c r="F24" s="3"/>
      <c r="G24" s="59"/>
      <c r="H24" s="63">
        <f t="shared" ref="H24:J24" si="6">(H23/H11)*100</f>
        <v>3.0306598645574279</v>
      </c>
      <c r="I24" s="30">
        <f t="shared" si="6"/>
        <v>3.2497853074384229</v>
      </c>
      <c r="J24" s="62">
        <f t="shared" si="6"/>
        <v>2.924367564573664</v>
      </c>
      <c r="K24" s="30"/>
      <c r="L24" s="30"/>
      <c r="M24" s="30"/>
      <c r="N24" s="30"/>
      <c r="O24" s="30"/>
      <c r="P24" s="30"/>
      <c r="Q24" s="30"/>
      <c r="R24" s="30"/>
      <c r="S24" s="30"/>
    </row>
    <row r="25" spans="1:19" x14ac:dyDescent="0.25">
      <c r="A25" s="61" t="s">
        <v>35</v>
      </c>
      <c r="B25" s="56"/>
      <c r="C25" s="55"/>
      <c r="D25" s="54"/>
      <c r="E25" s="56"/>
      <c r="F25" s="55"/>
      <c r="G25" s="54"/>
      <c r="H25" s="56"/>
      <c r="I25" s="29">
        <f>AVERAGE(H24:J24)</f>
        <v>3.0682709121898384</v>
      </c>
      <c r="J25" s="51"/>
      <c r="K25" s="29"/>
      <c r="L25" s="29"/>
      <c r="M25" s="29"/>
      <c r="N25" s="29"/>
      <c r="O25" s="29"/>
      <c r="P25" s="29"/>
      <c r="Q25" s="29"/>
      <c r="R25" s="29"/>
      <c r="S25" s="3"/>
    </row>
    <row r="26" spans="1:19" x14ac:dyDescent="0.25">
      <c r="A26" s="69" t="s">
        <v>34</v>
      </c>
      <c r="B26" s="50"/>
      <c r="C26" s="49"/>
      <c r="D26" s="48"/>
      <c r="E26" s="50"/>
      <c r="F26" s="49"/>
      <c r="G26" s="48"/>
      <c r="H26" s="50"/>
      <c r="I26" s="46">
        <f>_xlfn.STDEV.S(H24:J24)</f>
        <v>0.16593709657820391</v>
      </c>
      <c r="J26" s="45"/>
      <c r="K26" s="29"/>
      <c r="L26" s="29"/>
      <c r="M26" s="29"/>
      <c r="N26" s="29"/>
      <c r="O26" s="29"/>
      <c r="P26" s="29"/>
      <c r="Q26" s="29"/>
      <c r="R26" s="29"/>
      <c r="S26" s="3"/>
    </row>
    <row r="29" spans="1:19" x14ac:dyDescent="0.25">
      <c r="A29" s="68"/>
      <c r="B29" s="104" t="s">
        <v>51</v>
      </c>
      <c r="C29" s="105"/>
      <c r="D29" s="106"/>
      <c r="E29" s="104" t="s">
        <v>51</v>
      </c>
      <c r="F29" s="105"/>
      <c r="G29" s="106"/>
      <c r="H29" s="104" t="s">
        <v>8</v>
      </c>
      <c r="I29" s="105"/>
      <c r="J29" s="106"/>
      <c r="K29" s="104" t="s">
        <v>16</v>
      </c>
      <c r="L29" s="105"/>
      <c r="M29" s="106"/>
      <c r="N29" s="104" t="s">
        <v>14</v>
      </c>
      <c r="O29" s="105"/>
      <c r="P29" s="106"/>
      <c r="Q29" s="104" t="s">
        <v>26</v>
      </c>
      <c r="R29" s="105"/>
      <c r="S29" s="106"/>
    </row>
    <row r="30" spans="1:19" x14ac:dyDescent="0.25">
      <c r="A30" s="94" t="s">
        <v>50</v>
      </c>
      <c r="B30" s="67">
        <v>1</v>
      </c>
      <c r="C30" s="66">
        <v>2</v>
      </c>
      <c r="D30" s="65">
        <v>3</v>
      </c>
      <c r="E30" s="67">
        <v>4</v>
      </c>
      <c r="F30" s="66">
        <v>5</v>
      </c>
      <c r="G30" s="65">
        <v>6</v>
      </c>
      <c r="H30" s="67">
        <v>1</v>
      </c>
      <c r="I30" s="66">
        <v>2</v>
      </c>
      <c r="J30" s="65">
        <v>3</v>
      </c>
      <c r="K30" s="67">
        <v>1</v>
      </c>
      <c r="L30" s="66">
        <v>2</v>
      </c>
      <c r="M30" s="65">
        <v>3</v>
      </c>
      <c r="N30" s="67">
        <v>1</v>
      </c>
      <c r="O30" s="66">
        <v>2</v>
      </c>
      <c r="P30" s="65">
        <v>3</v>
      </c>
      <c r="Q30" s="67">
        <v>1</v>
      </c>
      <c r="R30" s="66">
        <v>2</v>
      </c>
      <c r="S30" s="65">
        <v>3</v>
      </c>
    </row>
    <row r="31" spans="1:19" x14ac:dyDescent="0.25">
      <c r="A31" s="95" t="s">
        <v>49</v>
      </c>
      <c r="B31" s="60"/>
      <c r="C31" s="3"/>
      <c r="D31" s="59"/>
      <c r="E31" s="60"/>
      <c r="F31" s="3"/>
      <c r="G31" s="59"/>
      <c r="H31" s="58">
        <v>40.81</v>
      </c>
      <c r="I31" s="29">
        <v>39.54</v>
      </c>
      <c r="J31" s="57">
        <v>40.950000000000003</v>
      </c>
      <c r="K31" s="58">
        <v>39.82</v>
      </c>
      <c r="L31" s="29">
        <v>40.47</v>
      </c>
      <c r="M31" s="57">
        <v>40.61</v>
      </c>
      <c r="N31" s="58">
        <v>40.5</v>
      </c>
      <c r="O31" s="29">
        <v>39.43</v>
      </c>
      <c r="P31" s="57">
        <v>39.729999999999997</v>
      </c>
      <c r="Q31" s="58">
        <v>40.06</v>
      </c>
      <c r="R31" s="29">
        <v>40.28</v>
      </c>
      <c r="S31" s="57">
        <v>40.17</v>
      </c>
    </row>
    <row r="32" spans="1:19" x14ac:dyDescent="0.25">
      <c r="A32" s="96" t="s">
        <v>48</v>
      </c>
      <c r="B32" s="60">
        <v>2744.65</v>
      </c>
      <c r="C32" s="3">
        <v>2693.49</v>
      </c>
      <c r="D32" s="59">
        <v>2695.02</v>
      </c>
      <c r="E32" s="60">
        <v>2694.42</v>
      </c>
      <c r="F32" s="3">
        <v>2703.94</v>
      </c>
      <c r="G32" s="59">
        <v>2711.27</v>
      </c>
      <c r="H32" s="58">
        <v>2738.16</v>
      </c>
      <c r="I32" s="29">
        <v>2713.87</v>
      </c>
      <c r="J32" s="57">
        <v>2726.47</v>
      </c>
      <c r="K32" s="58">
        <v>2762.91</v>
      </c>
      <c r="L32" s="29">
        <v>2679.64</v>
      </c>
      <c r="M32" s="57">
        <v>2707.42</v>
      </c>
      <c r="N32" s="58">
        <v>2702.45</v>
      </c>
      <c r="O32" s="29">
        <v>2721.69</v>
      </c>
      <c r="P32" s="57">
        <v>2699.49</v>
      </c>
      <c r="Q32" s="58">
        <v>2698.21</v>
      </c>
      <c r="R32" s="29">
        <v>2670.65</v>
      </c>
      <c r="S32" s="57">
        <v>2676.41</v>
      </c>
    </row>
    <row r="33" spans="1:19" x14ac:dyDescent="0.25">
      <c r="A33" s="95" t="s">
        <v>47</v>
      </c>
      <c r="B33" s="60">
        <v>4759.5200000000004</v>
      </c>
      <c r="C33" s="3">
        <v>4772.03</v>
      </c>
      <c r="D33" s="59">
        <v>4714.17</v>
      </c>
      <c r="E33" s="60">
        <v>4712.84</v>
      </c>
      <c r="F33" s="3">
        <v>4742.6499999999996</v>
      </c>
      <c r="G33" s="59">
        <v>4782.59</v>
      </c>
      <c r="H33" s="58">
        <v>4715.83</v>
      </c>
      <c r="I33" s="29">
        <v>4632.0600000000004</v>
      </c>
      <c r="J33" s="57">
        <v>4665.67</v>
      </c>
      <c r="K33" s="58">
        <v>4571.72</v>
      </c>
      <c r="L33" s="29">
        <v>4730.68</v>
      </c>
      <c r="M33" s="57">
        <v>4729.6099999999997</v>
      </c>
      <c r="N33" s="58">
        <v>4566.16</v>
      </c>
      <c r="O33" s="29">
        <v>4661.2299999999996</v>
      </c>
      <c r="P33" s="57">
        <v>4469.4799999999996</v>
      </c>
      <c r="Q33" s="58">
        <v>4581.58</v>
      </c>
      <c r="R33" s="29">
        <v>4451.68</v>
      </c>
      <c r="S33" s="57">
        <v>4670.55</v>
      </c>
    </row>
    <row r="34" spans="1:19" x14ac:dyDescent="0.25">
      <c r="A34" s="96" t="s">
        <v>46</v>
      </c>
      <c r="B34" s="60">
        <v>2745.53</v>
      </c>
      <c r="C34" s="3">
        <v>2694.24</v>
      </c>
      <c r="D34" s="59">
        <v>2695.8</v>
      </c>
      <c r="E34" s="60">
        <v>2695.21</v>
      </c>
      <c r="F34" s="3">
        <v>2704.81</v>
      </c>
      <c r="G34" s="59">
        <v>2712.19</v>
      </c>
      <c r="H34" s="58">
        <v>2740</v>
      </c>
      <c r="I34" s="29">
        <v>2715.71</v>
      </c>
      <c r="J34" s="57">
        <v>2728.44</v>
      </c>
      <c r="K34" s="58">
        <v>2764.89</v>
      </c>
      <c r="L34" s="29">
        <v>2681.67</v>
      </c>
      <c r="M34" s="57">
        <v>2709.46</v>
      </c>
      <c r="N34" s="58">
        <v>2704.37</v>
      </c>
      <c r="O34" s="29">
        <v>2723.61</v>
      </c>
      <c r="P34" s="57">
        <v>2701.38</v>
      </c>
      <c r="Q34" s="58">
        <v>2700.28</v>
      </c>
      <c r="R34" s="29">
        <v>2672.61</v>
      </c>
      <c r="S34" s="57">
        <v>2678.56</v>
      </c>
    </row>
    <row r="35" spans="1:19" x14ac:dyDescent="0.25">
      <c r="A35" s="95" t="s">
        <v>45</v>
      </c>
      <c r="B35" s="60"/>
      <c r="C35" s="3"/>
      <c r="D35" s="59"/>
      <c r="E35" s="60"/>
      <c r="F35" s="3"/>
      <c r="G35" s="59"/>
      <c r="H35" s="58"/>
      <c r="I35" s="29"/>
      <c r="J35" s="57"/>
      <c r="K35" s="58"/>
      <c r="L35" s="29"/>
      <c r="M35" s="57"/>
      <c r="N35" s="58"/>
      <c r="O35" s="29"/>
      <c r="P35" s="57"/>
      <c r="Q35" s="58"/>
      <c r="R35" s="29"/>
      <c r="S35" s="57"/>
    </row>
    <row r="36" spans="1:19" x14ac:dyDescent="0.25">
      <c r="A36" s="96" t="s">
        <v>44</v>
      </c>
      <c r="B36" s="60">
        <f t="shared" ref="B36:S36" si="7">B34-B32</f>
        <v>0.88000000000010914</v>
      </c>
      <c r="C36" s="3">
        <f t="shared" si="7"/>
        <v>0.75</v>
      </c>
      <c r="D36" s="59">
        <f t="shared" si="7"/>
        <v>0.78000000000020009</v>
      </c>
      <c r="E36" s="60">
        <f t="shared" si="7"/>
        <v>0.78999999999996362</v>
      </c>
      <c r="F36" s="3">
        <f t="shared" si="7"/>
        <v>0.86999999999989086</v>
      </c>
      <c r="G36" s="59">
        <f t="shared" si="7"/>
        <v>0.92000000000007276</v>
      </c>
      <c r="H36" s="58">
        <f t="shared" si="7"/>
        <v>1.8400000000001455</v>
      </c>
      <c r="I36" s="29">
        <f t="shared" si="7"/>
        <v>1.8400000000001455</v>
      </c>
      <c r="J36" s="57">
        <f t="shared" si="7"/>
        <v>1.9700000000002547</v>
      </c>
      <c r="K36" s="58">
        <f t="shared" si="7"/>
        <v>1.9800000000000182</v>
      </c>
      <c r="L36" s="29">
        <f t="shared" si="7"/>
        <v>2.0300000000002001</v>
      </c>
      <c r="M36" s="57">
        <f t="shared" si="7"/>
        <v>2.0399999999999636</v>
      </c>
      <c r="N36" s="58">
        <f t="shared" si="7"/>
        <v>1.9200000000000728</v>
      </c>
      <c r="O36" s="29">
        <f t="shared" si="7"/>
        <v>1.9200000000000728</v>
      </c>
      <c r="P36" s="57">
        <f t="shared" si="7"/>
        <v>1.8900000000003274</v>
      </c>
      <c r="Q36" s="58">
        <f t="shared" si="7"/>
        <v>2.0700000000001637</v>
      </c>
      <c r="R36" s="29">
        <f t="shared" si="7"/>
        <v>1.9600000000000364</v>
      </c>
      <c r="S36" s="57">
        <f t="shared" si="7"/>
        <v>2.1500000000000909</v>
      </c>
    </row>
    <row r="37" spans="1:19" x14ac:dyDescent="0.25">
      <c r="A37" s="95" t="s">
        <v>43</v>
      </c>
      <c r="B37" s="60"/>
      <c r="C37" s="3" t="s">
        <v>42</v>
      </c>
      <c r="D37" s="59"/>
      <c r="E37" s="60"/>
      <c r="F37" s="3"/>
      <c r="G37" s="59"/>
      <c r="H37" s="58"/>
      <c r="I37" s="29"/>
      <c r="J37" s="57"/>
      <c r="K37" s="58"/>
      <c r="L37" s="29"/>
      <c r="M37" s="57"/>
      <c r="N37" s="58"/>
      <c r="O37" s="29"/>
      <c r="P37" s="57"/>
      <c r="Q37" s="58"/>
      <c r="R37" s="29"/>
      <c r="S37" s="57"/>
    </row>
    <row r="38" spans="1:19" x14ac:dyDescent="0.25">
      <c r="A38" s="96" t="s">
        <v>36</v>
      </c>
      <c r="B38" s="60"/>
      <c r="C38" s="3">
        <f>AVERAGE(B36:G36)</f>
        <v>0.83166666666670608</v>
      </c>
      <c r="D38" s="59"/>
      <c r="E38" s="60"/>
      <c r="F38" s="3"/>
      <c r="G38" s="59"/>
      <c r="H38" s="58">
        <f t="shared" ref="H38:S38" si="8">(H36/H31)*100</f>
        <v>4.5086988483218455</v>
      </c>
      <c r="I38" s="29">
        <f t="shared" si="8"/>
        <v>4.6535154274156438</v>
      </c>
      <c r="J38" s="57">
        <f t="shared" si="8"/>
        <v>4.8107448107454323</v>
      </c>
      <c r="K38" s="58">
        <f t="shared" si="8"/>
        <v>4.9723756906077803</v>
      </c>
      <c r="L38" s="29">
        <f t="shared" si="8"/>
        <v>5.0160612799609599</v>
      </c>
      <c r="M38" s="57">
        <f t="shared" si="8"/>
        <v>5.0233932528932863</v>
      </c>
      <c r="N38" s="58">
        <f t="shared" si="8"/>
        <v>4.7407407407409199</v>
      </c>
      <c r="O38" s="29">
        <f t="shared" si="8"/>
        <v>4.8693887902614073</v>
      </c>
      <c r="P38" s="57">
        <f t="shared" si="8"/>
        <v>4.7571104958477921</v>
      </c>
      <c r="Q38" s="58">
        <f t="shared" si="8"/>
        <v>5.1672491263109421</v>
      </c>
      <c r="R38" s="29">
        <f t="shared" si="8"/>
        <v>4.8659384309832081</v>
      </c>
      <c r="S38" s="57">
        <f t="shared" si="8"/>
        <v>5.3522529250686857</v>
      </c>
    </row>
    <row r="39" spans="1:19" x14ac:dyDescent="0.25">
      <c r="A39" s="95" t="s">
        <v>41</v>
      </c>
      <c r="B39" s="63"/>
      <c r="C39" s="30"/>
      <c r="D39" s="62"/>
      <c r="E39" s="63"/>
      <c r="F39" s="30"/>
      <c r="G39" s="62"/>
      <c r="H39" s="58">
        <f t="shared" ref="H39:S39" si="9">H33-H32</f>
        <v>1977.67</v>
      </c>
      <c r="I39" s="29">
        <f t="shared" si="9"/>
        <v>1918.1900000000005</v>
      </c>
      <c r="J39" s="57">
        <f t="shared" si="9"/>
        <v>1939.2000000000003</v>
      </c>
      <c r="K39" s="58">
        <f t="shared" si="9"/>
        <v>1808.8100000000004</v>
      </c>
      <c r="L39" s="29">
        <f t="shared" si="9"/>
        <v>2051.0400000000004</v>
      </c>
      <c r="M39" s="57">
        <f t="shared" si="9"/>
        <v>2022.1899999999996</v>
      </c>
      <c r="N39" s="58">
        <f t="shared" si="9"/>
        <v>1863.71</v>
      </c>
      <c r="O39" s="29">
        <f t="shared" si="9"/>
        <v>1939.5399999999995</v>
      </c>
      <c r="P39" s="57">
        <f t="shared" si="9"/>
        <v>1769.9899999999998</v>
      </c>
      <c r="Q39" s="58">
        <f t="shared" si="9"/>
        <v>1883.37</v>
      </c>
      <c r="R39" s="29">
        <f t="shared" si="9"/>
        <v>1781.0300000000002</v>
      </c>
      <c r="S39" s="57">
        <f t="shared" si="9"/>
        <v>1994.1400000000003</v>
      </c>
    </row>
    <row r="40" spans="1:19" x14ac:dyDescent="0.25">
      <c r="A40" s="95" t="s">
        <v>40</v>
      </c>
      <c r="B40" s="63"/>
      <c r="C40" s="30"/>
      <c r="D40" s="62"/>
      <c r="E40" s="63"/>
      <c r="F40" s="30"/>
      <c r="G40" s="62"/>
      <c r="H40" s="58">
        <f t="shared" ref="H40:S40" si="10">(H34-H32)+$H$5</f>
        <v>2078.3200000000002</v>
      </c>
      <c r="I40" s="29">
        <f t="shared" si="10"/>
        <v>2078.3200000000002</v>
      </c>
      <c r="J40" s="57">
        <f t="shared" si="10"/>
        <v>2078.4500000000003</v>
      </c>
      <c r="K40" s="58">
        <f t="shared" si="10"/>
        <v>2078.46</v>
      </c>
      <c r="L40" s="29">
        <f t="shared" si="10"/>
        <v>2078.5100000000002</v>
      </c>
      <c r="M40" s="57">
        <f t="shared" si="10"/>
        <v>2078.52</v>
      </c>
      <c r="N40" s="58">
        <f t="shared" si="10"/>
        <v>2078.4</v>
      </c>
      <c r="O40" s="29">
        <f t="shared" si="10"/>
        <v>2078.4</v>
      </c>
      <c r="P40" s="57">
        <f t="shared" si="10"/>
        <v>2078.3700000000003</v>
      </c>
      <c r="Q40" s="58">
        <f t="shared" si="10"/>
        <v>2078.5500000000002</v>
      </c>
      <c r="R40" s="29">
        <f t="shared" si="10"/>
        <v>2078.44</v>
      </c>
      <c r="S40" s="57">
        <f t="shared" si="10"/>
        <v>2078.63</v>
      </c>
    </row>
    <row r="41" spans="1:19" x14ac:dyDescent="0.25">
      <c r="A41" s="95" t="s">
        <v>39</v>
      </c>
      <c r="B41" s="63"/>
      <c r="C41" s="30"/>
      <c r="D41" s="62"/>
      <c r="E41" s="63"/>
      <c r="F41" s="30"/>
      <c r="G41" s="62"/>
      <c r="H41" s="58">
        <f t="shared" ref="H41:S41" si="11">H39/H40</f>
        <v>0.95157146156511019</v>
      </c>
      <c r="I41" s="29">
        <f t="shared" si="11"/>
        <v>0.92295219215520241</v>
      </c>
      <c r="J41" s="57">
        <f t="shared" si="11"/>
        <v>0.93300295893574536</v>
      </c>
      <c r="K41" s="58">
        <f t="shared" si="11"/>
        <v>0.87026452277166766</v>
      </c>
      <c r="L41" s="29">
        <f t="shared" si="11"/>
        <v>0.98678380185806192</v>
      </c>
      <c r="M41" s="57">
        <f t="shared" si="11"/>
        <v>0.97289898581683099</v>
      </c>
      <c r="N41" s="58">
        <f t="shared" si="11"/>
        <v>0.89670419553502689</v>
      </c>
      <c r="O41" s="29">
        <f t="shared" si="11"/>
        <v>0.93318899153194734</v>
      </c>
      <c r="P41" s="57">
        <f t="shared" si="11"/>
        <v>0.85162410927794352</v>
      </c>
      <c r="Q41" s="58">
        <f t="shared" si="11"/>
        <v>0.90609800101031956</v>
      </c>
      <c r="R41" s="29">
        <f t="shared" si="11"/>
        <v>0.85690710340447651</v>
      </c>
      <c r="S41" s="57">
        <f t="shared" si="11"/>
        <v>0.95935303541274797</v>
      </c>
    </row>
    <row r="42" spans="1:19" x14ac:dyDescent="0.25">
      <c r="A42" s="95" t="s">
        <v>38</v>
      </c>
      <c r="B42" s="63"/>
      <c r="C42" s="30"/>
      <c r="D42" s="62"/>
      <c r="E42" s="63"/>
      <c r="F42" s="30"/>
      <c r="G42" s="62"/>
      <c r="H42" s="58">
        <f t="shared" ref="H42:S42" si="12">H36/H41</f>
        <v>1.9336435300127437</v>
      </c>
      <c r="I42" s="29">
        <f t="shared" si="12"/>
        <v>1.993602719230265</v>
      </c>
      <c r="J42" s="57">
        <f t="shared" si="12"/>
        <v>2.111461685231296</v>
      </c>
      <c r="K42" s="58">
        <f t="shared" si="12"/>
        <v>2.2751703053388899</v>
      </c>
      <c r="L42" s="29">
        <f t="shared" si="12"/>
        <v>2.0571882069586236</v>
      </c>
      <c r="M42" s="57">
        <f t="shared" si="12"/>
        <v>2.0968261142622233</v>
      </c>
      <c r="N42" s="58">
        <f t="shared" si="12"/>
        <v>2.1411743243316566</v>
      </c>
      <c r="O42" s="29">
        <f t="shared" si="12"/>
        <v>2.0574610474649413</v>
      </c>
      <c r="P42" s="57">
        <f t="shared" si="12"/>
        <v>2.219288979034165</v>
      </c>
      <c r="Q42" s="58">
        <f t="shared" si="12"/>
        <v>2.2845210978195154</v>
      </c>
      <c r="R42" s="29">
        <f t="shared" si="12"/>
        <v>2.2872957782856411</v>
      </c>
      <c r="S42" s="57">
        <f t="shared" si="12"/>
        <v>2.241093654407508</v>
      </c>
    </row>
    <row r="43" spans="1:19" x14ac:dyDescent="0.25">
      <c r="A43" s="95" t="s">
        <v>37</v>
      </c>
      <c r="B43" s="60"/>
      <c r="C43" s="3"/>
      <c r="D43" s="59"/>
      <c r="E43" s="60"/>
      <c r="F43" s="3"/>
      <c r="G43" s="59"/>
      <c r="H43" s="58">
        <f t="shared" ref="H43:S43" si="13">H42-$C$38</f>
        <v>1.1019768633460376</v>
      </c>
      <c r="I43" s="29">
        <f t="shared" si="13"/>
        <v>1.1619360525635589</v>
      </c>
      <c r="J43" s="57">
        <f t="shared" si="13"/>
        <v>1.2797950185645899</v>
      </c>
      <c r="K43" s="58">
        <f t="shared" si="13"/>
        <v>1.4435036386721838</v>
      </c>
      <c r="L43" s="29">
        <f t="shared" si="13"/>
        <v>1.2255215402919175</v>
      </c>
      <c r="M43" s="57">
        <f t="shared" si="13"/>
        <v>1.2651594475955172</v>
      </c>
      <c r="N43" s="58">
        <f t="shared" si="13"/>
        <v>1.3095076576649505</v>
      </c>
      <c r="O43" s="29">
        <f t="shared" si="13"/>
        <v>1.2257943807982352</v>
      </c>
      <c r="P43" s="57">
        <f t="shared" si="13"/>
        <v>1.3876223123674589</v>
      </c>
      <c r="Q43" s="58">
        <f t="shared" si="13"/>
        <v>1.4528544311528093</v>
      </c>
      <c r="R43" s="29">
        <f t="shared" si="13"/>
        <v>1.455629111618935</v>
      </c>
      <c r="S43" s="57">
        <f t="shared" si="13"/>
        <v>1.4094269877408019</v>
      </c>
    </row>
    <row r="44" spans="1:19" x14ac:dyDescent="0.25">
      <c r="A44" s="95" t="s">
        <v>36</v>
      </c>
      <c r="B44" s="60"/>
      <c r="C44" s="3"/>
      <c r="D44" s="59"/>
      <c r="E44" s="60"/>
      <c r="F44" s="3"/>
      <c r="G44" s="59"/>
      <c r="H44" s="58">
        <f t="shared" ref="H44:S44" si="14">(H43/H31)*100</f>
        <v>2.7002618557854388</v>
      </c>
      <c r="I44" s="29">
        <f t="shared" si="14"/>
        <v>2.9386344273231129</v>
      </c>
      <c r="J44" s="57">
        <f t="shared" si="14"/>
        <v>3.1252625605972888</v>
      </c>
      <c r="K44" s="58">
        <f t="shared" si="14"/>
        <v>3.6250719203219082</v>
      </c>
      <c r="L44" s="29">
        <f t="shared" si="14"/>
        <v>3.0282222394166483</v>
      </c>
      <c r="M44" s="57">
        <f t="shared" si="14"/>
        <v>3.1153889376890351</v>
      </c>
      <c r="N44" s="58">
        <f t="shared" si="14"/>
        <v>3.2333522411480256</v>
      </c>
      <c r="O44" s="29">
        <f t="shared" si="14"/>
        <v>3.1087861547000641</v>
      </c>
      <c r="P44" s="57">
        <f t="shared" si="14"/>
        <v>3.4926310404416285</v>
      </c>
      <c r="Q44" s="58">
        <f t="shared" si="14"/>
        <v>3.6266960338312759</v>
      </c>
      <c r="R44" s="29">
        <f t="shared" si="14"/>
        <v>3.6137763446348932</v>
      </c>
      <c r="S44" s="57">
        <f t="shared" si="14"/>
        <v>3.5086556827005273</v>
      </c>
    </row>
    <row r="45" spans="1:19" x14ac:dyDescent="0.25">
      <c r="A45" s="95" t="s">
        <v>35</v>
      </c>
      <c r="B45" s="56"/>
      <c r="C45" s="55"/>
      <c r="D45" s="54"/>
      <c r="E45" s="56"/>
      <c r="F45" s="55"/>
      <c r="G45" s="54"/>
      <c r="H45" s="53"/>
      <c r="I45" s="52">
        <f>AVERAGE(H44:J44)</f>
        <v>2.92138628123528</v>
      </c>
      <c r="J45" s="51"/>
      <c r="K45" s="53"/>
      <c r="L45" s="52">
        <f>AVERAGE(K44:M44)</f>
        <v>3.2562276991425301</v>
      </c>
      <c r="M45" s="51"/>
      <c r="N45" s="53"/>
      <c r="O45" s="52">
        <f>AVERAGE(N44:P44)</f>
        <v>3.2782564787632396</v>
      </c>
      <c r="P45" s="51"/>
      <c r="Q45" s="53"/>
      <c r="R45" s="52">
        <f>AVERAGE(Q44:S44)</f>
        <v>3.5830426870555656</v>
      </c>
      <c r="S45" s="51"/>
    </row>
    <row r="46" spans="1:19" x14ac:dyDescent="0.25">
      <c r="A46" s="97" t="s">
        <v>34</v>
      </c>
      <c r="B46" s="50"/>
      <c r="C46" s="49"/>
      <c r="D46" s="48"/>
      <c r="E46" s="50"/>
      <c r="F46" s="49"/>
      <c r="G46" s="48"/>
      <c r="H46" s="47"/>
      <c r="I46" s="46">
        <f>_xlfn.STDEV.S(H44:J44)</f>
        <v>0.2130247020423752</v>
      </c>
      <c r="J46" s="45"/>
      <c r="K46" s="47"/>
      <c r="L46" s="46">
        <f>_xlfn.STDEV.S(K44:M44)</f>
        <v>0.32238804714969438</v>
      </c>
      <c r="M46" s="45"/>
      <c r="N46" s="47"/>
      <c r="O46" s="46">
        <f>_xlfn.STDEV.S(N44:P44)</f>
        <v>0.19582266721281616</v>
      </c>
      <c r="P46" s="45"/>
      <c r="Q46" s="47"/>
      <c r="R46" s="46">
        <f>_xlfn.STDEV.S(Q44:S44)</f>
        <v>6.474410710574463E-2</v>
      </c>
      <c r="S46" s="45"/>
    </row>
  </sheetData>
  <mergeCells count="12">
    <mergeCell ref="Q9:S9"/>
    <mergeCell ref="N29:P29"/>
    <mergeCell ref="B9:D9"/>
    <mergeCell ref="B29:D29"/>
    <mergeCell ref="E29:G29"/>
    <mergeCell ref="H29:J29"/>
    <mergeCell ref="K29:M29"/>
    <mergeCell ref="Q29:S29"/>
    <mergeCell ref="E9:G9"/>
    <mergeCell ref="H9:J9"/>
    <mergeCell ref="K9:M9"/>
    <mergeCell ref="N9:P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8B3F-272B-40DD-9CF6-6CDEE56742EC}">
  <dimension ref="A1:T52"/>
  <sheetViews>
    <sheetView tabSelected="1" topLeftCell="A14" workbookViewId="0">
      <selection activeCell="J23" sqref="J23"/>
    </sheetView>
  </sheetViews>
  <sheetFormatPr defaultColWidth="11.42578125" defaultRowHeight="15" x14ac:dyDescent="0.25"/>
  <cols>
    <col min="6" max="8" width="16.42578125" customWidth="1"/>
    <col min="9" max="9" width="14.5703125" customWidth="1"/>
    <col min="10" max="10" width="14.28515625" customWidth="1"/>
  </cols>
  <sheetData>
    <row r="1" spans="1:20" ht="45" x14ac:dyDescent="0.25">
      <c r="B1" s="27" t="s">
        <v>67</v>
      </c>
      <c r="C1" s="27" t="s">
        <v>66</v>
      </c>
      <c r="D1" s="27" t="s">
        <v>65</v>
      </c>
      <c r="E1" s="27" t="s">
        <v>112</v>
      </c>
      <c r="F1" s="27" t="s">
        <v>113</v>
      </c>
      <c r="G1" s="27" t="s">
        <v>114</v>
      </c>
      <c r="H1" s="27" t="s">
        <v>64</v>
      </c>
      <c r="I1" s="27" t="s">
        <v>63</v>
      </c>
      <c r="J1" s="27" t="s">
        <v>62</v>
      </c>
      <c r="K1" s="27" t="s">
        <v>115</v>
      </c>
      <c r="L1" s="27" t="s">
        <v>116</v>
      </c>
      <c r="M1" s="27" t="s">
        <v>117</v>
      </c>
      <c r="N1" s="27" t="s">
        <v>118</v>
      </c>
      <c r="O1" s="27" t="s">
        <v>119</v>
      </c>
    </row>
    <row r="2" spans="1:20" x14ac:dyDescent="0.25">
      <c r="A2" s="110" t="s">
        <v>14</v>
      </c>
      <c r="B2" s="19">
        <v>1</v>
      </c>
      <c r="C2" s="19">
        <v>10.58</v>
      </c>
      <c r="D2" s="19">
        <f t="shared" ref="D2:D25" si="0">C2*500</f>
        <v>5290</v>
      </c>
      <c r="E2" s="19">
        <f>D2/1000</f>
        <v>5.29</v>
      </c>
      <c r="F2">
        <f t="shared" ref="F2:F25" si="1">E2*$S$4</f>
        <v>5.8190000000000008</v>
      </c>
      <c r="G2">
        <f>F2*1000</f>
        <v>5819.0000000000009</v>
      </c>
      <c r="H2" s="19">
        <v>64303.23</v>
      </c>
      <c r="I2" s="19">
        <v>64260.4</v>
      </c>
      <c r="J2">
        <f t="shared" ref="J2:J25" si="2">H2-I2</f>
        <v>42.830000000001746</v>
      </c>
      <c r="K2">
        <f>G2-J2</f>
        <v>5776.1699999999992</v>
      </c>
      <c r="L2">
        <f>K2/1000</f>
        <v>5.7761699999999996</v>
      </c>
      <c r="M2">
        <f t="shared" ref="M2:M25" si="3">L2/$S$4</f>
        <v>5.2510636363636358</v>
      </c>
      <c r="N2">
        <v>5.29</v>
      </c>
      <c r="O2" s="11">
        <f>M2+N2</f>
        <v>10.541063636363635</v>
      </c>
    </row>
    <row r="3" spans="1:20" x14ac:dyDescent="0.25">
      <c r="A3" s="110"/>
      <c r="B3" s="19">
        <v>2</v>
      </c>
      <c r="C3" s="19">
        <v>10.26</v>
      </c>
      <c r="D3" s="19">
        <f t="shared" si="0"/>
        <v>5130</v>
      </c>
      <c r="E3" s="19">
        <f t="shared" ref="E3:E25" si="4">D3/1000</f>
        <v>5.13</v>
      </c>
      <c r="F3">
        <f t="shared" si="1"/>
        <v>5.6430000000000007</v>
      </c>
      <c r="G3">
        <f t="shared" ref="G3:G25" si="5">F3*1000</f>
        <v>5643.0000000000009</v>
      </c>
      <c r="H3" s="19">
        <v>63416.25</v>
      </c>
      <c r="I3" s="19">
        <v>63339.8</v>
      </c>
      <c r="J3">
        <f t="shared" si="2"/>
        <v>76.44999999999709</v>
      </c>
      <c r="K3">
        <f>G3-J3</f>
        <v>5566.5500000000038</v>
      </c>
      <c r="L3">
        <f t="shared" ref="L3:L25" si="6">K3/1000</f>
        <v>5.5665500000000039</v>
      </c>
      <c r="M3">
        <f t="shared" si="3"/>
        <v>5.0605000000000029</v>
      </c>
      <c r="N3">
        <v>5.13</v>
      </c>
      <c r="O3" s="11">
        <f t="shared" ref="O3:O25" si="7">M3+N3</f>
        <v>10.190500000000004</v>
      </c>
    </row>
    <row r="4" spans="1:20" x14ac:dyDescent="0.25">
      <c r="A4" s="110"/>
      <c r="B4" s="19">
        <v>3</v>
      </c>
      <c r="C4" s="19">
        <v>9.9</v>
      </c>
      <c r="D4" s="19">
        <f t="shared" si="0"/>
        <v>4950</v>
      </c>
      <c r="E4" s="19">
        <f t="shared" si="4"/>
        <v>4.95</v>
      </c>
      <c r="F4">
        <f t="shared" si="1"/>
        <v>5.4450000000000003</v>
      </c>
      <c r="G4">
        <f t="shared" si="5"/>
        <v>5445</v>
      </c>
      <c r="H4" s="19">
        <v>64162.45</v>
      </c>
      <c r="I4" s="19">
        <v>64126.53</v>
      </c>
      <c r="J4">
        <f t="shared" si="2"/>
        <v>35.919999999998254</v>
      </c>
      <c r="K4">
        <f t="shared" ref="K4:K25" si="8">G4-J4</f>
        <v>5409.0800000000017</v>
      </c>
      <c r="L4">
        <f t="shared" si="6"/>
        <v>5.4090800000000021</v>
      </c>
      <c r="M4">
        <f t="shared" si="3"/>
        <v>4.9173454545454565</v>
      </c>
      <c r="N4">
        <v>4.95</v>
      </c>
      <c r="O4" s="11">
        <f t="shared" si="7"/>
        <v>9.8673454545454575</v>
      </c>
      <c r="Q4" t="s">
        <v>111</v>
      </c>
      <c r="S4">
        <v>1.1000000000000001</v>
      </c>
      <c r="T4" t="s">
        <v>56</v>
      </c>
    </row>
    <row r="5" spans="1:20" x14ac:dyDescent="0.25">
      <c r="A5" s="110" t="s">
        <v>9</v>
      </c>
      <c r="B5" s="19">
        <v>1</v>
      </c>
      <c r="C5" s="19">
        <v>9.81</v>
      </c>
      <c r="D5" s="19">
        <f t="shared" si="0"/>
        <v>4905</v>
      </c>
      <c r="E5" s="19">
        <f t="shared" si="4"/>
        <v>4.9050000000000002</v>
      </c>
      <c r="F5">
        <f t="shared" si="1"/>
        <v>5.3955000000000011</v>
      </c>
      <c r="G5">
        <f t="shared" si="5"/>
        <v>5395.5000000000009</v>
      </c>
      <c r="H5" s="19">
        <v>63077.01</v>
      </c>
      <c r="I5" s="19">
        <v>62992.05</v>
      </c>
      <c r="J5">
        <f t="shared" si="2"/>
        <v>84.959999999999127</v>
      </c>
      <c r="K5">
        <f t="shared" si="8"/>
        <v>5310.5400000000018</v>
      </c>
      <c r="L5">
        <f t="shared" si="6"/>
        <v>5.3105400000000014</v>
      </c>
      <c r="M5">
        <f t="shared" si="3"/>
        <v>4.8277636363636374</v>
      </c>
      <c r="N5">
        <v>4.9050000000000002</v>
      </c>
      <c r="O5" s="11">
        <f t="shared" si="7"/>
        <v>9.7327636363636376</v>
      </c>
    </row>
    <row r="6" spans="1:20" x14ac:dyDescent="0.25">
      <c r="A6" s="110"/>
      <c r="B6" s="19">
        <v>2</v>
      </c>
      <c r="C6" s="19">
        <v>10.26</v>
      </c>
      <c r="D6" s="19">
        <f t="shared" si="0"/>
        <v>5130</v>
      </c>
      <c r="E6" s="19">
        <f t="shared" si="4"/>
        <v>5.13</v>
      </c>
      <c r="F6">
        <f t="shared" si="1"/>
        <v>5.6430000000000007</v>
      </c>
      <c r="G6">
        <f t="shared" si="5"/>
        <v>5643.0000000000009</v>
      </c>
      <c r="H6" s="19">
        <v>64253.54</v>
      </c>
      <c r="I6" s="19">
        <v>64198.67</v>
      </c>
      <c r="J6">
        <f t="shared" si="2"/>
        <v>54.870000000002619</v>
      </c>
      <c r="K6">
        <f t="shared" si="8"/>
        <v>5588.1299999999983</v>
      </c>
      <c r="L6">
        <f t="shared" si="6"/>
        <v>5.5881299999999987</v>
      </c>
      <c r="M6">
        <f t="shared" si="3"/>
        <v>5.0801181818181806</v>
      </c>
      <c r="N6">
        <v>5.13</v>
      </c>
      <c r="O6" s="11">
        <f t="shared" si="7"/>
        <v>10.210118181818181</v>
      </c>
    </row>
    <row r="7" spans="1:20" x14ac:dyDescent="0.25">
      <c r="A7" s="110"/>
      <c r="B7" s="19">
        <v>3</v>
      </c>
      <c r="C7" s="19">
        <v>10.23</v>
      </c>
      <c r="D7" s="19">
        <f t="shared" si="0"/>
        <v>5115</v>
      </c>
      <c r="E7" s="19">
        <f t="shared" si="4"/>
        <v>5.1150000000000002</v>
      </c>
      <c r="F7">
        <f t="shared" si="1"/>
        <v>5.6265000000000009</v>
      </c>
      <c r="G7">
        <f t="shared" si="5"/>
        <v>5626.5000000000009</v>
      </c>
      <c r="H7" s="19">
        <v>64182.37</v>
      </c>
      <c r="I7" s="19">
        <v>64101.31</v>
      </c>
      <c r="J7">
        <f t="shared" si="2"/>
        <v>81.060000000004948</v>
      </c>
      <c r="K7">
        <f t="shared" si="8"/>
        <v>5545.439999999996</v>
      </c>
      <c r="L7">
        <f t="shared" si="6"/>
        <v>5.5454399999999957</v>
      </c>
      <c r="M7">
        <f t="shared" si="3"/>
        <v>5.0413090909090865</v>
      </c>
      <c r="N7">
        <v>5.1150000000000002</v>
      </c>
      <c r="O7" s="11">
        <f t="shared" si="7"/>
        <v>10.156309090909087</v>
      </c>
    </row>
    <row r="8" spans="1:20" x14ac:dyDescent="0.25">
      <c r="A8" s="110" t="s">
        <v>20</v>
      </c>
      <c r="B8" s="19">
        <v>1</v>
      </c>
      <c r="C8" s="19">
        <v>9.68</v>
      </c>
      <c r="D8" s="19">
        <f t="shared" si="0"/>
        <v>4840</v>
      </c>
      <c r="E8" s="19">
        <f t="shared" si="4"/>
        <v>4.84</v>
      </c>
      <c r="F8">
        <f t="shared" si="1"/>
        <v>5.3239999999999998</v>
      </c>
      <c r="G8">
        <f t="shared" si="5"/>
        <v>5324</v>
      </c>
      <c r="H8" s="19">
        <v>63694.29</v>
      </c>
      <c r="I8" s="19">
        <v>63659.54</v>
      </c>
      <c r="J8">
        <f t="shared" si="2"/>
        <v>34.75</v>
      </c>
      <c r="K8">
        <f t="shared" si="8"/>
        <v>5289.25</v>
      </c>
      <c r="L8">
        <f t="shared" si="6"/>
        <v>5.28925</v>
      </c>
      <c r="M8">
        <f t="shared" si="3"/>
        <v>4.8084090909090902</v>
      </c>
      <c r="N8">
        <v>4.84</v>
      </c>
      <c r="O8" s="11">
        <f t="shared" si="7"/>
        <v>9.6484090909090909</v>
      </c>
    </row>
    <row r="9" spans="1:20" x14ac:dyDescent="0.25">
      <c r="A9" s="110"/>
      <c r="B9" s="98">
        <v>2</v>
      </c>
      <c r="C9" s="98">
        <v>10.92</v>
      </c>
      <c r="D9" s="98">
        <f t="shared" si="0"/>
        <v>5460</v>
      </c>
      <c r="E9" s="98">
        <f t="shared" si="4"/>
        <v>5.46</v>
      </c>
      <c r="F9" s="99">
        <f t="shared" si="1"/>
        <v>6.0060000000000002</v>
      </c>
      <c r="G9" s="99">
        <f t="shared" si="5"/>
        <v>6006</v>
      </c>
      <c r="H9" s="98">
        <v>62953.22</v>
      </c>
      <c r="I9" s="98">
        <v>62945.11</v>
      </c>
      <c r="J9" s="99">
        <f t="shared" si="2"/>
        <v>8.1100000000005821</v>
      </c>
      <c r="K9" s="99">
        <f t="shared" si="8"/>
        <v>5997.8899999999994</v>
      </c>
      <c r="L9" s="99">
        <f t="shared" si="6"/>
        <v>5.9978899999999991</v>
      </c>
      <c r="M9" s="99">
        <f t="shared" si="3"/>
        <v>5.4526272727272715</v>
      </c>
      <c r="N9" s="99">
        <v>5.46</v>
      </c>
      <c r="O9" s="100">
        <f t="shared" si="7"/>
        <v>10.912627272727271</v>
      </c>
    </row>
    <row r="10" spans="1:20" s="77" customFormat="1" ht="14.25" customHeight="1" x14ac:dyDescent="0.25">
      <c r="A10" s="110"/>
      <c r="B10" s="98">
        <v>3</v>
      </c>
      <c r="C10" s="98">
        <v>10.59</v>
      </c>
      <c r="D10" s="98">
        <f t="shared" si="0"/>
        <v>5295</v>
      </c>
      <c r="E10" s="98">
        <f t="shared" si="4"/>
        <v>5.2949999999999999</v>
      </c>
      <c r="F10" s="99">
        <f t="shared" si="1"/>
        <v>5.8245000000000005</v>
      </c>
      <c r="G10" s="99">
        <f t="shared" si="5"/>
        <v>5824.5</v>
      </c>
      <c r="H10" s="98">
        <v>64120.52</v>
      </c>
      <c r="I10" s="98">
        <v>64065.29</v>
      </c>
      <c r="J10" s="99">
        <f t="shared" si="2"/>
        <v>55.229999999995925</v>
      </c>
      <c r="K10" s="99">
        <f t="shared" si="8"/>
        <v>5769.2700000000041</v>
      </c>
      <c r="L10" s="99">
        <f t="shared" si="6"/>
        <v>5.7692700000000041</v>
      </c>
      <c r="M10" s="99">
        <f t="shared" si="3"/>
        <v>5.2447909090909128</v>
      </c>
      <c r="N10" s="99">
        <v>5.2949999999999999</v>
      </c>
      <c r="O10" s="100">
        <f t="shared" si="7"/>
        <v>10.539790909090913</v>
      </c>
    </row>
    <row r="11" spans="1:20" x14ac:dyDescent="0.25">
      <c r="A11" s="110" t="s">
        <v>8</v>
      </c>
      <c r="B11" s="98">
        <v>1</v>
      </c>
      <c r="C11" s="98">
        <v>9.61</v>
      </c>
      <c r="D11" s="98">
        <f t="shared" si="0"/>
        <v>4805</v>
      </c>
      <c r="E11" s="98">
        <f t="shared" si="4"/>
        <v>4.8049999999999997</v>
      </c>
      <c r="F11" s="99">
        <f t="shared" si="1"/>
        <v>5.2854999999999999</v>
      </c>
      <c r="G11" s="99">
        <f t="shared" si="5"/>
        <v>5285.5</v>
      </c>
      <c r="H11" s="98">
        <v>63681.05</v>
      </c>
      <c r="I11" s="98">
        <v>63640.63</v>
      </c>
      <c r="J11" s="99">
        <f t="shared" si="2"/>
        <v>40.42000000000553</v>
      </c>
      <c r="K11" s="99">
        <f t="shared" si="8"/>
        <v>5245.0799999999945</v>
      </c>
      <c r="L11" s="99">
        <f t="shared" si="6"/>
        <v>5.2450799999999944</v>
      </c>
      <c r="M11" s="99">
        <f t="shared" si="3"/>
        <v>4.76825454545454</v>
      </c>
      <c r="N11" s="99">
        <v>4.8049999999999997</v>
      </c>
      <c r="O11" s="100">
        <f t="shared" si="7"/>
        <v>9.5732545454545388</v>
      </c>
    </row>
    <row r="12" spans="1:20" x14ac:dyDescent="0.25">
      <c r="A12" s="110"/>
      <c r="B12" s="98">
        <v>2</v>
      </c>
      <c r="C12" s="98">
        <v>10.46</v>
      </c>
      <c r="D12" s="98">
        <f t="shared" si="0"/>
        <v>5230</v>
      </c>
      <c r="E12" s="98">
        <f t="shared" si="4"/>
        <v>5.23</v>
      </c>
      <c r="F12" s="99">
        <f t="shared" si="1"/>
        <v>5.753000000000001</v>
      </c>
      <c r="G12" s="99">
        <f t="shared" si="5"/>
        <v>5753.0000000000009</v>
      </c>
      <c r="H12" s="98">
        <v>64209.13</v>
      </c>
      <c r="I12" s="98">
        <v>64156.92</v>
      </c>
      <c r="J12" s="99">
        <f t="shared" si="2"/>
        <v>52.209999999999127</v>
      </c>
      <c r="K12" s="99">
        <f t="shared" si="8"/>
        <v>5700.7900000000018</v>
      </c>
      <c r="L12" s="99">
        <f t="shared" si="6"/>
        <v>5.7007900000000014</v>
      </c>
      <c r="M12" s="99">
        <f t="shared" si="3"/>
        <v>5.1825363636363644</v>
      </c>
      <c r="N12" s="99">
        <v>5.23</v>
      </c>
      <c r="O12" s="100">
        <f t="shared" si="7"/>
        <v>10.412536363636365</v>
      </c>
    </row>
    <row r="13" spans="1:20" x14ac:dyDescent="0.25">
      <c r="A13" s="110"/>
      <c r="B13" s="19">
        <v>3</v>
      </c>
      <c r="C13" s="19">
        <v>10.49</v>
      </c>
      <c r="D13" s="19">
        <f t="shared" si="0"/>
        <v>5245</v>
      </c>
      <c r="E13" s="19">
        <f t="shared" si="4"/>
        <v>5.2450000000000001</v>
      </c>
      <c r="F13">
        <f t="shared" si="1"/>
        <v>5.7695000000000007</v>
      </c>
      <c r="G13">
        <f t="shared" si="5"/>
        <v>5769.5000000000009</v>
      </c>
      <c r="H13" s="19">
        <v>63506.21</v>
      </c>
      <c r="I13" s="19">
        <v>63455.65</v>
      </c>
      <c r="J13">
        <f t="shared" si="2"/>
        <v>50.559999999997672</v>
      </c>
      <c r="K13">
        <f t="shared" si="8"/>
        <v>5718.9400000000032</v>
      </c>
      <c r="L13">
        <f t="shared" si="6"/>
        <v>5.7189400000000035</v>
      </c>
      <c r="M13">
        <f t="shared" si="3"/>
        <v>5.1990363636363668</v>
      </c>
      <c r="N13">
        <v>5.2450000000000001</v>
      </c>
      <c r="O13" s="11">
        <f t="shared" si="7"/>
        <v>10.444036363636368</v>
      </c>
    </row>
    <row r="14" spans="1:20" x14ac:dyDescent="0.25">
      <c r="A14" s="110" t="s">
        <v>16</v>
      </c>
      <c r="B14" s="19">
        <v>1</v>
      </c>
      <c r="C14" s="19">
        <v>9.9</v>
      </c>
      <c r="D14" s="19">
        <f t="shared" si="0"/>
        <v>4950</v>
      </c>
      <c r="E14" s="19">
        <f t="shared" si="4"/>
        <v>4.95</v>
      </c>
      <c r="F14">
        <f t="shared" si="1"/>
        <v>5.4450000000000003</v>
      </c>
      <c r="G14">
        <f t="shared" si="5"/>
        <v>5445</v>
      </c>
      <c r="H14" s="19">
        <v>63900.46</v>
      </c>
      <c r="I14" s="19">
        <v>63887.77</v>
      </c>
      <c r="J14">
        <f t="shared" si="2"/>
        <v>12.690000000002328</v>
      </c>
      <c r="K14">
        <f t="shared" si="8"/>
        <v>5432.3099999999977</v>
      </c>
      <c r="L14">
        <f t="shared" si="6"/>
        <v>5.4323099999999975</v>
      </c>
      <c r="M14">
        <f t="shared" si="3"/>
        <v>4.9384636363636334</v>
      </c>
      <c r="N14">
        <v>4.95</v>
      </c>
      <c r="O14" s="11">
        <f t="shared" si="7"/>
        <v>9.8884636363636336</v>
      </c>
    </row>
    <row r="15" spans="1:20" x14ac:dyDescent="0.25">
      <c r="A15" s="110"/>
      <c r="B15" s="19">
        <v>2</v>
      </c>
      <c r="C15" s="19">
        <v>9.77</v>
      </c>
      <c r="D15" s="19">
        <f t="shared" si="0"/>
        <v>4885</v>
      </c>
      <c r="E15" s="19">
        <f t="shared" si="4"/>
        <v>4.8849999999999998</v>
      </c>
      <c r="F15">
        <f t="shared" si="1"/>
        <v>5.3734999999999999</v>
      </c>
      <c r="G15">
        <f t="shared" si="5"/>
        <v>5373.5</v>
      </c>
      <c r="H15" s="19">
        <v>63903.6</v>
      </c>
      <c r="I15" s="19">
        <v>63868.91</v>
      </c>
      <c r="J15">
        <f t="shared" si="2"/>
        <v>34.689999999995052</v>
      </c>
      <c r="K15">
        <f t="shared" si="8"/>
        <v>5338.8100000000049</v>
      </c>
      <c r="L15">
        <f t="shared" si="6"/>
        <v>5.3388100000000049</v>
      </c>
      <c r="M15">
        <f t="shared" si="3"/>
        <v>4.8534636363636405</v>
      </c>
      <c r="N15">
        <v>4.8849999999999998</v>
      </c>
      <c r="O15" s="11">
        <f t="shared" si="7"/>
        <v>9.7384636363636403</v>
      </c>
    </row>
    <row r="16" spans="1:20" x14ac:dyDescent="0.25">
      <c r="A16" s="110"/>
      <c r="B16" s="19">
        <v>3</v>
      </c>
      <c r="C16" s="19">
        <v>10.11</v>
      </c>
      <c r="D16" s="19">
        <f t="shared" si="0"/>
        <v>5055</v>
      </c>
      <c r="E16" s="19">
        <f t="shared" si="4"/>
        <v>5.0549999999999997</v>
      </c>
      <c r="F16">
        <f t="shared" si="1"/>
        <v>5.5605000000000002</v>
      </c>
      <c r="G16">
        <f t="shared" si="5"/>
        <v>5560.5</v>
      </c>
      <c r="H16" s="19">
        <v>64037.55</v>
      </c>
      <c r="I16" s="19">
        <v>64016.95</v>
      </c>
      <c r="J16">
        <f t="shared" si="2"/>
        <v>20.600000000005821</v>
      </c>
      <c r="K16">
        <f t="shared" si="8"/>
        <v>5539.8999999999942</v>
      </c>
      <c r="L16">
        <f t="shared" si="6"/>
        <v>5.5398999999999941</v>
      </c>
      <c r="M16">
        <f t="shared" si="3"/>
        <v>5.0362727272727215</v>
      </c>
      <c r="N16">
        <v>5.0549999999999997</v>
      </c>
      <c r="O16" s="11">
        <f t="shared" si="7"/>
        <v>10.09127272727272</v>
      </c>
    </row>
    <row r="17" spans="1:16" x14ac:dyDescent="0.25">
      <c r="A17" s="110" t="s">
        <v>61</v>
      </c>
      <c r="B17" s="19">
        <v>1</v>
      </c>
      <c r="C17" s="19">
        <v>9.6</v>
      </c>
      <c r="D17" s="19">
        <f t="shared" si="0"/>
        <v>4800</v>
      </c>
      <c r="E17" s="19">
        <f t="shared" si="4"/>
        <v>4.8</v>
      </c>
      <c r="F17">
        <f t="shared" si="1"/>
        <v>5.28</v>
      </c>
      <c r="G17">
        <f t="shared" si="5"/>
        <v>5280</v>
      </c>
      <c r="H17" s="19">
        <v>62305.23</v>
      </c>
      <c r="I17" s="19">
        <v>62288.1</v>
      </c>
      <c r="J17">
        <f t="shared" si="2"/>
        <v>17.130000000004657</v>
      </c>
      <c r="K17">
        <f t="shared" si="8"/>
        <v>5262.8699999999953</v>
      </c>
      <c r="L17">
        <f t="shared" si="6"/>
        <v>5.2628699999999951</v>
      </c>
      <c r="M17">
        <f t="shared" si="3"/>
        <v>4.7844272727272674</v>
      </c>
      <c r="N17">
        <v>4.8</v>
      </c>
      <c r="O17" s="11">
        <f t="shared" si="7"/>
        <v>9.5844272727272681</v>
      </c>
    </row>
    <row r="18" spans="1:16" x14ac:dyDescent="0.25">
      <c r="A18" s="110"/>
      <c r="B18" s="19">
        <v>2</v>
      </c>
      <c r="C18" s="19">
        <v>10.69</v>
      </c>
      <c r="D18" s="19">
        <f t="shared" si="0"/>
        <v>5345</v>
      </c>
      <c r="E18" s="19">
        <f t="shared" si="4"/>
        <v>5.3449999999999998</v>
      </c>
      <c r="F18">
        <f t="shared" si="1"/>
        <v>5.8795000000000002</v>
      </c>
      <c r="G18">
        <f t="shared" si="5"/>
        <v>5879.5</v>
      </c>
      <c r="H18" s="19">
        <v>64464.23</v>
      </c>
      <c r="I18" s="19">
        <v>64454.7</v>
      </c>
      <c r="J18">
        <f t="shared" si="2"/>
        <v>9.5300000000061118</v>
      </c>
      <c r="K18">
        <f t="shared" si="8"/>
        <v>5869.9699999999939</v>
      </c>
      <c r="L18">
        <f t="shared" si="6"/>
        <v>5.8699699999999941</v>
      </c>
      <c r="M18">
        <f t="shared" si="3"/>
        <v>5.3363363636363577</v>
      </c>
      <c r="N18">
        <v>5.3449999999999998</v>
      </c>
      <c r="O18" s="11">
        <f t="shared" si="7"/>
        <v>10.681336363636358</v>
      </c>
    </row>
    <row r="19" spans="1:16" x14ac:dyDescent="0.25">
      <c r="A19" s="110"/>
      <c r="B19" s="19">
        <v>3</v>
      </c>
      <c r="C19" s="19">
        <v>11.25</v>
      </c>
      <c r="D19" s="19">
        <f t="shared" si="0"/>
        <v>5625</v>
      </c>
      <c r="E19" s="19">
        <f t="shared" si="4"/>
        <v>5.625</v>
      </c>
      <c r="F19">
        <f t="shared" si="1"/>
        <v>6.1875000000000009</v>
      </c>
      <c r="G19">
        <f t="shared" si="5"/>
        <v>6187.5000000000009</v>
      </c>
      <c r="H19" s="19">
        <v>64639.09</v>
      </c>
      <c r="I19" s="19">
        <v>64625.9</v>
      </c>
      <c r="J19">
        <f t="shared" si="2"/>
        <v>13.189999999995052</v>
      </c>
      <c r="K19">
        <f t="shared" si="8"/>
        <v>6174.3100000000059</v>
      </c>
      <c r="L19">
        <f t="shared" si="6"/>
        <v>6.1743100000000055</v>
      </c>
      <c r="M19">
        <f t="shared" si="3"/>
        <v>5.6130090909090953</v>
      </c>
      <c r="N19">
        <v>5.625</v>
      </c>
      <c r="O19" s="11">
        <f t="shared" si="7"/>
        <v>11.238009090909095</v>
      </c>
    </row>
    <row r="20" spans="1:16" x14ac:dyDescent="0.25">
      <c r="A20" s="110" t="s">
        <v>29</v>
      </c>
      <c r="B20" s="19">
        <v>1</v>
      </c>
      <c r="C20" s="19">
        <v>10.26</v>
      </c>
      <c r="D20" s="19">
        <f t="shared" si="0"/>
        <v>5130</v>
      </c>
      <c r="E20" s="19">
        <f t="shared" si="4"/>
        <v>5.13</v>
      </c>
      <c r="F20">
        <f t="shared" si="1"/>
        <v>5.6430000000000007</v>
      </c>
      <c r="G20">
        <f t="shared" si="5"/>
        <v>5643.0000000000009</v>
      </c>
      <c r="H20" s="19">
        <v>64092.58</v>
      </c>
      <c r="I20" s="19">
        <v>64051.57</v>
      </c>
      <c r="J20">
        <f t="shared" si="2"/>
        <v>41.010000000002037</v>
      </c>
      <c r="K20">
        <f t="shared" si="8"/>
        <v>5601.9899999999989</v>
      </c>
      <c r="L20">
        <f t="shared" si="6"/>
        <v>5.6019899999999989</v>
      </c>
      <c r="M20">
        <f t="shared" si="3"/>
        <v>5.0927181818181806</v>
      </c>
      <c r="N20">
        <v>5.13</v>
      </c>
      <c r="O20" s="11">
        <f t="shared" si="7"/>
        <v>10.22271818181818</v>
      </c>
    </row>
    <row r="21" spans="1:16" ht="15" customHeight="1" x14ac:dyDescent="0.25">
      <c r="A21" s="110"/>
      <c r="B21" s="19">
        <v>2</v>
      </c>
      <c r="C21" s="19">
        <v>9.8699999999999992</v>
      </c>
      <c r="D21" s="19">
        <f t="shared" si="0"/>
        <v>4935</v>
      </c>
      <c r="E21" s="19">
        <f t="shared" si="4"/>
        <v>4.9349999999999996</v>
      </c>
      <c r="F21">
        <f t="shared" si="1"/>
        <v>5.4284999999999997</v>
      </c>
      <c r="G21">
        <f t="shared" si="5"/>
        <v>5428.5</v>
      </c>
      <c r="H21" s="19">
        <v>63732.05</v>
      </c>
      <c r="I21" s="19">
        <v>63695.02</v>
      </c>
      <c r="J21">
        <f t="shared" si="2"/>
        <v>37.030000000006112</v>
      </c>
      <c r="K21">
        <f t="shared" si="8"/>
        <v>5391.4699999999939</v>
      </c>
      <c r="L21">
        <f t="shared" si="6"/>
        <v>5.3914699999999938</v>
      </c>
      <c r="M21">
        <f t="shared" si="3"/>
        <v>4.9013363636363572</v>
      </c>
      <c r="N21">
        <v>4.9349999999999996</v>
      </c>
      <c r="O21" s="11">
        <f t="shared" si="7"/>
        <v>9.8363363636363559</v>
      </c>
    </row>
    <row r="22" spans="1:16" x14ac:dyDescent="0.25">
      <c r="A22" s="110"/>
      <c r="B22" s="19">
        <v>3</v>
      </c>
      <c r="C22" s="19">
        <v>10.119999999999999</v>
      </c>
      <c r="D22" s="19">
        <f t="shared" si="0"/>
        <v>5060</v>
      </c>
      <c r="E22" s="19">
        <f t="shared" si="4"/>
        <v>5.0599999999999996</v>
      </c>
      <c r="F22">
        <f t="shared" si="1"/>
        <v>5.5659999999999998</v>
      </c>
      <c r="G22">
        <f t="shared" si="5"/>
        <v>5566</v>
      </c>
      <c r="H22" s="19">
        <v>63270.97</v>
      </c>
      <c r="I22" s="19">
        <v>63226.02</v>
      </c>
      <c r="J22">
        <f t="shared" si="2"/>
        <v>44.950000000004366</v>
      </c>
      <c r="K22">
        <f t="shared" si="8"/>
        <v>5521.0499999999956</v>
      </c>
      <c r="L22">
        <f t="shared" si="6"/>
        <v>5.5210499999999954</v>
      </c>
      <c r="M22">
        <f t="shared" si="3"/>
        <v>5.0191363636363588</v>
      </c>
      <c r="N22">
        <v>5.0599999999999996</v>
      </c>
      <c r="O22" s="11">
        <f t="shared" si="7"/>
        <v>10.079136363636358</v>
      </c>
    </row>
    <row r="23" spans="1:16" x14ac:dyDescent="0.25">
      <c r="A23" s="110" t="s">
        <v>60</v>
      </c>
      <c r="B23" s="19">
        <v>1</v>
      </c>
      <c r="C23" s="19">
        <v>10.47</v>
      </c>
      <c r="D23" s="19">
        <f t="shared" si="0"/>
        <v>5235</v>
      </c>
      <c r="E23" s="19">
        <f t="shared" si="4"/>
        <v>5.2350000000000003</v>
      </c>
      <c r="F23">
        <f t="shared" si="1"/>
        <v>5.7585000000000006</v>
      </c>
      <c r="G23">
        <f t="shared" si="5"/>
        <v>5758.5000000000009</v>
      </c>
      <c r="H23" s="19">
        <v>64221.81</v>
      </c>
      <c r="I23" s="19">
        <v>64209.88</v>
      </c>
      <c r="J23">
        <f t="shared" si="2"/>
        <v>11.930000000000291</v>
      </c>
      <c r="K23">
        <f t="shared" si="8"/>
        <v>5746.5700000000006</v>
      </c>
      <c r="L23">
        <f t="shared" si="6"/>
        <v>5.7465700000000002</v>
      </c>
      <c r="M23">
        <f t="shared" si="3"/>
        <v>5.2241545454545451</v>
      </c>
      <c r="N23">
        <v>5.2350000000000003</v>
      </c>
      <c r="O23" s="11">
        <f t="shared" si="7"/>
        <v>10.459154545454545</v>
      </c>
    </row>
    <row r="24" spans="1:16" ht="15" customHeight="1" x14ac:dyDescent="0.25">
      <c r="A24" s="110"/>
      <c r="B24" s="19">
        <v>2</v>
      </c>
      <c r="C24" s="19">
        <v>9.9</v>
      </c>
      <c r="D24" s="19">
        <f t="shared" si="0"/>
        <v>4950</v>
      </c>
      <c r="E24" s="19">
        <f t="shared" si="4"/>
        <v>4.95</v>
      </c>
      <c r="F24">
        <f t="shared" si="1"/>
        <v>5.4450000000000003</v>
      </c>
      <c r="G24">
        <f t="shared" si="5"/>
        <v>5445</v>
      </c>
      <c r="H24" s="19">
        <v>63714.93</v>
      </c>
      <c r="I24" s="19">
        <v>63690.81</v>
      </c>
      <c r="J24">
        <f t="shared" si="2"/>
        <v>24.120000000002619</v>
      </c>
      <c r="K24">
        <f t="shared" si="8"/>
        <v>5420.8799999999974</v>
      </c>
      <c r="L24">
        <f t="shared" si="6"/>
        <v>5.4208799999999977</v>
      </c>
      <c r="M24">
        <f t="shared" si="3"/>
        <v>4.9280727272727249</v>
      </c>
      <c r="N24">
        <v>4.95</v>
      </c>
      <c r="O24" s="11">
        <f t="shared" si="7"/>
        <v>9.8780727272727251</v>
      </c>
    </row>
    <row r="25" spans="1:16" x14ac:dyDescent="0.25">
      <c r="A25" s="110"/>
      <c r="B25" s="19">
        <v>3</v>
      </c>
      <c r="C25" s="19">
        <v>10.99</v>
      </c>
      <c r="D25" s="19">
        <f t="shared" si="0"/>
        <v>5495</v>
      </c>
      <c r="E25" s="19">
        <f t="shared" si="4"/>
        <v>5.4950000000000001</v>
      </c>
      <c r="F25">
        <f t="shared" si="1"/>
        <v>6.0445000000000002</v>
      </c>
      <c r="G25">
        <f t="shared" si="5"/>
        <v>6044.5</v>
      </c>
      <c r="H25" s="19">
        <v>64820.44</v>
      </c>
      <c r="I25" s="19">
        <v>64816.88</v>
      </c>
      <c r="J25">
        <f t="shared" si="2"/>
        <v>3.5600000000049477</v>
      </c>
      <c r="K25">
        <f t="shared" si="8"/>
        <v>6040.9399999999951</v>
      </c>
      <c r="L25">
        <f t="shared" si="6"/>
        <v>6.0409399999999946</v>
      </c>
      <c r="M25">
        <f t="shared" si="3"/>
        <v>5.4917636363636309</v>
      </c>
      <c r="N25">
        <v>5.4950000000000001</v>
      </c>
      <c r="O25" s="11">
        <f t="shared" si="7"/>
        <v>10.98676363636363</v>
      </c>
    </row>
    <row r="27" spans="1:16" ht="15" customHeight="1" x14ac:dyDescent="0.25"/>
    <row r="28" spans="1:16" x14ac:dyDescent="0.25">
      <c r="B28" s="103" t="s">
        <v>99</v>
      </c>
      <c r="C28" s="103"/>
      <c r="D28" s="103"/>
      <c r="E28" t="s">
        <v>101</v>
      </c>
      <c r="H28" t="s">
        <v>100</v>
      </c>
      <c r="K28" t="s">
        <v>16</v>
      </c>
      <c r="N28" s="3" t="s">
        <v>102</v>
      </c>
      <c r="O28" s="3"/>
    </row>
    <row r="29" spans="1:16" x14ac:dyDescent="0.25">
      <c r="A29" t="s">
        <v>140</v>
      </c>
      <c r="B29" t="s">
        <v>141</v>
      </c>
      <c r="C29" t="s">
        <v>144</v>
      </c>
      <c r="D29" t="s">
        <v>142</v>
      </c>
      <c r="E29" t="s">
        <v>141</v>
      </c>
      <c r="F29" t="s">
        <v>144</v>
      </c>
      <c r="G29" t="s">
        <v>142</v>
      </c>
      <c r="H29" t="s">
        <v>141</v>
      </c>
      <c r="I29" t="s">
        <v>144</v>
      </c>
      <c r="J29" t="s">
        <v>142</v>
      </c>
      <c r="K29" t="s">
        <v>141</v>
      </c>
      <c r="L29" t="s">
        <v>144</v>
      </c>
      <c r="M29" t="s">
        <v>142</v>
      </c>
      <c r="N29" t="s">
        <v>141</v>
      </c>
      <c r="O29" t="s">
        <v>144</v>
      </c>
      <c r="P29" t="s">
        <v>142</v>
      </c>
    </row>
    <row r="30" spans="1:16" x14ac:dyDescent="0.25">
      <c r="A30" t="s">
        <v>127</v>
      </c>
      <c r="B30" s="78">
        <v>4.6181017731318642E-2</v>
      </c>
      <c r="C30">
        <f>B30/$B$50</f>
        <v>8.1860817437044681E-2</v>
      </c>
      <c r="D30" s="79">
        <v>0.91882867728204387</v>
      </c>
      <c r="E30" s="12">
        <v>4.6787101426834447E-2</v>
      </c>
      <c r="F30">
        <f t="shared" ref="F30:F49" si="9">E30/$E$50</f>
        <v>8.6074358147582533E-2</v>
      </c>
      <c r="G30" s="11">
        <v>0.96612263498915996</v>
      </c>
      <c r="H30" s="11">
        <v>4.5642137669164425E-2</v>
      </c>
      <c r="I30">
        <f t="shared" ref="I30:I49" si="10">H30/$H$50</f>
        <v>8.1674410723049914E-2</v>
      </c>
      <c r="J30" s="11">
        <v>0.91673639626386283</v>
      </c>
      <c r="K30" s="80">
        <v>4.1300527516793605E-2</v>
      </c>
      <c r="L30">
        <f t="shared" ref="L30:L49" si="11">K30/$K$50</f>
        <v>8.2337689683415233E-2</v>
      </c>
      <c r="M30">
        <v>0.92418122455781648</v>
      </c>
      <c r="N30" s="12">
        <v>4.8823095158683334E-2</v>
      </c>
      <c r="O30">
        <f t="shared" ref="O30:O49" si="12">N30/$N$50</f>
        <v>8.6955991119825396E-2</v>
      </c>
      <c r="P30" s="11">
        <v>0.97601832969508129</v>
      </c>
    </row>
    <row r="31" spans="1:16" x14ac:dyDescent="0.25">
      <c r="A31" t="s">
        <v>135</v>
      </c>
      <c r="B31" s="78">
        <v>4.4677011120072697E-2</v>
      </c>
      <c r="C31">
        <f t="shared" ref="C31:C49" si="13">B31/$B$50</f>
        <v>7.9194804068876384E-2</v>
      </c>
      <c r="D31" s="79">
        <v>0.45200346598037755</v>
      </c>
      <c r="E31" s="12">
        <v>3.3932328860423459E-2</v>
      </c>
      <c r="F31">
        <f t="shared" si="9"/>
        <v>6.2425397984549838E-2</v>
      </c>
      <c r="G31" s="11">
        <v>0.356292266720944</v>
      </c>
      <c r="H31" s="11">
        <v>3.9558597460455397E-2</v>
      </c>
      <c r="I31">
        <f t="shared" si="10"/>
        <v>7.0788208037763062E-2</v>
      </c>
      <c r="J31" s="11">
        <v>0.404022912359014</v>
      </c>
      <c r="K31" s="80">
        <v>3.0287675820397479E-2</v>
      </c>
      <c r="L31">
        <f t="shared" si="11"/>
        <v>6.0382213082332457E-2</v>
      </c>
      <c r="M31">
        <v>0.34463081154974567</v>
      </c>
      <c r="N31" s="12">
        <v>4.2776480669907122E-2</v>
      </c>
      <c r="O31">
        <f t="shared" si="12"/>
        <v>7.6186715757783574E-2</v>
      </c>
      <c r="P31" s="11">
        <v>0.43483483530346484</v>
      </c>
    </row>
    <row r="32" spans="1:16" x14ac:dyDescent="0.25">
      <c r="A32" t="s">
        <v>122</v>
      </c>
      <c r="B32" s="78">
        <v>3.0670840436147102E-2</v>
      </c>
      <c r="C32">
        <f t="shared" si="13"/>
        <v>5.4367361156734621E-2</v>
      </c>
      <c r="D32" s="79">
        <v>0.28740201006539795</v>
      </c>
      <c r="E32" s="12">
        <v>3.0255501520935504E-2</v>
      </c>
      <c r="F32">
        <f t="shared" si="9"/>
        <v>5.5661128696339691E-2</v>
      </c>
      <c r="G32" s="11">
        <v>0.29424124933559015</v>
      </c>
      <c r="H32" s="11">
        <v>3.0724082500455316E-2</v>
      </c>
      <c r="I32">
        <f t="shared" si="10"/>
        <v>5.4979268311667516E-2</v>
      </c>
      <c r="J32" s="11">
        <v>0.29063673293145947</v>
      </c>
      <c r="K32" s="80">
        <v>2.7304083003498607E-2</v>
      </c>
      <c r="L32">
        <f t="shared" si="11"/>
        <v>5.4434053233778583E-2</v>
      </c>
      <c r="M32">
        <v>0.28775456418224415</v>
      </c>
      <c r="N32" s="12">
        <v>3.1794363004155578E-2</v>
      </c>
      <c r="O32">
        <f t="shared" si="12"/>
        <v>5.6627101130399059E-2</v>
      </c>
      <c r="P32" s="11">
        <v>0.29934766637165106</v>
      </c>
    </row>
    <row r="33" spans="1:16" x14ac:dyDescent="0.25">
      <c r="A33" t="s">
        <v>120</v>
      </c>
      <c r="B33" s="78">
        <v>2.8087893346678869E-2</v>
      </c>
      <c r="C33">
        <f t="shared" si="13"/>
        <v>4.9788809827037289E-2</v>
      </c>
      <c r="D33" s="79">
        <v>0.37692028272526235</v>
      </c>
      <c r="E33" s="12">
        <v>2.770753222884528E-2</v>
      </c>
      <c r="F33">
        <f t="shared" si="9"/>
        <v>5.0973622637872265E-2</v>
      </c>
      <c r="G33" s="11">
        <v>0.38588976765948385</v>
      </c>
      <c r="H33" s="11">
        <v>2.8136651626614485E-2</v>
      </c>
      <c r="I33">
        <f t="shared" si="10"/>
        <v>5.0349185175786099E-2</v>
      </c>
      <c r="J33" s="11">
        <v>0.38116253787489174</v>
      </c>
      <c r="K33" s="80">
        <v>2.5004667639537192E-2</v>
      </c>
      <c r="L33">
        <f t="shared" si="11"/>
        <v>4.9849885425894108E-2</v>
      </c>
      <c r="M33">
        <v>0.3773826483063778</v>
      </c>
      <c r="N33" s="12">
        <v>2.9116798378756727E-2</v>
      </c>
      <c r="O33">
        <f t="shared" si="12"/>
        <v>5.1858245632151696E-2</v>
      </c>
      <c r="P33" s="11">
        <v>0.39258670117260436</v>
      </c>
    </row>
    <row r="34" spans="1:16" x14ac:dyDescent="0.25">
      <c r="A34" t="s">
        <v>136</v>
      </c>
      <c r="B34" s="78">
        <v>4.1425347469709458E-3</v>
      </c>
      <c r="C34">
        <f t="shared" si="13"/>
        <v>7.3430880761734957E-3</v>
      </c>
      <c r="D34" s="79">
        <v>6.0607747993757358E-2</v>
      </c>
      <c r="E34" s="12">
        <v>4.0235892260547306E-3</v>
      </c>
      <c r="F34">
        <f t="shared" si="9"/>
        <v>7.4022080770225944E-3</v>
      </c>
      <c r="G34" s="11">
        <v>6.1095707565491111E-2</v>
      </c>
      <c r="H34" s="11">
        <v>4.0742512071857105E-3</v>
      </c>
      <c r="I34">
        <f t="shared" si="10"/>
        <v>7.2906766308051315E-3</v>
      </c>
      <c r="J34" s="11">
        <v>6.0175158919525559E-2</v>
      </c>
      <c r="K34" s="80">
        <v>3.7181488760476551E-3</v>
      </c>
      <c r="L34">
        <f t="shared" si="11"/>
        <v>7.4125878471713678E-3</v>
      </c>
      <c r="M34">
        <v>6.1181379218463824E-2</v>
      </c>
      <c r="N34" s="12">
        <v>4.1410662837497577E-3</v>
      </c>
      <c r="O34">
        <f t="shared" si="12"/>
        <v>7.3754136608094401E-3</v>
      </c>
      <c r="P34" s="11">
        <v>6.0874554120422683E-2</v>
      </c>
    </row>
    <row r="35" spans="1:16" x14ac:dyDescent="0.25">
      <c r="A35" t="s">
        <v>121</v>
      </c>
      <c r="B35" s="78">
        <v>6.485665963681056E-2</v>
      </c>
      <c r="C35">
        <f t="shared" si="13"/>
        <v>0.11496539996139872</v>
      </c>
      <c r="D35" s="79">
        <v>0.78678531009833341</v>
      </c>
      <c r="E35" s="12">
        <v>5.5778784283621707E-2</v>
      </c>
      <c r="F35">
        <f t="shared" si="9"/>
        <v>0.1026163816318732</v>
      </c>
      <c r="G35" s="11">
        <v>0.70227269831193484</v>
      </c>
      <c r="H35" s="11">
        <v>6.6894740347271553E-2</v>
      </c>
      <c r="I35">
        <f t="shared" si="10"/>
        <v>0.11970492131498051</v>
      </c>
      <c r="J35" s="11">
        <v>0.81922103231691046</v>
      </c>
      <c r="K35" s="80">
        <v>5.5024534485731302E-2</v>
      </c>
      <c r="L35">
        <f t="shared" si="11"/>
        <v>0.10969818832503521</v>
      </c>
      <c r="M35">
        <v>0.75073824948652079</v>
      </c>
      <c r="N35" s="12">
        <v>5.6160547260103472E-2</v>
      </c>
      <c r="O35">
        <f t="shared" si="12"/>
        <v>0.10002430269858767</v>
      </c>
      <c r="P35" s="11">
        <v>0.68453336432093259</v>
      </c>
    </row>
    <row r="36" spans="1:16" x14ac:dyDescent="0.25">
      <c r="A36" t="s">
        <v>125</v>
      </c>
      <c r="B36" s="78">
        <v>3.4287958935181613E-2</v>
      </c>
      <c r="C36">
        <f t="shared" si="13"/>
        <v>6.077909246201537E-2</v>
      </c>
      <c r="D36" s="79">
        <v>0.41588553508267456</v>
      </c>
      <c r="E36" s="12">
        <v>2.9488732162297148E-2</v>
      </c>
      <c r="F36">
        <f t="shared" si="9"/>
        <v>5.4250501015220366E-2</v>
      </c>
      <c r="G36" s="11">
        <v>0.37121315454518339</v>
      </c>
      <c r="H36" s="11">
        <v>3.536543699369097E-2</v>
      </c>
      <c r="I36">
        <f t="shared" si="10"/>
        <v>6.3284749004520913E-2</v>
      </c>
      <c r="J36" s="11">
        <v>0.43303067940289575</v>
      </c>
      <c r="K36" s="80">
        <v>2.9089980727336456E-2</v>
      </c>
      <c r="L36">
        <f t="shared" si="11"/>
        <v>5.7994460362522551E-2</v>
      </c>
      <c r="M36">
        <v>0.39683147942316099</v>
      </c>
      <c r="N36" s="12">
        <v>2.9690559905722128E-2</v>
      </c>
      <c r="O36">
        <f t="shared" si="12"/>
        <v>5.2880139104524625E-2</v>
      </c>
      <c r="P36" s="11">
        <v>0.36183634957161798</v>
      </c>
    </row>
    <row r="37" spans="1:16" x14ac:dyDescent="0.25">
      <c r="A37" t="s">
        <v>137</v>
      </c>
      <c r="B37" s="78">
        <v>3.2325887261535416E-2</v>
      </c>
      <c r="C37">
        <f t="shared" si="13"/>
        <v>5.7301109538182522E-2</v>
      </c>
      <c r="D37" s="79">
        <v>0.76334406885393391</v>
      </c>
      <c r="E37" s="12">
        <v>2.4551611886377427E-2</v>
      </c>
      <c r="F37">
        <f t="shared" si="9"/>
        <v>4.5167667373308268E-2</v>
      </c>
      <c r="G37" s="11">
        <v>0.60170686521187744</v>
      </c>
      <c r="H37" s="11">
        <v>2.8622477862146251E-2</v>
      </c>
      <c r="I37">
        <f t="shared" si="10"/>
        <v>5.1218547864021059E-2</v>
      </c>
      <c r="J37" s="11">
        <v>0.68231444456165924</v>
      </c>
      <c r="K37" s="80">
        <v>2.1914536568992126E-2</v>
      </c>
      <c r="L37">
        <f t="shared" si="11"/>
        <v>4.3689328443561097E-2</v>
      </c>
      <c r="M37">
        <v>0.5820129838390149</v>
      </c>
      <c r="N37" s="12">
        <v>3.0950765436486453E-2</v>
      </c>
      <c r="O37">
        <f t="shared" si="12"/>
        <v>5.5124618291805483E-2</v>
      </c>
      <c r="P37" s="11">
        <v>0.73434966198773988</v>
      </c>
    </row>
    <row r="38" spans="1:16" x14ac:dyDescent="0.25">
      <c r="A38" t="s">
        <v>123</v>
      </c>
      <c r="B38" s="78">
        <v>8.7158065564335967E-3</v>
      </c>
      <c r="C38">
        <f t="shared" si="13"/>
        <v>1.5449703890976487E-2</v>
      </c>
      <c r="D38" s="79">
        <v>9.9576151247899911E-2</v>
      </c>
      <c r="E38" s="12">
        <v>9.3798630539680683E-3</v>
      </c>
      <c r="F38">
        <f t="shared" si="9"/>
        <v>1.7256159652144325E-2</v>
      </c>
      <c r="G38" s="11">
        <v>0.11121908714919891</v>
      </c>
      <c r="H38" s="11">
        <v>9.6191895162533302E-3</v>
      </c>
      <c r="I38">
        <f t="shared" si="10"/>
        <v>1.7213077114574007E-2</v>
      </c>
      <c r="J38" s="11">
        <v>0.11094141235960302</v>
      </c>
      <c r="K38" s="80">
        <v>8.4757455615577411E-3</v>
      </c>
      <c r="L38">
        <f t="shared" si="11"/>
        <v>1.6897442958794081E-2</v>
      </c>
      <c r="M38">
        <v>0.1089070928246311</v>
      </c>
      <c r="N38" s="12">
        <v>9.4293316014245829E-3</v>
      </c>
      <c r="O38">
        <f t="shared" si="12"/>
        <v>1.6794037173072113E-2</v>
      </c>
      <c r="P38" s="11">
        <v>0.10824062373036113</v>
      </c>
    </row>
    <row r="39" spans="1:16" x14ac:dyDescent="0.25">
      <c r="A39" t="s">
        <v>132</v>
      </c>
      <c r="B39" s="78">
        <v>2.9134019192772545E-2</v>
      </c>
      <c r="C39">
        <f t="shared" si="13"/>
        <v>5.1643180326221241E-2</v>
      </c>
      <c r="D39" s="79">
        <v>0.39370396296285948</v>
      </c>
      <c r="E39" s="12">
        <v>2.8966989931197725E-2</v>
      </c>
      <c r="F39">
        <f t="shared" si="9"/>
        <v>5.3290650409159666E-2</v>
      </c>
      <c r="G39" s="11">
        <v>0.40626352061245458</v>
      </c>
      <c r="H39" s="11">
        <v>3.0419605863806123E-2</v>
      </c>
      <c r="I39">
        <f t="shared" si="10"/>
        <v>5.4434422010700777E-2</v>
      </c>
      <c r="J39" s="11">
        <v>0.41498311164861063</v>
      </c>
      <c r="K39" s="80">
        <v>2.8028026939358505E-2</v>
      </c>
      <c r="L39">
        <f t="shared" si="11"/>
        <v>5.5877324657243689E-2</v>
      </c>
      <c r="M39">
        <v>0.42598314082042193</v>
      </c>
      <c r="N39" s="12">
        <v>3.0850718177619977E-2</v>
      </c>
      <c r="O39">
        <f t="shared" si="12"/>
        <v>5.4946429905238008E-2</v>
      </c>
      <c r="P39" s="11">
        <v>0.41888642542352211</v>
      </c>
    </row>
    <row r="40" spans="1:16" x14ac:dyDescent="0.25">
      <c r="A40" t="s">
        <v>133</v>
      </c>
      <c r="B40" s="78">
        <v>2.9992450723147174E-2</v>
      </c>
      <c r="C40">
        <f t="shared" si="13"/>
        <v>5.3164842477519916E-2</v>
      </c>
      <c r="D40" s="79">
        <v>0.4053044185403929</v>
      </c>
      <c r="E40" s="12">
        <v>4.2758287403077785E-2</v>
      </c>
      <c r="F40">
        <f t="shared" si="9"/>
        <v>7.8662537995972504E-2</v>
      </c>
      <c r="G40" s="11">
        <v>0.59968717553992978</v>
      </c>
      <c r="H40" s="11">
        <v>3.0877985564397224E-2</v>
      </c>
      <c r="I40">
        <f t="shared" si="10"/>
        <v>5.5254670444386186E-2</v>
      </c>
      <c r="J40" s="11">
        <v>0.4212363101719413</v>
      </c>
      <c r="K40" s="80">
        <v>3.8572089484879432E-2</v>
      </c>
      <c r="L40">
        <f t="shared" si="11"/>
        <v>7.6898212332893998E-2</v>
      </c>
      <c r="M40">
        <v>0.58623676444744355</v>
      </c>
      <c r="N40" s="12">
        <v>3.3267866519984833E-2</v>
      </c>
      <c r="O40">
        <f t="shared" si="12"/>
        <v>5.9251473022861753E-2</v>
      </c>
      <c r="P40" s="11">
        <v>0.45170610317047694</v>
      </c>
    </row>
    <row r="41" spans="1:16" x14ac:dyDescent="0.25">
      <c r="A41" t="s">
        <v>134</v>
      </c>
      <c r="B41" s="78">
        <v>4.4191618638359485E-2</v>
      </c>
      <c r="C41">
        <f t="shared" si="13"/>
        <v>7.833439372534487E-2</v>
      </c>
      <c r="D41" s="79">
        <v>0.53218107765443701</v>
      </c>
      <c r="E41" s="12">
        <v>4.313611701628825E-2</v>
      </c>
      <c r="F41">
        <f t="shared" si="9"/>
        <v>7.9357632166255673E-2</v>
      </c>
      <c r="G41" s="11">
        <v>0.53913266188563247</v>
      </c>
      <c r="H41" s="11">
        <v>4.1986671545191902E-2</v>
      </c>
      <c r="I41">
        <f t="shared" si="10"/>
        <v>7.5133129861982104E-2</v>
      </c>
      <c r="J41" s="11">
        <v>0.51043262245308685</v>
      </c>
      <c r="K41" s="80">
        <v>3.9096637960102418E-2</v>
      </c>
      <c r="L41">
        <f t="shared" si="11"/>
        <v>7.7943964340765018E-2</v>
      </c>
      <c r="M41">
        <v>0.52952861402061902</v>
      </c>
      <c r="N41" s="12">
        <v>4.5239403947816975E-2</v>
      </c>
      <c r="O41">
        <f t="shared" si="12"/>
        <v>8.0573285965728506E-2</v>
      </c>
      <c r="P41" s="11">
        <v>0.54739146007492445</v>
      </c>
    </row>
    <row r="42" spans="1:16" x14ac:dyDescent="0.25">
      <c r="A42" t="s">
        <v>129</v>
      </c>
      <c r="B42" s="78">
        <v>1.8067810210812579E-2</v>
      </c>
      <c r="C42">
        <f t="shared" si="13"/>
        <v>3.2027135516146367E-2</v>
      </c>
      <c r="D42" s="79">
        <v>0.21464334663494758</v>
      </c>
      <c r="E42" s="12">
        <v>1.7549025160448942E-2</v>
      </c>
      <c r="F42">
        <f t="shared" si="9"/>
        <v>3.2284989467953433E-2</v>
      </c>
      <c r="G42" s="11">
        <v>0.2163714635666355</v>
      </c>
      <c r="H42" s="11">
        <v>1.77699891633816E-2</v>
      </c>
      <c r="I42">
        <f t="shared" si="10"/>
        <v>3.1798541163743546E-2</v>
      </c>
      <c r="J42" s="11">
        <v>0.21311132524025078</v>
      </c>
      <c r="K42" s="80">
        <v>1.6216836389144784E-2</v>
      </c>
      <c r="L42">
        <f t="shared" si="11"/>
        <v>3.2330261198556788E-2</v>
      </c>
      <c r="M42">
        <v>0.2166748711492387</v>
      </c>
      <c r="N42" s="12">
        <v>1.8061405457104381E-2</v>
      </c>
      <c r="O42">
        <f t="shared" si="12"/>
        <v>3.2168124684332063E-2</v>
      </c>
      <c r="P42" s="11">
        <v>0.21558824496603307</v>
      </c>
    </row>
    <row r="43" spans="1:16" x14ac:dyDescent="0.25">
      <c r="A43" t="s">
        <v>131</v>
      </c>
      <c r="B43" s="78">
        <v>2.2223583676931939E-2</v>
      </c>
      <c r="C43">
        <f t="shared" si="13"/>
        <v>3.9393690644900073E-2</v>
      </c>
      <c r="D43" s="79">
        <v>0.23847511927723974</v>
      </c>
      <c r="E43" s="12">
        <v>2.2318305828744514E-2</v>
      </c>
      <c r="F43">
        <f t="shared" si="9"/>
        <v>4.1059048125790441E-2</v>
      </c>
      <c r="G43" s="11">
        <v>0.24855658961914051</v>
      </c>
      <c r="H43" s="11">
        <v>2.4579602007148781E-2</v>
      </c>
      <c r="I43">
        <f t="shared" si="10"/>
        <v>4.3984015917318528E-2</v>
      </c>
      <c r="J43" s="11">
        <v>0.26626328405542454</v>
      </c>
      <c r="K43" s="80">
        <v>2.1265273974713214E-2</v>
      </c>
      <c r="L43">
        <f t="shared" si="11"/>
        <v>4.2394943475014421E-2</v>
      </c>
      <c r="M43">
        <v>0.25664361567668359</v>
      </c>
      <c r="N43" s="12">
        <v>2.4208078932271712E-2</v>
      </c>
      <c r="O43">
        <f t="shared" si="12"/>
        <v>4.3115609320157247E-2</v>
      </c>
      <c r="P43" s="11">
        <v>0.26100626539459515</v>
      </c>
    </row>
    <row r="44" spans="1:16" x14ac:dyDescent="0.25">
      <c r="A44" t="s">
        <v>138</v>
      </c>
      <c r="B44" s="78">
        <v>1.8156976671460861E-2</v>
      </c>
      <c r="C44">
        <f t="shared" si="13"/>
        <v>3.218519265120353E-2</v>
      </c>
      <c r="D44" s="79">
        <v>0.28202339777936308</v>
      </c>
      <c r="E44" s="12">
        <v>1.7635631364694353E-2</v>
      </c>
      <c r="F44">
        <f t="shared" si="9"/>
        <v>3.2444319138197696E-2</v>
      </c>
      <c r="G44" s="11">
        <v>0.28429399883211115</v>
      </c>
      <c r="H44" s="11">
        <v>1.7857685847206008E-2</v>
      </c>
      <c r="I44">
        <f t="shared" si="10"/>
        <v>3.1955470162679613E-2</v>
      </c>
      <c r="J44" s="11">
        <v>0.28001044985446</v>
      </c>
      <c r="K44" s="80">
        <v>1.6296868107812442E-2</v>
      </c>
      <c r="L44">
        <f t="shared" si="11"/>
        <v>3.2489814289344998E-2</v>
      </c>
      <c r="M44">
        <v>0.2846926510088465</v>
      </c>
      <c r="N44" s="12">
        <v>1.8150540309648931E-2</v>
      </c>
      <c r="O44">
        <f t="shared" si="12"/>
        <v>3.2326877615114914E-2</v>
      </c>
      <c r="P44" s="11">
        <v>0.28326491512460839</v>
      </c>
    </row>
    <row r="45" spans="1:16" x14ac:dyDescent="0.25">
      <c r="A45" t="s">
        <v>124</v>
      </c>
      <c r="B45" s="78">
        <v>1.9073712522832947E-2</v>
      </c>
      <c r="C45">
        <f t="shared" si="13"/>
        <v>3.3810205477983891E-2</v>
      </c>
      <c r="D45" s="79">
        <v>0.321721354631683</v>
      </c>
      <c r="E45" s="12">
        <v>1.9073712522832947E-2</v>
      </c>
      <c r="F45">
        <f t="shared" si="9"/>
        <v>3.5089960968446174E-2</v>
      </c>
      <c r="G45" s="11">
        <v>0.33389888103734072</v>
      </c>
      <c r="H45" s="11">
        <v>2.0132047237443839E-2</v>
      </c>
      <c r="I45">
        <f t="shared" si="10"/>
        <v>3.6025330511145016E-2</v>
      </c>
      <c r="J45" s="11">
        <v>0.34279939944898552</v>
      </c>
      <c r="K45" s="80">
        <v>1.8059407461737859E-2</v>
      </c>
      <c r="L45">
        <f t="shared" si="11"/>
        <v>3.6003653630000104E-2</v>
      </c>
      <c r="M45">
        <v>0.34259313286564069</v>
      </c>
      <c r="N45" s="12">
        <v>2.0253160676100619E-2</v>
      </c>
      <c r="O45">
        <f t="shared" si="12"/>
        <v>3.6071733145459535E-2</v>
      </c>
      <c r="P45" s="11">
        <v>0.34324094418848333</v>
      </c>
    </row>
    <row r="46" spans="1:16" x14ac:dyDescent="0.25">
      <c r="A46" t="s">
        <v>126</v>
      </c>
      <c r="B46" s="78">
        <v>3.0060618304715462E-2</v>
      </c>
      <c r="C46">
        <f t="shared" si="13"/>
        <v>5.3285676842460772E-2</v>
      </c>
      <c r="D46" s="79">
        <v>0.44733424449333614</v>
      </c>
      <c r="E46" s="12">
        <v>3.0060618304715462E-2</v>
      </c>
      <c r="F46">
        <f t="shared" si="9"/>
        <v>5.5302601511745694E-2</v>
      </c>
      <c r="G46" s="11">
        <v>0.46426636446625147</v>
      </c>
      <c r="H46" s="11">
        <v>2.7157437943932539E-2</v>
      </c>
      <c r="I46">
        <f t="shared" si="10"/>
        <v>4.8596929374694925E-2</v>
      </c>
      <c r="J46" s="11">
        <v>0.40797212261743021</v>
      </c>
      <c r="K46" s="80">
        <v>2.8245441608280016E-2</v>
      </c>
      <c r="L46">
        <f t="shared" si="11"/>
        <v>5.6310767584455766E-2</v>
      </c>
      <c r="M46">
        <v>0.47272993732829688</v>
      </c>
      <c r="N46" s="12">
        <v>2.6502310657122066E-2</v>
      </c>
      <c r="O46">
        <f t="shared" si="12"/>
        <v>4.7201732759167198E-2</v>
      </c>
      <c r="P46" s="11">
        <v>0.39625942117662905</v>
      </c>
    </row>
    <row r="47" spans="1:16" x14ac:dyDescent="0.25">
      <c r="A47" t="s">
        <v>139</v>
      </c>
      <c r="B47" s="79">
        <v>9.1704961982041356E-3</v>
      </c>
      <c r="C47">
        <f t="shared" si="13"/>
        <v>1.6255690150786671E-2</v>
      </c>
      <c r="D47" s="79">
        <v>7.9596388043248242E-2</v>
      </c>
      <c r="E47" s="12">
        <v>8.907181702615858E-3</v>
      </c>
      <c r="F47">
        <f t="shared" si="9"/>
        <v>1.6386566480410921E-2</v>
      </c>
      <c r="G47" s="11">
        <v>8.0237227221518603E-2</v>
      </c>
      <c r="H47" s="11">
        <v>9.0193341729590103E-3</v>
      </c>
      <c r="I47">
        <f t="shared" si="10"/>
        <v>1.6139664820922044E-2</v>
      </c>
      <c r="J47" s="11">
        <v>7.902826715185049E-2</v>
      </c>
      <c r="K47" s="80">
        <v>8.2310160843150886E-3</v>
      </c>
      <c r="L47">
        <f t="shared" si="11"/>
        <v>1.6409544596106183E-2</v>
      </c>
      <c r="M47">
        <v>8.0349740132162048E-2</v>
      </c>
      <c r="N47" s="12">
        <v>9.1672454019623029E-3</v>
      </c>
      <c r="O47">
        <f t="shared" si="12"/>
        <v>1.6327250600877141E-2</v>
      </c>
      <c r="P47" s="11">
        <v>7.9946785553357935E-2</v>
      </c>
    </row>
    <row r="48" spans="1:16" x14ac:dyDescent="0.25">
      <c r="A48" t="s">
        <v>128</v>
      </c>
      <c r="B48" s="79">
        <v>1.6769315836825911E-2</v>
      </c>
      <c r="C48">
        <f t="shared" si="13"/>
        <v>2.9725414676853006E-2</v>
      </c>
      <c r="D48" s="79">
        <v>0.16405755603434186</v>
      </c>
      <c r="E48" s="12">
        <v>1.7383587669523911E-2</v>
      </c>
      <c r="F48">
        <f t="shared" si="9"/>
        <v>3.1980633664523576E-2</v>
      </c>
      <c r="G48" s="11">
        <v>0.17650433665831686</v>
      </c>
      <c r="H48" s="11">
        <v>1.9421948848682286E-2</v>
      </c>
      <c r="I48">
        <f t="shared" si="10"/>
        <v>3.4754643588506218E-2</v>
      </c>
      <c r="J48" s="11">
        <v>0.19181437668605056</v>
      </c>
      <c r="K48" s="80">
        <v>1.5351517864020985E-2</v>
      </c>
      <c r="L48">
        <f t="shared" si="11"/>
        <v>3.06051421145455E-2</v>
      </c>
      <c r="M48">
        <v>0.16891286032439673</v>
      </c>
      <c r="N48" s="12">
        <v>1.9385703765843382E-2</v>
      </c>
      <c r="O48">
        <f t="shared" si="12"/>
        <v>3.4526755811679334E-2</v>
      </c>
      <c r="P48" s="11">
        <v>0.1905566411044699</v>
      </c>
    </row>
    <row r="49" spans="1:16" x14ac:dyDescent="0.25">
      <c r="A49" t="s">
        <v>130</v>
      </c>
      <c r="B49" s="79">
        <v>3.3354474568732258E-2</v>
      </c>
      <c r="C49">
        <f t="shared" si="13"/>
        <v>5.9124391092140127E-2</v>
      </c>
      <c r="D49" s="79">
        <v>0.504707129347719</v>
      </c>
      <c r="E49" s="12">
        <v>3.3871578214574698E-2</v>
      </c>
      <c r="F49">
        <f t="shared" si="9"/>
        <v>6.2313634855631489E-2</v>
      </c>
      <c r="G49" s="11">
        <v>0.53193166451719531</v>
      </c>
      <c r="H49" s="11">
        <v>3.0970453834064268E-2</v>
      </c>
      <c r="I49">
        <f t="shared" si="10"/>
        <v>5.5420137966752873E-2</v>
      </c>
      <c r="J49" s="11">
        <v>0.473086288494103</v>
      </c>
      <c r="K49" s="80">
        <v>3.0116284022603985E-2</v>
      </c>
      <c r="L49">
        <f t="shared" si="11"/>
        <v>6.0040522418568776E-2</v>
      </c>
      <c r="M49">
        <v>0.5125275568113481</v>
      </c>
      <c r="N49" s="12">
        <v>3.3499578932860659E-2</v>
      </c>
      <c r="O49">
        <f t="shared" si="12"/>
        <v>5.9664162600425334E-2</v>
      </c>
      <c r="P49" s="11">
        <v>0.50931481364548647</v>
      </c>
    </row>
    <row r="50" spans="1:16" x14ac:dyDescent="0.25">
      <c r="A50" t="s">
        <v>143</v>
      </c>
      <c r="B50" s="11">
        <f>SUM(B30:B49)</f>
        <v>0.56414068631594472</v>
      </c>
      <c r="C50">
        <f>SUM(C30:C49)</f>
        <v>1</v>
      </c>
      <c r="E50" s="12">
        <f>SUM(E30:E49)</f>
        <v>0.54356607976807203</v>
      </c>
      <c r="F50">
        <f>SUM(F30:F49)</f>
        <v>1.0000000000000004</v>
      </c>
      <c r="H50" s="11">
        <f>SUM(H30:H49)</f>
        <v>0.55883032721145098</v>
      </c>
      <c r="I50">
        <f>SUM(I30:I49)</f>
        <v>0.99999999999999989</v>
      </c>
      <c r="K50">
        <f>SUM(K30:K49)</f>
        <v>0.50159930009686093</v>
      </c>
      <c r="L50">
        <f>SUM(L30:L49)</f>
        <v>0.99999999999999978</v>
      </c>
      <c r="N50" s="12">
        <f>SUM(N30:N49)</f>
        <v>0.56146902047732494</v>
      </c>
      <c r="O50">
        <f>SUM(O30:O49)</f>
        <v>1</v>
      </c>
    </row>
    <row r="51" spans="1:16" x14ac:dyDescent="0.25">
      <c r="B51" s="17"/>
      <c r="C51" s="17"/>
      <c r="E51" s="17"/>
      <c r="G51" s="17"/>
      <c r="H51" s="17"/>
      <c r="I51" s="17"/>
      <c r="K51" s="17"/>
      <c r="M51" s="17"/>
      <c r="N51" s="17"/>
      <c r="O51" s="17"/>
    </row>
    <row r="52" spans="1:16" x14ac:dyDescent="0.25">
      <c r="A52" t="s">
        <v>144</v>
      </c>
      <c r="B52" s="17">
        <f>B50*100</f>
        <v>56.414068631594475</v>
      </c>
      <c r="C52" s="17"/>
      <c r="E52" s="17">
        <f t="shared" ref="E52" si="14">E50*100</f>
        <v>54.356607976807204</v>
      </c>
      <c r="G52" s="17"/>
      <c r="H52" s="17">
        <f>H50*100</f>
        <v>55.883032721145099</v>
      </c>
      <c r="I52" s="17"/>
      <c r="K52" s="17">
        <f>K50*100</f>
        <v>50.159930009686093</v>
      </c>
      <c r="M52" s="17"/>
      <c r="N52" s="17">
        <f>N50*100</f>
        <v>56.146902047732496</v>
      </c>
      <c r="O52" s="17"/>
    </row>
  </sheetData>
  <mergeCells count="9">
    <mergeCell ref="B28:D28"/>
    <mergeCell ref="A23:A25"/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90D6-38AB-4DBA-9D06-B08EF23D6CE8}">
  <dimension ref="A2:W39"/>
  <sheetViews>
    <sheetView workbookViewId="0">
      <selection activeCell="P19" sqref="P19"/>
    </sheetView>
  </sheetViews>
  <sheetFormatPr defaultRowHeight="15" x14ac:dyDescent="0.25"/>
  <sheetData>
    <row r="2" spans="1:11" x14ac:dyDescent="0.25">
      <c r="C2" t="s">
        <v>69</v>
      </c>
      <c r="D2" t="s">
        <v>69</v>
      </c>
      <c r="E2" t="s">
        <v>69</v>
      </c>
    </row>
    <row r="3" spans="1:11" x14ac:dyDescent="0.25">
      <c r="B3" t="s">
        <v>70</v>
      </c>
      <c r="C3" t="s">
        <v>68</v>
      </c>
      <c r="D3" t="s">
        <v>71</v>
      </c>
      <c r="E3" t="s">
        <v>72</v>
      </c>
      <c r="F3" t="s">
        <v>73</v>
      </c>
      <c r="G3" t="s">
        <v>74</v>
      </c>
    </row>
    <row r="4" spans="1:11" x14ac:dyDescent="0.25">
      <c r="B4">
        <v>0</v>
      </c>
      <c r="C4" s="73">
        <v>0</v>
      </c>
      <c r="D4">
        <v>7.0000000000000007E-2</v>
      </c>
      <c r="E4">
        <v>-0.12</v>
      </c>
      <c r="F4" s="11">
        <f>AVERAGE(C4:E4)</f>
        <v>-1.6666666666666663E-2</v>
      </c>
      <c r="G4" s="11"/>
    </row>
    <row r="5" spans="1:11" x14ac:dyDescent="0.25">
      <c r="B5">
        <v>2</v>
      </c>
      <c r="C5">
        <v>9.5000000000000001E-2</v>
      </c>
      <c r="D5">
        <f>0.093-D4</f>
        <v>2.2999999999999993E-2</v>
      </c>
      <c r="E5">
        <f>0.098-E4</f>
        <v>0.218</v>
      </c>
      <c r="F5" s="11">
        <f t="shared" ref="F5:F9" si="0">AVERAGE(C5:E5)</f>
        <v>0.11199999999999999</v>
      </c>
      <c r="G5" s="11">
        <f>_xlfn.STDEV.S(C5:E5)</f>
        <v>9.8605273692637774E-2</v>
      </c>
    </row>
    <row r="6" spans="1:11" x14ac:dyDescent="0.25">
      <c r="B6">
        <v>4</v>
      </c>
      <c r="C6">
        <v>0.18099999999999999</v>
      </c>
      <c r="D6">
        <f>0.169-D4</f>
        <v>9.9000000000000005E-2</v>
      </c>
      <c r="E6">
        <f>0.167-E4</f>
        <v>0.28700000000000003</v>
      </c>
      <c r="F6" s="11">
        <f t="shared" si="0"/>
        <v>0.18900000000000003</v>
      </c>
      <c r="G6" s="11">
        <f>_xlfn.STDEV.S(C6:E6)</f>
        <v>9.4254973343585444E-2</v>
      </c>
    </row>
    <row r="7" spans="1:11" x14ac:dyDescent="0.25">
      <c r="B7">
        <v>6</v>
      </c>
      <c r="C7">
        <v>0.25</v>
      </c>
      <c r="D7">
        <f>0.235-D4</f>
        <v>0.16499999999999998</v>
      </c>
      <c r="E7">
        <f>0.254-E4</f>
        <v>0.374</v>
      </c>
      <c r="F7" s="11">
        <f t="shared" si="0"/>
        <v>0.26299999999999996</v>
      </c>
      <c r="G7" s="11">
        <f>_xlfn.STDEV.S(C7:E7)</f>
        <v>0.105104709694666</v>
      </c>
    </row>
    <row r="8" spans="1:11" x14ac:dyDescent="0.25">
      <c r="B8">
        <v>8</v>
      </c>
      <c r="C8">
        <v>0.33300000000000002</v>
      </c>
      <c r="D8">
        <f>0.319-D4</f>
        <v>0.249</v>
      </c>
      <c r="E8">
        <f>0.293-E4</f>
        <v>0.41299999999999998</v>
      </c>
      <c r="F8" s="11">
        <f t="shared" si="0"/>
        <v>0.33166666666666672</v>
      </c>
      <c r="G8" s="11">
        <f>_xlfn.STDEV.S(C8:E8)</f>
        <v>8.2008129678302497E-2</v>
      </c>
    </row>
    <row r="9" spans="1:11" x14ac:dyDescent="0.25">
      <c r="B9">
        <v>10</v>
      </c>
      <c r="C9">
        <v>0.36399999999999999</v>
      </c>
      <c r="D9">
        <f>0.354-D4</f>
        <v>0.28399999999999997</v>
      </c>
      <c r="E9">
        <f>0.354-E4</f>
        <v>0.47399999999999998</v>
      </c>
      <c r="F9" s="11">
        <f t="shared" si="0"/>
        <v>0.37399999999999994</v>
      </c>
      <c r="G9" s="11">
        <f>_xlfn.STDEV.S(C9:E9)</f>
        <v>9.5393920141694843E-2</v>
      </c>
    </row>
    <row r="12" spans="1:11" x14ac:dyDescent="0.25">
      <c r="B12" t="s">
        <v>75</v>
      </c>
    </row>
    <row r="13" spans="1:11" x14ac:dyDescent="0.25">
      <c r="B13" s="39" t="s">
        <v>76</v>
      </c>
      <c r="C13">
        <v>3.8399999999999997E-2</v>
      </c>
      <c r="D13" t="s">
        <v>77</v>
      </c>
      <c r="E13" s="74">
        <v>1.7000000000000001E-2</v>
      </c>
    </row>
    <row r="15" spans="1:11" x14ac:dyDescent="0.25">
      <c r="B15" t="s">
        <v>78</v>
      </c>
    </row>
    <row r="16" spans="1:11" x14ac:dyDescent="0.25">
      <c r="A16" t="s">
        <v>79</v>
      </c>
      <c r="B16" t="s">
        <v>80</v>
      </c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 t="s">
        <v>87</v>
      </c>
      <c r="J16" t="s">
        <v>88</v>
      </c>
      <c r="K16" t="s">
        <v>89</v>
      </c>
    </row>
    <row r="17" spans="1:23" x14ac:dyDescent="0.25">
      <c r="A17">
        <v>150</v>
      </c>
      <c r="B17">
        <v>15</v>
      </c>
      <c r="C17">
        <f>B17/60</f>
        <v>0.25</v>
      </c>
      <c r="D17">
        <v>10.33</v>
      </c>
      <c r="E17">
        <v>0.21299999999999999</v>
      </c>
      <c r="F17" s="17">
        <f>(10/0.15) *10</f>
        <v>666.66666666666674</v>
      </c>
      <c r="G17">
        <f>E17*F17</f>
        <v>142</v>
      </c>
      <c r="H17" s="18">
        <f>(G17/$C$13)-$E$13</f>
        <v>3697.8996666666671</v>
      </c>
      <c r="I17" s="17">
        <f>H17*0.23</f>
        <v>850.51692333333347</v>
      </c>
      <c r="J17" s="17">
        <f>I17/1000</f>
        <v>0.85051692333333351</v>
      </c>
      <c r="K17" s="17">
        <f>J17/D17*100</f>
        <v>8.2334648919006153</v>
      </c>
    </row>
    <row r="18" spans="1:23" x14ac:dyDescent="0.25">
      <c r="A18">
        <v>150</v>
      </c>
      <c r="B18">
        <v>30</v>
      </c>
      <c r="C18">
        <f t="shared" ref="C18:C23" si="1">B18/60</f>
        <v>0.5</v>
      </c>
      <c r="D18">
        <v>10.53</v>
      </c>
      <c r="E18">
        <v>0.252</v>
      </c>
      <c r="F18" s="17">
        <f>(10/0.15) *10</f>
        <v>666.66666666666674</v>
      </c>
      <c r="G18">
        <f t="shared" ref="G18:G23" si="2">E18*F18</f>
        <v>168.00000000000003</v>
      </c>
      <c r="H18" s="18">
        <f t="shared" ref="H18:H23" si="3">(G18/$C$13)-$E$13</f>
        <v>4374.9830000000011</v>
      </c>
      <c r="I18" s="17">
        <f t="shared" ref="I18:I23" si="4">H18*0.23</f>
        <v>1006.2460900000003</v>
      </c>
      <c r="J18" s="17">
        <f t="shared" ref="J18:J23" si="5">I18/1000</f>
        <v>1.0062460900000003</v>
      </c>
      <c r="K18" s="17">
        <f t="shared" ref="K18:K23" si="6">J18/D18*100</f>
        <v>9.555993257359928</v>
      </c>
    </row>
    <row r="19" spans="1:23" x14ac:dyDescent="0.25">
      <c r="A19">
        <v>150</v>
      </c>
      <c r="B19">
        <v>60</v>
      </c>
      <c r="C19">
        <f t="shared" si="1"/>
        <v>1</v>
      </c>
      <c r="D19">
        <v>10.46</v>
      </c>
      <c r="E19">
        <v>0.22800000000000001</v>
      </c>
      <c r="F19" s="17">
        <f>F18*2</f>
        <v>1333.3333333333335</v>
      </c>
      <c r="G19">
        <f t="shared" si="2"/>
        <v>304.00000000000006</v>
      </c>
      <c r="H19" s="18">
        <f t="shared" si="3"/>
        <v>7916.649666666669</v>
      </c>
      <c r="I19" s="17">
        <f t="shared" si="4"/>
        <v>1820.829423333334</v>
      </c>
      <c r="J19" s="17">
        <f t="shared" si="5"/>
        <v>1.820829423333334</v>
      </c>
      <c r="K19" s="17">
        <f t="shared" si="6"/>
        <v>17.407547068196308</v>
      </c>
    </row>
    <row r="20" spans="1:23" x14ac:dyDescent="0.25">
      <c r="A20">
        <v>100</v>
      </c>
      <c r="B20">
        <v>120</v>
      </c>
      <c r="C20">
        <f t="shared" si="1"/>
        <v>2</v>
      </c>
      <c r="D20">
        <v>9.77</v>
      </c>
      <c r="E20">
        <v>0.19700000000000001</v>
      </c>
      <c r="F20">
        <v>2000</v>
      </c>
      <c r="G20">
        <f t="shared" si="2"/>
        <v>394</v>
      </c>
      <c r="H20" s="18">
        <f t="shared" si="3"/>
        <v>10260.399666666668</v>
      </c>
      <c r="I20" s="17">
        <f t="shared" si="4"/>
        <v>2359.8919233333336</v>
      </c>
      <c r="J20" s="17">
        <f t="shared" si="5"/>
        <v>2.3598919233333335</v>
      </c>
      <c r="K20" s="17">
        <f t="shared" si="6"/>
        <v>24.154472091436375</v>
      </c>
    </row>
    <row r="21" spans="1:23" x14ac:dyDescent="0.25">
      <c r="A21">
        <v>100</v>
      </c>
      <c r="B21">
        <v>180</v>
      </c>
      <c r="C21">
        <f t="shared" si="1"/>
        <v>3</v>
      </c>
      <c r="D21">
        <v>10.31</v>
      </c>
      <c r="E21">
        <v>0.13600000000000001</v>
      </c>
      <c r="F21">
        <v>4000</v>
      </c>
      <c r="G21">
        <f t="shared" si="2"/>
        <v>544</v>
      </c>
      <c r="H21" s="18">
        <f t="shared" si="3"/>
        <v>14166.649666666668</v>
      </c>
      <c r="I21" s="17">
        <f t="shared" si="4"/>
        <v>3258.3294233333336</v>
      </c>
      <c r="J21" s="17">
        <f t="shared" si="5"/>
        <v>3.2583294233333335</v>
      </c>
      <c r="K21" s="17">
        <f t="shared" si="6"/>
        <v>31.60358315551245</v>
      </c>
    </row>
    <row r="22" spans="1:23" x14ac:dyDescent="0.25">
      <c r="A22">
        <v>100</v>
      </c>
      <c r="B22">
        <v>240</v>
      </c>
      <c r="C22">
        <f t="shared" si="1"/>
        <v>4</v>
      </c>
      <c r="D22">
        <v>10.02</v>
      </c>
      <c r="E22">
        <v>0.26100000000000001</v>
      </c>
      <c r="F22">
        <v>2000</v>
      </c>
      <c r="G22">
        <f t="shared" si="2"/>
        <v>522</v>
      </c>
      <c r="H22" s="18">
        <f t="shared" si="3"/>
        <v>13593.733000000002</v>
      </c>
      <c r="I22" s="17">
        <f t="shared" si="4"/>
        <v>3126.5585900000005</v>
      </c>
      <c r="J22" s="17">
        <f t="shared" si="5"/>
        <v>3.1265585900000006</v>
      </c>
      <c r="K22" s="17">
        <f t="shared" si="6"/>
        <v>31.203179540918168</v>
      </c>
    </row>
    <row r="23" spans="1:23" x14ac:dyDescent="0.25">
      <c r="A23">
        <v>100</v>
      </c>
      <c r="B23">
        <v>300</v>
      </c>
      <c r="C23">
        <f t="shared" si="1"/>
        <v>5</v>
      </c>
      <c r="D23">
        <v>10.039999999999999</v>
      </c>
      <c r="E23">
        <v>0.222</v>
      </c>
      <c r="F23">
        <v>2000</v>
      </c>
      <c r="G23">
        <f t="shared" si="2"/>
        <v>444</v>
      </c>
      <c r="H23" s="18">
        <f t="shared" si="3"/>
        <v>11562.483000000002</v>
      </c>
      <c r="I23" s="17">
        <f t="shared" si="4"/>
        <v>2659.3710900000005</v>
      </c>
      <c r="J23" s="17">
        <f t="shared" si="5"/>
        <v>2.6593710900000005</v>
      </c>
      <c r="K23" s="17">
        <f t="shared" si="6"/>
        <v>26.487759860557773</v>
      </c>
    </row>
    <row r="26" spans="1:23" x14ac:dyDescent="0.25">
      <c r="A26" t="s">
        <v>90</v>
      </c>
    </row>
    <row r="27" spans="1:23" x14ac:dyDescent="0.25">
      <c r="B27" s="103" t="s">
        <v>91</v>
      </c>
      <c r="C27" s="103"/>
      <c r="D27" s="103"/>
      <c r="E27" s="103" t="s">
        <v>92</v>
      </c>
      <c r="F27" s="103"/>
      <c r="G27" s="103"/>
      <c r="I27" s="103" t="s">
        <v>93</v>
      </c>
      <c r="J27" s="103"/>
      <c r="K27" s="103"/>
      <c r="L27" s="103" t="s">
        <v>94</v>
      </c>
      <c r="M27" s="103"/>
      <c r="N27" s="103"/>
      <c r="O27" s="103" t="s">
        <v>95</v>
      </c>
      <c r="P27" s="103"/>
      <c r="Q27" s="103"/>
      <c r="R27" s="103" t="s">
        <v>89</v>
      </c>
      <c r="S27" s="103"/>
      <c r="T27" s="103"/>
      <c r="U27" t="s">
        <v>96</v>
      </c>
    </row>
    <row r="28" spans="1:23" x14ac:dyDescent="0.25">
      <c r="B28">
        <v>1</v>
      </c>
      <c r="C28">
        <v>2</v>
      </c>
      <c r="D28">
        <v>3</v>
      </c>
      <c r="E28">
        <v>1</v>
      </c>
      <c r="F28">
        <v>2</v>
      </c>
      <c r="G28">
        <v>3</v>
      </c>
      <c r="H28" t="s">
        <v>97</v>
      </c>
      <c r="I28">
        <v>1</v>
      </c>
      <c r="J28">
        <v>2</v>
      </c>
      <c r="K28">
        <v>3</v>
      </c>
      <c r="L28">
        <v>1</v>
      </c>
      <c r="M28">
        <v>2</v>
      </c>
      <c r="N28">
        <v>3</v>
      </c>
      <c r="O28">
        <v>1</v>
      </c>
      <c r="P28">
        <v>2</v>
      </c>
      <c r="Q28">
        <v>3</v>
      </c>
      <c r="R28">
        <v>1</v>
      </c>
      <c r="S28">
        <v>2</v>
      </c>
      <c r="T28">
        <v>3</v>
      </c>
      <c r="U28" t="s">
        <v>89</v>
      </c>
      <c r="V28" t="s">
        <v>3</v>
      </c>
      <c r="W28" t="s">
        <v>98</v>
      </c>
    </row>
    <row r="29" spans="1:23" x14ac:dyDescent="0.25">
      <c r="A29" t="s">
        <v>99</v>
      </c>
      <c r="B29">
        <v>10.63</v>
      </c>
      <c r="C29">
        <v>9.93</v>
      </c>
      <c r="D29">
        <v>10.55</v>
      </c>
      <c r="E29">
        <v>0.19500000000000001</v>
      </c>
      <c r="F29">
        <v>0.16900000000000001</v>
      </c>
      <c r="G29">
        <v>0.186</v>
      </c>
      <c r="H29">
        <v>4000</v>
      </c>
      <c r="I29">
        <f>E29*$H$29</f>
        <v>780</v>
      </c>
      <c r="J29">
        <f>F29*$H$29</f>
        <v>676</v>
      </c>
      <c r="K29">
        <f t="shared" ref="K29" si="7">G29*$H$29</f>
        <v>744</v>
      </c>
      <c r="L29">
        <f>(I29/$C$13)-$E$13</f>
        <v>20312.483</v>
      </c>
      <c r="M29">
        <f t="shared" ref="M29:N33" si="8">(J29/$C$13)-$E$13</f>
        <v>17604.149666666668</v>
      </c>
      <c r="N29">
        <f t="shared" si="8"/>
        <v>19374.983</v>
      </c>
      <c r="O29">
        <f t="shared" ref="O29:Q33" si="9">L29*0.23-$C$39</f>
        <v>4671.7710900000002</v>
      </c>
      <c r="P29">
        <f t="shared" si="9"/>
        <v>4048.8544233333341</v>
      </c>
      <c r="Q29">
        <f t="shared" si="9"/>
        <v>4456.1460900000002</v>
      </c>
      <c r="R29" s="18">
        <f>O29/(B29*1000)*100</f>
        <v>43.94892841015993</v>
      </c>
      <c r="S29" s="18">
        <f>P29/(C29*1000)*100</f>
        <v>40.773961967103062</v>
      </c>
      <c r="T29" s="18">
        <f>Q29/(D29*1000)*100</f>
        <v>42.238351563981048</v>
      </c>
      <c r="U29" s="75">
        <f>AVERAGE(R29:T29)</f>
        <v>42.320413980414678</v>
      </c>
      <c r="V29" s="76">
        <f>_xlfn.STDEV.S(R29:T29)</f>
        <v>1.5890732074946985</v>
      </c>
      <c r="W29" s="76">
        <f>(V29/U29)*100</f>
        <v>3.754862152884658</v>
      </c>
    </row>
    <row r="30" spans="1:23" x14ac:dyDescent="0.25">
      <c r="A30" t="s">
        <v>100</v>
      </c>
      <c r="B30">
        <v>10.1</v>
      </c>
      <c r="C30">
        <v>10.16</v>
      </c>
      <c r="D30">
        <v>10.35</v>
      </c>
      <c r="E30">
        <v>0.186</v>
      </c>
      <c r="F30">
        <v>0.183</v>
      </c>
      <c r="G30">
        <v>0.186</v>
      </c>
      <c r="H30">
        <v>4000</v>
      </c>
      <c r="I30">
        <f>E30*$H$30</f>
        <v>744</v>
      </c>
      <c r="J30">
        <f t="shared" ref="J30:K30" si="10">F30*$H$30</f>
        <v>732</v>
      </c>
      <c r="K30">
        <f t="shared" si="10"/>
        <v>744</v>
      </c>
      <c r="L30">
        <f t="shared" ref="L30:L33" si="11">(I30/$C$13)-$E$13</f>
        <v>19374.983</v>
      </c>
      <c r="M30">
        <f t="shared" si="8"/>
        <v>19062.483</v>
      </c>
      <c r="N30">
        <f t="shared" si="8"/>
        <v>19374.983</v>
      </c>
      <c r="O30">
        <f t="shared" si="9"/>
        <v>4456.1460900000002</v>
      </c>
      <c r="P30">
        <f t="shared" si="9"/>
        <v>4384.2710900000002</v>
      </c>
      <c r="Q30">
        <f t="shared" si="9"/>
        <v>4456.1460900000002</v>
      </c>
      <c r="R30" s="18">
        <f t="shared" ref="R30:T33" si="12">O30/(B30*1000)*100</f>
        <v>44.120258316831681</v>
      </c>
      <c r="S30" s="18">
        <f t="shared" si="12"/>
        <v>43.152274507874019</v>
      </c>
      <c r="T30" s="18">
        <f>Q30/(D30*1000)*100</f>
        <v>43.054551594202898</v>
      </c>
      <c r="U30" s="75">
        <f>AVERAGE(R30:T30)</f>
        <v>43.442361472969537</v>
      </c>
      <c r="V30" s="76">
        <f t="shared" ref="V30:V33" si="13">_xlfn.STDEV.S(R30:T30)</f>
        <v>0.58910571220519459</v>
      </c>
      <c r="W30" s="76">
        <f t="shared" ref="W30:W33" si="14">(V30/U30)*100</f>
        <v>1.3560628203228424</v>
      </c>
    </row>
    <row r="31" spans="1:23" x14ac:dyDescent="0.25">
      <c r="A31" t="s">
        <v>101</v>
      </c>
      <c r="B31">
        <v>10.210000000000001</v>
      </c>
      <c r="C31">
        <v>10.36</v>
      </c>
      <c r="D31">
        <v>10.36</v>
      </c>
      <c r="E31">
        <v>0.19900000000000001</v>
      </c>
      <c r="F31">
        <v>0.19500000000000001</v>
      </c>
      <c r="G31">
        <v>0.17899999999999999</v>
      </c>
      <c r="H31">
        <v>4000</v>
      </c>
      <c r="I31">
        <f>E31*$H$31</f>
        <v>796</v>
      </c>
      <c r="J31">
        <f>F31*$H$31</f>
        <v>780</v>
      </c>
      <c r="K31">
        <f>G31*$H$31</f>
        <v>716</v>
      </c>
      <c r="L31">
        <f t="shared" si="11"/>
        <v>20729.149666666668</v>
      </c>
      <c r="M31">
        <f t="shared" si="8"/>
        <v>20312.483</v>
      </c>
      <c r="N31">
        <f t="shared" si="8"/>
        <v>18645.816333333336</v>
      </c>
      <c r="O31">
        <f t="shared" si="9"/>
        <v>4767.6044233333332</v>
      </c>
      <c r="P31">
        <f t="shared" si="9"/>
        <v>4671.7710900000002</v>
      </c>
      <c r="Q31">
        <f t="shared" si="9"/>
        <v>4288.4377566666672</v>
      </c>
      <c r="R31" s="18">
        <f t="shared" si="12"/>
        <v>46.695439993470451</v>
      </c>
      <c r="S31" s="18">
        <f t="shared" si="12"/>
        <v>45.094315540540542</v>
      </c>
      <c r="T31" s="18">
        <f t="shared" si="12"/>
        <v>41.394186840411848</v>
      </c>
      <c r="U31" s="75">
        <f t="shared" ref="U31:U33" si="15">AVERAGE(R31:T31)</f>
        <v>44.394647458140945</v>
      </c>
      <c r="V31" s="76">
        <f t="shared" si="13"/>
        <v>2.7190021731050509</v>
      </c>
      <c r="W31" s="76">
        <f t="shared" si="14"/>
        <v>6.124617107656408</v>
      </c>
    </row>
    <row r="32" spans="1:23" x14ac:dyDescent="0.25">
      <c r="A32" t="s">
        <v>102</v>
      </c>
      <c r="B32">
        <v>10.72</v>
      </c>
      <c r="C32">
        <v>10.42</v>
      </c>
      <c r="D32">
        <v>9.74</v>
      </c>
      <c r="E32">
        <v>0.21299999999999999</v>
      </c>
      <c r="F32">
        <v>0.20499999999999999</v>
      </c>
      <c r="G32">
        <v>0.17799999999999999</v>
      </c>
      <c r="H32">
        <v>4000</v>
      </c>
      <c r="I32">
        <f>E32*$H$32</f>
        <v>852</v>
      </c>
      <c r="J32">
        <f>F32*$H$32</f>
        <v>820</v>
      </c>
      <c r="K32">
        <f>G32*$H$32</f>
        <v>712</v>
      </c>
      <c r="L32">
        <f t="shared" si="11"/>
        <v>22187.483000000004</v>
      </c>
      <c r="M32">
        <f t="shared" si="8"/>
        <v>21354.149666666668</v>
      </c>
      <c r="N32">
        <f t="shared" si="8"/>
        <v>18541.649666666668</v>
      </c>
      <c r="O32">
        <f t="shared" si="9"/>
        <v>5103.0210900000011</v>
      </c>
      <c r="P32">
        <f t="shared" si="9"/>
        <v>4911.3544233333332</v>
      </c>
      <c r="Q32">
        <f t="shared" si="9"/>
        <v>4264.4794233333332</v>
      </c>
      <c r="R32" s="18">
        <f t="shared" si="12"/>
        <v>47.60280867537314</v>
      </c>
      <c r="S32" s="18">
        <f t="shared" si="12"/>
        <v>47.133919609724892</v>
      </c>
      <c r="T32" s="18">
        <f t="shared" si="12"/>
        <v>43.783156297056806</v>
      </c>
      <c r="U32" s="75">
        <f t="shared" si="15"/>
        <v>46.173294860718272</v>
      </c>
      <c r="V32" s="76">
        <f t="shared" si="13"/>
        <v>2.0831553000430429</v>
      </c>
      <c r="W32" s="76">
        <f t="shared" si="14"/>
        <v>4.5116020122169758</v>
      </c>
    </row>
    <row r="33" spans="1:23" x14ac:dyDescent="0.25">
      <c r="A33" t="s">
        <v>103</v>
      </c>
      <c r="B33">
        <v>10.72</v>
      </c>
      <c r="C33">
        <v>10.81</v>
      </c>
      <c r="D33">
        <v>9.76</v>
      </c>
      <c r="E33">
        <v>0.187</v>
      </c>
      <c r="F33">
        <v>0.188</v>
      </c>
      <c r="G33">
        <v>0.18</v>
      </c>
      <c r="H33">
        <v>4000</v>
      </c>
      <c r="I33">
        <f>E33*$H$33</f>
        <v>748</v>
      </c>
      <c r="J33">
        <f>F33*$H$33</f>
        <v>752</v>
      </c>
      <c r="K33">
        <f>G33*$H$33</f>
        <v>720</v>
      </c>
      <c r="L33">
        <f t="shared" si="11"/>
        <v>19479.149666666668</v>
      </c>
      <c r="M33">
        <f t="shared" si="8"/>
        <v>19583.316333333336</v>
      </c>
      <c r="N33">
        <f t="shared" si="8"/>
        <v>18749.983</v>
      </c>
      <c r="O33">
        <f t="shared" si="9"/>
        <v>4480.1044233333332</v>
      </c>
      <c r="P33">
        <f t="shared" si="9"/>
        <v>4504.0627566666672</v>
      </c>
      <c r="Q33">
        <f t="shared" si="9"/>
        <v>4312.3960900000002</v>
      </c>
      <c r="R33" s="18">
        <f t="shared" si="12"/>
        <v>41.792018874378108</v>
      </c>
      <c r="S33" s="18">
        <f t="shared" si="12"/>
        <v>41.665705427073704</v>
      </c>
      <c r="T33" s="18">
        <f t="shared" si="12"/>
        <v>44.184386168032788</v>
      </c>
      <c r="U33" s="75">
        <f t="shared" si="15"/>
        <v>42.547370156494864</v>
      </c>
      <c r="V33" s="76">
        <f t="shared" si="13"/>
        <v>1.4191035333146498</v>
      </c>
      <c r="W33" s="76">
        <f t="shared" si="14"/>
        <v>3.3353495835230214</v>
      </c>
    </row>
    <row r="34" spans="1:23" x14ac:dyDescent="0.25">
      <c r="A34" t="s">
        <v>104</v>
      </c>
      <c r="B34" t="s">
        <v>105</v>
      </c>
      <c r="C34" t="s">
        <v>105</v>
      </c>
      <c r="D34" t="s">
        <v>105</v>
      </c>
      <c r="E34">
        <v>7.0000000000000001E-3</v>
      </c>
      <c r="F34">
        <v>2E-3</v>
      </c>
      <c r="G34">
        <v>0.01</v>
      </c>
      <c r="H34">
        <v>200</v>
      </c>
      <c r="R34" s="18"/>
      <c r="S34" s="18"/>
      <c r="T34" s="18"/>
      <c r="U34" s="75"/>
      <c r="V34" s="76"/>
      <c r="W34" s="76"/>
    </row>
    <row r="35" spans="1:23" x14ac:dyDescent="0.25">
      <c r="A35" t="s">
        <v>106</v>
      </c>
      <c r="B35" t="s">
        <v>105</v>
      </c>
      <c r="C35" t="s">
        <v>105</v>
      </c>
      <c r="D35" t="s">
        <v>105</v>
      </c>
      <c r="E35">
        <v>2E-3</v>
      </c>
      <c r="F35">
        <v>0</v>
      </c>
      <c r="G35">
        <v>0</v>
      </c>
      <c r="H35">
        <v>200</v>
      </c>
      <c r="R35" s="18"/>
      <c r="S35" s="18"/>
      <c r="T35" s="18"/>
      <c r="U35" s="75"/>
      <c r="V35" s="76"/>
      <c r="W35" s="76"/>
    </row>
    <row r="36" spans="1:23" x14ac:dyDescent="0.25">
      <c r="R36" s="18"/>
      <c r="S36" s="18"/>
      <c r="T36" s="18"/>
      <c r="U36" s="75"/>
      <c r="V36" s="76"/>
      <c r="W36" s="76"/>
    </row>
    <row r="37" spans="1:23" x14ac:dyDescent="0.25">
      <c r="A37" t="s">
        <v>107</v>
      </c>
    </row>
    <row r="38" spans="1:23" x14ac:dyDescent="0.25">
      <c r="A38" t="s">
        <v>108</v>
      </c>
      <c r="B38" t="s">
        <v>109</v>
      </c>
      <c r="C38" t="s">
        <v>110</v>
      </c>
    </row>
    <row r="39" spans="1:23" x14ac:dyDescent="0.25">
      <c r="A39">
        <v>2E-3</v>
      </c>
      <c r="B39">
        <v>50</v>
      </c>
      <c r="C39">
        <f>A39*B39</f>
        <v>0.1</v>
      </c>
    </row>
  </sheetData>
  <mergeCells count="6">
    <mergeCell ref="R27:T27"/>
    <mergeCell ref="B27:D27"/>
    <mergeCell ref="E27:G27"/>
    <mergeCell ref="I27:K27"/>
    <mergeCell ref="L27:N27"/>
    <mergeCell ref="O27:Q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DNA</vt:lpstr>
      <vt:lpstr>RNA</vt:lpstr>
      <vt:lpstr>Lipid </vt:lpstr>
      <vt:lpstr>Proteins - HPLC</vt:lpstr>
      <vt:lpstr>Proteins - Bradford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 Tande-Petersen</dc:creator>
  <cp:lastModifiedBy>Sofie Tande-Petersen</cp:lastModifiedBy>
  <dcterms:created xsi:type="dcterms:W3CDTF">2023-03-17T14:07:32Z</dcterms:created>
  <dcterms:modified xsi:type="dcterms:W3CDTF">2023-06-16T08:45:50Z</dcterms:modified>
</cp:coreProperties>
</file>