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756ebda2db8a49eb/Documents/Master - Data/"/>
    </mc:Choice>
  </mc:AlternateContent>
  <xr:revisionPtr revIDLastSave="362" documentId="8_{0BBA0E8C-F718-4CFE-AB7F-3A09A6949C05}" xr6:coauthVersionLast="47" xr6:coauthVersionMax="47" xr10:uidLastSave="{0B81BBD6-C438-4E66-BC25-8D0897BF0D6C}"/>
  <bookViews>
    <workbookView xWindow="-120" yWindow="-18120" windowWidth="29040" windowHeight="17520" tabRatio="822" activeTab="7" xr2:uid="{5B494214-8493-4E76-900F-0FD62BA007BA}"/>
  </bookViews>
  <sheets>
    <sheet name="Information" sheetId="18" r:id="rId1"/>
    <sheet name="OD growth curves" sheetId="16" r:id="rId2"/>
    <sheet name="Glukose" sheetId="1" r:id="rId3"/>
    <sheet name="Glycerol" sheetId="3" r:id="rId4"/>
    <sheet name="Xylose" sheetId="4" r:id="rId5"/>
    <sheet name="Mannitol" sheetId="2" r:id="rId6"/>
    <sheet name="Succinate" sheetId="5" r:id="rId7"/>
    <sheet name="Glucose full growth curve" sheetId="19" r:id="rId8"/>
  </sheets>
  <externalReferences>
    <externalReference r:id="rId9"/>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19" l="1"/>
  <c r="G26" i="19"/>
  <c r="G25" i="19"/>
  <c r="A24" i="19"/>
  <c r="B24" i="19" s="1"/>
  <c r="G23" i="19"/>
  <c r="G22" i="19"/>
  <c r="G18" i="19"/>
  <c r="A18" i="19"/>
  <c r="B18" i="19" s="1"/>
  <c r="G17" i="19"/>
  <c r="G16" i="19"/>
  <c r="G15" i="19"/>
  <c r="G14" i="19"/>
  <c r="A13" i="19"/>
  <c r="B13" i="19" s="1"/>
  <c r="A12" i="19"/>
  <c r="B12" i="19" s="1"/>
  <c r="A11" i="19"/>
  <c r="B11" i="19" s="1"/>
  <c r="B6" i="19"/>
  <c r="A5" i="19"/>
  <c r="A17" i="19" s="1"/>
  <c r="B17" i="19" s="1"/>
  <c r="A25" i="19" l="1"/>
  <c r="B25" i="19" s="1"/>
  <c r="A7" i="19"/>
  <c r="B7" i="19" s="1"/>
  <c r="A19" i="19"/>
  <c r="B19" i="19" s="1"/>
  <c r="A14" i="19"/>
  <c r="B14" i="19" s="1"/>
  <c r="A26" i="19"/>
  <c r="B26" i="19" s="1"/>
  <c r="A20" i="19"/>
  <c r="B20" i="19" s="1"/>
  <c r="A15" i="19"/>
  <c r="B15" i="19" s="1"/>
  <c r="A21" i="19"/>
  <c r="B21" i="19" s="1"/>
  <c r="A27" i="19"/>
  <c r="B27" i="19" s="1"/>
  <c r="A8" i="19"/>
  <c r="B8" i="19" s="1"/>
  <c r="A22" i="19"/>
  <c r="B22" i="19" s="1"/>
  <c r="A28" i="19"/>
  <c r="B28" i="19" s="1"/>
  <c r="A9" i="19"/>
  <c r="B9" i="19" s="1"/>
  <c r="A16" i="19"/>
  <c r="B16" i="19" s="1"/>
  <c r="A29" i="19"/>
  <c r="B29" i="19" s="1"/>
  <c r="A10" i="19"/>
  <c r="B10" i="19" s="1"/>
  <c r="A23" i="19"/>
  <c r="B23" i="19" s="1"/>
  <c r="E40" i="5" l="1"/>
  <c r="B48" i="3" l="1"/>
  <c r="B48" i="2" l="1"/>
  <c r="C48" i="2" s="1"/>
  <c r="B47" i="4" l="1"/>
  <c r="E35" i="4"/>
  <c r="F35" i="4"/>
  <c r="G35" i="4"/>
  <c r="E36" i="4"/>
  <c r="F36" i="4"/>
  <c r="G36" i="4"/>
  <c r="E37" i="4"/>
  <c r="F37" i="4"/>
  <c r="G37" i="4"/>
  <c r="E38" i="4"/>
  <c r="F38" i="4"/>
  <c r="G38" i="4"/>
  <c r="E39" i="4"/>
  <c r="F39" i="4"/>
  <c r="G39" i="4"/>
  <c r="E40" i="4"/>
  <c r="F40" i="4"/>
  <c r="G40" i="4"/>
  <c r="H35" i="4" l="1"/>
  <c r="H39" i="4"/>
  <c r="H37" i="4"/>
  <c r="H36" i="4"/>
  <c r="H38" i="4"/>
  <c r="H40" i="4"/>
  <c r="E34" i="4"/>
  <c r="F34" i="4"/>
  <c r="G34" i="4"/>
  <c r="F37" i="3"/>
  <c r="G37" i="3"/>
  <c r="H37" i="3"/>
  <c r="I37" i="3"/>
  <c r="I36" i="4"/>
  <c r="F40" i="3"/>
  <c r="G40" i="3"/>
  <c r="H40" i="3"/>
  <c r="I40" i="3"/>
  <c r="J40" i="3"/>
  <c r="I34" i="4" l="1"/>
  <c r="H34" i="4"/>
  <c r="I35" i="4"/>
  <c r="J37" i="3"/>
  <c r="E37" i="1" l="1"/>
  <c r="F37" i="1"/>
  <c r="G37" i="1"/>
  <c r="F33" i="2"/>
  <c r="G33" i="2"/>
  <c r="H33" i="2"/>
  <c r="I33" i="2"/>
  <c r="J33" i="2"/>
  <c r="E36" i="1"/>
  <c r="F36" i="1"/>
  <c r="G36" i="1"/>
  <c r="I36" i="1"/>
  <c r="I37" i="1"/>
  <c r="E38" i="1"/>
  <c r="H38" i="1" s="1"/>
  <c r="F38" i="1"/>
  <c r="G38" i="1"/>
  <c r="F40" i="5"/>
  <c r="G40" i="5"/>
  <c r="H40" i="5"/>
  <c r="I40" i="5"/>
  <c r="E41" i="5"/>
  <c r="F41" i="5"/>
  <c r="G41" i="5"/>
  <c r="H41" i="5"/>
  <c r="I41" i="5"/>
  <c r="E42" i="5"/>
  <c r="F42" i="5"/>
  <c r="G42" i="5"/>
  <c r="H42" i="5"/>
  <c r="I42" i="5"/>
  <c r="F35" i="3"/>
  <c r="G35" i="3"/>
  <c r="H35" i="3"/>
  <c r="I35" i="3"/>
  <c r="J35" i="3"/>
  <c r="F36" i="3"/>
  <c r="G36" i="3"/>
  <c r="H36" i="3"/>
  <c r="I36" i="3" s="1"/>
  <c r="G41" i="1"/>
  <c r="F41" i="1"/>
  <c r="E41" i="1"/>
  <c r="I41" i="1" s="1"/>
  <c r="G40" i="1"/>
  <c r="F40" i="1"/>
  <c r="E40" i="1"/>
  <c r="G39" i="1"/>
  <c r="F39" i="1"/>
  <c r="E39" i="1"/>
  <c r="H36" i="1" l="1"/>
  <c r="H40" i="1"/>
  <c r="H37" i="1"/>
  <c r="H41" i="1"/>
  <c r="I39" i="1"/>
  <c r="I38" i="1"/>
  <c r="J36" i="3"/>
  <c r="H39" i="1"/>
  <c r="I40" i="1"/>
  <c r="J29" i="1" l="1"/>
  <c r="G29" i="1"/>
  <c r="D29" i="1"/>
  <c r="J28" i="1"/>
  <c r="G28" i="1"/>
  <c r="D28" i="1"/>
  <c r="J27" i="1"/>
  <c r="G27" i="1"/>
  <c r="D27" i="1"/>
  <c r="J26" i="1"/>
  <c r="G26" i="1"/>
  <c r="K26" i="1" s="1"/>
  <c r="D26" i="1"/>
  <c r="J25" i="1"/>
  <c r="G25" i="1"/>
  <c r="K25" i="1" s="1"/>
  <c r="D25" i="1"/>
  <c r="J24" i="1"/>
  <c r="G24" i="1"/>
  <c r="D24" i="1"/>
  <c r="J29" i="2"/>
  <c r="G29" i="2"/>
  <c r="D29" i="2"/>
  <c r="J28" i="2"/>
  <c r="G28" i="2"/>
  <c r="D28" i="2"/>
  <c r="J27" i="2"/>
  <c r="G27" i="2"/>
  <c r="D27" i="2"/>
  <c r="K27" i="2" s="1"/>
  <c r="J26" i="2"/>
  <c r="G26" i="2"/>
  <c r="D26" i="2"/>
  <c r="J25" i="2"/>
  <c r="G25" i="2"/>
  <c r="D25" i="2"/>
  <c r="J24" i="2"/>
  <c r="G24" i="2"/>
  <c r="D24" i="2"/>
  <c r="J23" i="3"/>
  <c r="J24" i="3"/>
  <c r="K24" i="3"/>
  <c r="F38" i="3"/>
  <c r="G38" i="3"/>
  <c r="H38" i="3"/>
  <c r="F39" i="3"/>
  <c r="G39" i="3"/>
  <c r="H39" i="3"/>
  <c r="F41" i="3"/>
  <c r="G41" i="3"/>
  <c r="H41" i="3"/>
  <c r="D23" i="3"/>
  <c r="D24" i="3"/>
  <c r="J29" i="3"/>
  <c r="G29" i="3"/>
  <c r="D29" i="3"/>
  <c r="J28" i="3"/>
  <c r="G28" i="3"/>
  <c r="D28" i="3"/>
  <c r="J27" i="3"/>
  <c r="G27" i="3"/>
  <c r="D27" i="3"/>
  <c r="J26" i="3"/>
  <c r="K26" i="3" s="1"/>
  <c r="G26" i="3"/>
  <c r="D26" i="3"/>
  <c r="J25" i="3"/>
  <c r="G25" i="3"/>
  <c r="D25" i="3"/>
  <c r="G24" i="3"/>
  <c r="G23" i="3"/>
  <c r="J24" i="4"/>
  <c r="J25" i="4"/>
  <c r="J26" i="4"/>
  <c r="J27" i="4"/>
  <c r="J28" i="4"/>
  <c r="J29" i="4"/>
  <c r="J23" i="4"/>
  <c r="G24" i="4"/>
  <c r="G25" i="4"/>
  <c r="G26" i="4"/>
  <c r="K26" i="4" s="1"/>
  <c r="G27" i="4"/>
  <c r="G28" i="4"/>
  <c r="K28" i="4" s="1"/>
  <c r="G29" i="4"/>
  <c r="G23" i="4"/>
  <c r="D24" i="4"/>
  <c r="D25" i="4"/>
  <c r="D26" i="4"/>
  <c r="D27" i="4"/>
  <c r="D28" i="4"/>
  <c r="D29" i="4"/>
  <c r="D23" i="4"/>
  <c r="K30" i="5"/>
  <c r="K31" i="5"/>
  <c r="K32" i="5"/>
  <c r="K33" i="5"/>
  <c r="K34" i="5"/>
  <c r="K35" i="5"/>
  <c r="K29" i="5"/>
  <c r="B2" i="2"/>
  <c r="K29" i="4" l="1"/>
  <c r="K24" i="4"/>
  <c r="K25" i="4"/>
  <c r="K28" i="1"/>
  <c r="K29" i="1"/>
  <c r="K24" i="1"/>
  <c r="K27" i="1"/>
  <c r="K25" i="2"/>
  <c r="K29" i="2"/>
  <c r="K24" i="2"/>
  <c r="K26" i="2"/>
  <c r="K28" i="2"/>
  <c r="I39" i="3"/>
  <c r="I38" i="3"/>
  <c r="I41" i="3"/>
  <c r="K28" i="3"/>
  <c r="K25" i="3"/>
  <c r="K27" i="3"/>
  <c r="K23" i="3"/>
  <c r="K29" i="3"/>
  <c r="K27" i="4"/>
  <c r="K23" i="4"/>
  <c r="C7" i="5"/>
  <c r="C8" i="5"/>
  <c r="C11" i="5"/>
  <c r="C12" i="5"/>
  <c r="C15" i="5"/>
  <c r="C16" i="5"/>
  <c r="C18" i="5"/>
  <c r="C19" i="5"/>
  <c r="C20" i="5"/>
  <c r="C21" i="5"/>
  <c r="C24" i="5"/>
  <c r="B2" i="5"/>
  <c r="C6" i="5" s="1"/>
  <c r="B2" i="4"/>
  <c r="C17" i="4" s="1"/>
  <c r="C9" i="2"/>
  <c r="C17" i="2"/>
  <c r="C6" i="2"/>
  <c r="C7" i="2"/>
  <c r="C8" i="2"/>
  <c r="C10" i="2"/>
  <c r="C11" i="2"/>
  <c r="C12" i="2"/>
  <c r="C13" i="2"/>
  <c r="C14" i="2"/>
  <c r="C15" i="2"/>
  <c r="C16" i="2"/>
  <c r="C5" i="2"/>
  <c r="C12" i="4" l="1"/>
  <c r="C17" i="5"/>
  <c r="C14" i="5"/>
  <c r="C13" i="5"/>
  <c r="C10" i="5"/>
  <c r="C5" i="5"/>
  <c r="C9" i="5"/>
  <c r="C23" i="5"/>
  <c r="C22" i="5"/>
  <c r="C15" i="4"/>
  <c r="C14" i="4"/>
  <c r="C13" i="4"/>
  <c r="C11" i="4"/>
  <c r="C10" i="4"/>
  <c r="C9" i="4"/>
  <c r="C8" i="4"/>
  <c r="C7" i="4"/>
  <c r="C6" i="4"/>
  <c r="C5" i="4"/>
  <c r="C19" i="4"/>
  <c r="C18" i="4"/>
  <c r="C16" i="4"/>
  <c r="E43" i="5"/>
  <c r="F43" i="5"/>
  <c r="G43" i="5"/>
  <c r="E44" i="5"/>
  <c r="F44" i="5"/>
  <c r="G44" i="5"/>
  <c r="E45" i="5"/>
  <c r="H45" i="5" s="1"/>
  <c r="F45" i="5"/>
  <c r="G45" i="5"/>
  <c r="E46" i="5"/>
  <c r="H46" i="5" s="1"/>
  <c r="F46" i="5"/>
  <c r="G46" i="5"/>
  <c r="B54" i="5"/>
  <c r="C54" i="5" s="1"/>
  <c r="B55" i="5"/>
  <c r="C55" i="5" s="1"/>
  <c r="B56" i="5"/>
  <c r="C56" i="5" s="1"/>
  <c r="B57" i="5"/>
  <c r="C57" i="5" s="1"/>
  <c r="B58" i="5"/>
  <c r="C58" i="5" s="1"/>
  <c r="B59" i="5"/>
  <c r="C59" i="5" s="1"/>
  <c r="B60" i="5"/>
  <c r="C60" i="5" s="1"/>
  <c r="B61" i="5"/>
  <c r="C61" i="5" s="1"/>
  <c r="B62" i="5"/>
  <c r="C62" i="5" s="1"/>
  <c r="B53" i="5"/>
  <c r="C53" i="5" s="1"/>
  <c r="C48" i="3"/>
  <c r="B49" i="3"/>
  <c r="C49" i="3" s="1"/>
  <c r="B50" i="3"/>
  <c r="C50" i="3" s="1"/>
  <c r="B51" i="3"/>
  <c r="C51" i="3" s="1"/>
  <c r="B52" i="3"/>
  <c r="C52" i="3" s="1"/>
  <c r="B53" i="3"/>
  <c r="C53" i="3" s="1"/>
  <c r="B54" i="3"/>
  <c r="C54" i="3" s="1"/>
  <c r="B55" i="3"/>
  <c r="C55" i="3" s="1"/>
  <c r="B56" i="3"/>
  <c r="C56" i="3" s="1"/>
  <c r="B57" i="3"/>
  <c r="C57" i="3" s="1"/>
  <c r="B48" i="4"/>
  <c r="C48" i="4" s="1"/>
  <c r="B49" i="4"/>
  <c r="C49" i="4" s="1"/>
  <c r="B50" i="4"/>
  <c r="C50" i="4" s="1"/>
  <c r="B51" i="4"/>
  <c r="C51" i="4" s="1"/>
  <c r="B52" i="4"/>
  <c r="C52" i="4" s="1"/>
  <c r="B53" i="4"/>
  <c r="C53" i="4" s="1"/>
  <c r="B54" i="4"/>
  <c r="C54" i="4" s="1"/>
  <c r="B55" i="4"/>
  <c r="C55" i="4" s="1"/>
  <c r="B56" i="4"/>
  <c r="C56" i="4" s="1"/>
  <c r="C47" i="4"/>
  <c r="C6" i="3"/>
  <c r="F2" i="3"/>
  <c r="I37" i="4" l="1"/>
  <c r="H43" i="5"/>
  <c r="H44" i="5"/>
  <c r="C5" i="3"/>
  <c r="C19" i="3"/>
  <c r="C18" i="3"/>
  <c r="C17" i="3"/>
  <c r="C16" i="3"/>
  <c r="C15" i="3"/>
  <c r="C14" i="3"/>
  <c r="C13" i="3"/>
  <c r="C12" i="3"/>
  <c r="C11" i="3"/>
  <c r="C10" i="3"/>
  <c r="C9" i="3"/>
  <c r="C8" i="3"/>
  <c r="C7" i="3"/>
  <c r="B2" i="1" l="1"/>
  <c r="C7" i="1" s="1"/>
  <c r="B48" i="1"/>
  <c r="C48" i="1" s="1"/>
  <c r="B47" i="1"/>
  <c r="C47" i="1" s="1"/>
  <c r="B46" i="1"/>
  <c r="C46" i="1" s="1"/>
  <c r="C5" i="1" l="1"/>
  <c r="C15" i="1"/>
  <c r="C6" i="1"/>
  <c r="C14" i="1"/>
  <c r="C13" i="1"/>
  <c r="C12" i="1"/>
  <c r="C11" i="1"/>
  <c r="C10" i="1"/>
  <c r="C9" i="1"/>
  <c r="C8" i="1"/>
  <c r="B51" i="2"/>
  <c r="C51" i="2" s="1"/>
  <c r="B49" i="1"/>
  <c r="C49" i="1" s="1"/>
  <c r="B52" i="2" l="1"/>
  <c r="C52" i="2" s="1"/>
  <c r="B53" i="2"/>
  <c r="C53" i="2" s="1"/>
  <c r="B50" i="1"/>
  <c r="C50" i="1" s="1"/>
  <c r="B51" i="1" l="1"/>
  <c r="C51" i="1" s="1"/>
  <c r="B52" i="1" l="1"/>
  <c r="C52" i="1" s="1"/>
  <c r="B53" i="1" l="1"/>
  <c r="C53" i="1" s="1"/>
  <c r="B55" i="1" l="1"/>
  <c r="C55" i="1" s="1"/>
  <c r="B54" i="1"/>
  <c r="C54" i="1" s="1"/>
  <c r="B45" i="2" l="1"/>
  <c r="C45" i="2" s="1"/>
  <c r="B46" i="2"/>
  <c r="C46" i="2" s="1"/>
  <c r="B47" i="2"/>
  <c r="C47" i="2" s="1"/>
  <c r="B49" i="2"/>
  <c r="C49" i="2" s="1"/>
  <c r="B50" i="2"/>
  <c r="C50" i="2" s="1"/>
  <c r="B44" i="2"/>
  <c r="C44" i="2" s="1"/>
  <c r="I5" i="5" l="1"/>
  <c r="I6" i="5" s="1"/>
  <c r="I7" i="5" s="1"/>
  <c r="I8" i="5" s="1"/>
  <c r="I9" i="5" s="1"/>
  <c r="I10" i="5" s="1"/>
  <c r="I11" i="5" s="1"/>
  <c r="I12" i="5" s="1"/>
  <c r="I13" i="5" s="1"/>
  <c r="I14" i="5" s="1"/>
  <c r="I15" i="5" s="1"/>
  <c r="I16" i="5" s="1"/>
  <c r="I17" i="5" s="1"/>
  <c r="I18" i="5" s="1"/>
  <c r="I19" i="5" s="1"/>
  <c r="I20" i="5" s="1"/>
  <c r="I21" i="5" s="1"/>
  <c r="I22" i="5" s="1"/>
  <c r="E13" i="5"/>
  <c r="I23" i="5" l="1"/>
  <c r="I24" i="5" s="1"/>
  <c r="E23" i="5" l="1"/>
  <c r="E22" i="5"/>
  <c r="E18" i="5"/>
  <c r="E17" i="5"/>
  <c r="E16" i="5"/>
  <c r="E14" i="5"/>
  <c r="J35" i="5"/>
  <c r="J34" i="5"/>
  <c r="J33" i="5"/>
  <c r="J32" i="5"/>
  <c r="J31" i="5"/>
  <c r="J30" i="5"/>
  <c r="J29" i="5"/>
  <c r="G35" i="5"/>
  <c r="G34" i="5"/>
  <c r="G33" i="5"/>
  <c r="G32" i="5"/>
  <c r="G31" i="5"/>
  <c r="G30" i="5"/>
  <c r="G29" i="5"/>
  <c r="D35" i="5"/>
  <c r="D34" i="5"/>
  <c r="D33" i="5"/>
  <c r="D32" i="5"/>
  <c r="D31" i="5"/>
  <c r="D30" i="5"/>
  <c r="D29" i="5"/>
  <c r="I44" i="5" l="1"/>
  <c r="I43" i="5"/>
  <c r="I46" i="5"/>
  <c r="I45" i="5"/>
  <c r="I5" i="4" l="1"/>
  <c r="I6" i="4" s="1"/>
  <c r="I7" i="4" s="1"/>
  <c r="I8" i="4" s="1"/>
  <c r="I9" i="4" s="1"/>
  <c r="I10" i="4" s="1"/>
  <c r="I11" i="4" s="1"/>
  <c r="I12" i="4" s="1"/>
  <c r="I13" i="4" s="1"/>
  <c r="I14" i="4" s="1"/>
  <c r="I15" i="4" s="1"/>
  <c r="I16" i="4" s="1"/>
  <c r="I17" i="4" s="1"/>
  <c r="I18" i="4" s="1"/>
  <c r="I40" i="4"/>
  <c r="I38" i="4"/>
  <c r="J5" i="3"/>
  <c r="J6" i="3" s="1"/>
  <c r="J7" i="3" s="1"/>
  <c r="J8" i="3" s="1"/>
  <c r="J9" i="3" s="1"/>
  <c r="J10" i="3" s="1"/>
  <c r="J11" i="3" s="1"/>
  <c r="J12" i="3" s="1"/>
  <c r="J13" i="3" s="1"/>
  <c r="J14" i="3" s="1"/>
  <c r="J15" i="3" s="1"/>
  <c r="J16" i="3" s="1"/>
  <c r="J17" i="3" s="1"/>
  <c r="J18" i="3" s="1"/>
  <c r="J19" i="3" s="1"/>
  <c r="F34" i="2"/>
  <c r="I34" i="2" s="1"/>
  <c r="G34" i="2"/>
  <c r="H34" i="2"/>
  <c r="F35" i="2"/>
  <c r="G35" i="2"/>
  <c r="H35" i="2"/>
  <c r="F36" i="2"/>
  <c r="G36" i="2"/>
  <c r="H36" i="2"/>
  <c r="F37" i="2"/>
  <c r="G37" i="2"/>
  <c r="H37" i="2"/>
  <c r="F38" i="2"/>
  <c r="G38" i="2"/>
  <c r="H38" i="2"/>
  <c r="I38" i="2" l="1"/>
  <c r="I37" i="2"/>
  <c r="I39" i="4"/>
  <c r="I36" i="2"/>
  <c r="I35" i="2"/>
  <c r="J37" i="2"/>
  <c r="J36" i="2"/>
  <c r="J41" i="3"/>
  <c r="J39" i="3"/>
  <c r="J38" i="3"/>
  <c r="J34" i="2"/>
  <c r="J38" i="2"/>
  <c r="J35" i="2"/>
  <c r="J5" i="2" l="1"/>
  <c r="J6" i="2" s="1"/>
  <c r="J7" i="2" s="1"/>
  <c r="J8" i="2" s="1"/>
  <c r="J9" i="2" s="1"/>
  <c r="J10" i="2" s="1"/>
  <c r="J11" i="2" s="1"/>
  <c r="J12" i="2" s="1"/>
  <c r="I5" i="1"/>
  <c r="I6" i="1" s="1"/>
  <c r="I7" i="1" s="1"/>
  <c r="I8" i="1" s="1"/>
  <c r="I9" i="1" s="1"/>
  <c r="I10" i="1" s="1"/>
  <c r="I11" i="1" s="1"/>
  <c r="I12" i="1" s="1"/>
  <c r="I13" i="1" s="1"/>
  <c r="I14" i="1" s="1"/>
  <c r="J13" i="2" l="1"/>
  <c r="J17" i="2" s="1"/>
  <c r="J14" i="2" s="1"/>
  <c r="J15" i="2" s="1"/>
</calcChain>
</file>

<file path=xl/sharedStrings.xml><?xml version="1.0" encoding="utf-8"?>
<sst xmlns="http://schemas.openxmlformats.org/spreadsheetml/2006/main" count="507" uniqueCount="151">
  <si>
    <t>Xylose</t>
  </si>
  <si>
    <t>Mannitol</t>
  </si>
  <si>
    <t>Glycerol</t>
  </si>
  <si>
    <t>Glukose</t>
  </si>
  <si>
    <t>Glucose</t>
  </si>
  <si>
    <t>Time</t>
  </si>
  <si>
    <t>Minutes:</t>
  </si>
  <si>
    <t xml:space="preserve">Hours </t>
  </si>
  <si>
    <t>OD:</t>
  </si>
  <si>
    <t>AVG. Dryweight (mg)</t>
  </si>
  <si>
    <t xml:space="preserve">NMR </t>
  </si>
  <si>
    <t>NaOH added:</t>
  </si>
  <si>
    <t>Volume removed:</t>
  </si>
  <si>
    <t>Total volume:</t>
  </si>
  <si>
    <t>Proteomics</t>
  </si>
  <si>
    <t>Antifoam (microL)</t>
  </si>
  <si>
    <t>Inoculation</t>
  </si>
  <si>
    <t>A</t>
  </si>
  <si>
    <t>B</t>
  </si>
  <si>
    <t>C</t>
  </si>
  <si>
    <t>D</t>
  </si>
  <si>
    <t>E</t>
  </si>
  <si>
    <t>x</t>
  </si>
  <si>
    <t>F</t>
  </si>
  <si>
    <t>G</t>
  </si>
  <si>
    <t>Farmed</t>
  </si>
  <si>
    <t>DRYWEIGHT:</t>
  </si>
  <si>
    <t>Hours</t>
  </si>
  <si>
    <t>Weight (mg)</t>
  </si>
  <si>
    <t xml:space="preserve">log weight </t>
  </si>
  <si>
    <t>Avg weight:</t>
  </si>
  <si>
    <t>Std.S:</t>
  </si>
  <si>
    <t>Dryweight (mg)</t>
  </si>
  <si>
    <t>Standard deviation</t>
  </si>
  <si>
    <t>Double checking pH-meter</t>
  </si>
  <si>
    <t>Removed more volume because the pH meter was showing some off values, so we double checked it</t>
  </si>
  <si>
    <t>It showed 6,88 while the fermentor pH-meter showed 6,96. We recalibrated it</t>
  </si>
  <si>
    <t>H</t>
  </si>
  <si>
    <t>time (h):</t>
  </si>
  <si>
    <t>Log weight</t>
  </si>
  <si>
    <t>Avg. Log weight:</t>
  </si>
  <si>
    <t xml:space="preserve">Std. Dev.s </t>
  </si>
  <si>
    <t>Dato: 02.11.22</t>
  </si>
  <si>
    <t>Avg Dryweight (g)</t>
  </si>
  <si>
    <t>Std. Avvik dryweight</t>
  </si>
  <si>
    <t xml:space="preserve"> - </t>
  </si>
  <si>
    <t>-</t>
  </si>
  <si>
    <t>I</t>
  </si>
  <si>
    <t>weight (log):</t>
  </si>
  <si>
    <t>Avg log weight</t>
  </si>
  <si>
    <t>Std dev s</t>
  </si>
  <si>
    <t>J</t>
  </si>
  <si>
    <t>D1 fikk litt lite prøve</t>
  </si>
  <si>
    <t>K</t>
  </si>
  <si>
    <t>L</t>
  </si>
  <si>
    <t>M</t>
  </si>
  <si>
    <t>X</t>
  </si>
  <si>
    <t>NaOH/hcL added:</t>
  </si>
  <si>
    <t>Antifoam (mL)</t>
  </si>
  <si>
    <t>Skiftet til 4M HCl i stedet for 4M NaOH i pumpen.</t>
  </si>
  <si>
    <t>Hour</t>
  </si>
  <si>
    <t>Growth rate:</t>
  </si>
  <si>
    <t>Time (h)</t>
  </si>
  <si>
    <t>Hour:</t>
  </si>
  <si>
    <t>Time (h):</t>
  </si>
  <si>
    <t>Sodium succinat</t>
  </si>
  <si>
    <t>Std. Dev</t>
  </si>
  <si>
    <t>Timepoint:</t>
  </si>
  <si>
    <t>y=</t>
  </si>
  <si>
    <t xml:space="preserve">x  - </t>
  </si>
  <si>
    <t>Predicted weight (log(g)):</t>
  </si>
  <si>
    <t>predicted weights (g):</t>
  </si>
  <si>
    <t>08</t>
  </si>
  <si>
    <t>00</t>
  </si>
  <si>
    <t>09</t>
  </si>
  <si>
    <t>17</t>
  </si>
  <si>
    <t>10</t>
  </si>
  <si>
    <t>14</t>
  </si>
  <si>
    <t>11</t>
  </si>
  <si>
    <t>12</t>
  </si>
  <si>
    <t>15</t>
  </si>
  <si>
    <t>13</t>
  </si>
  <si>
    <t>19</t>
  </si>
  <si>
    <t>45</t>
  </si>
  <si>
    <t>16</t>
  </si>
  <si>
    <t>30</t>
  </si>
  <si>
    <t>18</t>
  </si>
  <si>
    <t>Starttime:</t>
  </si>
  <si>
    <t>49</t>
  </si>
  <si>
    <t>25</t>
  </si>
  <si>
    <t>50</t>
  </si>
  <si>
    <t>39</t>
  </si>
  <si>
    <t>42</t>
  </si>
  <si>
    <t>58</t>
  </si>
  <si>
    <t>07</t>
  </si>
  <si>
    <t>57</t>
  </si>
  <si>
    <t>02</t>
  </si>
  <si>
    <t>Minute:</t>
  </si>
  <si>
    <t>Predicted weights for uptake- and secretion rates:</t>
  </si>
  <si>
    <t xml:space="preserve">y= </t>
  </si>
  <si>
    <t>x             -</t>
  </si>
  <si>
    <t xml:space="preserve">Time (h): </t>
  </si>
  <si>
    <t xml:space="preserve">predicted log weights: </t>
  </si>
  <si>
    <t>Predicted weights (g/L):</t>
  </si>
  <si>
    <t>Prediksjon vekt til sekresjons- og opptaksrater:</t>
  </si>
  <si>
    <t xml:space="preserve">y = </t>
  </si>
  <si>
    <t>x               -</t>
  </si>
  <si>
    <t>Start time:</t>
  </si>
  <si>
    <t>24</t>
  </si>
  <si>
    <t>05</t>
  </si>
  <si>
    <t>22</t>
  </si>
  <si>
    <t>33</t>
  </si>
  <si>
    <t>20</t>
  </si>
  <si>
    <t>Inoculation:</t>
  </si>
  <si>
    <t>Alu pan empty (mg)</t>
  </si>
  <si>
    <t>Alu pan dried (mg)</t>
  </si>
  <si>
    <t>Dryweight cells (mg):</t>
  </si>
  <si>
    <t>Avg of log weights:</t>
  </si>
  <si>
    <t>The dryweight measurements were log transformed. A linear regression of the log transformed weights with time (h) was performed. Theslope of the equation for the linear regression gave the growth rate. The equation was further used to predict grams of cells in the fermetor for calculations of uptake- and secretion rates.</t>
  </si>
  <si>
    <t>This excel file contains the data logged from fermentations, as well as calculations for growth rates. The fermentation time-sheets were filled out during the fermentations. The dryweight measurements were log transformed. A linear regression of the log transformed weights with time (h) was performed. Theslope of the equation for the linear regression gave the growth rate. The equation was further used to predict grams of cells in the fermetor for calculations of uptake- and secretion rates. From the fermentation data the volume of the media in the fermentor was also logged. This was used in uptake- and secretion rate calculations as well to find the total volume of cells in the fermentor. There is one sheet per carvon source used in the fermentations.</t>
  </si>
  <si>
    <t>FERMENTOR:</t>
  </si>
  <si>
    <t>F1</t>
  </si>
  <si>
    <t>DATE:</t>
  </si>
  <si>
    <t>C-Source:</t>
  </si>
  <si>
    <t>Time (min)</t>
  </si>
  <si>
    <t>Time:</t>
  </si>
  <si>
    <t>Alu pans (weighing):</t>
  </si>
  <si>
    <t>Alu pan name:</t>
  </si>
  <si>
    <t>NMR (sample name):</t>
  </si>
  <si>
    <t>NaOH level:</t>
  </si>
  <si>
    <t>Volume removed</t>
  </si>
  <si>
    <t>dried,  empty:</t>
  </si>
  <si>
    <t>with cells:</t>
  </si>
  <si>
    <t>Dried with cells:</t>
  </si>
  <si>
    <t>b. inoc.</t>
  </si>
  <si>
    <t>F1, a</t>
  </si>
  <si>
    <t>F1, B</t>
  </si>
  <si>
    <t>F1, C</t>
  </si>
  <si>
    <t>F1, D</t>
  </si>
  <si>
    <t xml:space="preserve">F1, E </t>
  </si>
  <si>
    <t xml:space="preserve">F1, F </t>
  </si>
  <si>
    <t>F1, G</t>
  </si>
  <si>
    <t>F1, H</t>
  </si>
  <si>
    <t xml:space="preserve">F1, I </t>
  </si>
  <si>
    <t xml:space="preserve">F1, J </t>
  </si>
  <si>
    <t xml:space="preserve">F1, K </t>
  </si>
  <si>
    <t>F3E</t>
  </si>
  <si>
    <t>F1, L</t>
  </si>
  <si>
    <t>F3F</t>
  </si>
  <si>
    <t>F1, M</t>
  </si>
  <si>
    <r>
      <t xml:space="preserve">This fermentation was performed to get the full growth curve of </t>
    </r>
    <r>
      <rPr>
        <i/>
        <sz val="11"/>
        <color theme="1"/>
        <rFont val="Calibri"/>
        <family val="2"/>
        <scheme val="minor"/>
      </rPr>
      <t>B. subtilis</t>
    </r>
    <r>
      <rPr>
        <sz val="11"/>
        <color theme="1"/>
        <rFont val="Calibri"/>
        <family val="2"/>
        <scheme val="minor"/>
      </rPr>
      <t xml:space="preserve"> cultivated in glucose. This was the first successful fermentation, but had a long lag-phase.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</si>
</sst>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7" x14ac:knownFonts="1">
    <font>
      <sz val="11"/>
      <color theme="1"/>
      <name val="Calibri"/>
      <family val="2"/>
      <scheme val="minor"/>
    </font>
    <font>
      <sz val="11"/>
      <name val="Calibri"/>
      <family val="2"/>
      <scheme val="minor"/>
    </font>
    <font>
      <i/>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name val="Calibri"/>
      <family val="2"/>
      <scheme val="minor"/>
    </font>
  </fonts>
  <fills count="3">
    <fill>
      <patternFill patternType="none"/>
    </fill>
    <fill>
      <patternFill patternType="gray125"/>
    </fill>
    <fill>
      <patternFill patternType="solid">
        <fgColor theme="8" tint="0.79998168889431442"/>
        <bgColor indexed="64"/>
      </patternFill>
    </fill>
  </fills>
  <borders count="1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14">
    <xf numFmtId="0" fontId="0" fillId="0" borderId="0" xfId="0"/>
    <xf numFmtId="2" fontId="0" fillId="0" borderId="0" xfId="0" applyNumberFormat="1"/>
    <xf numFmtId="0" fontId="0" fillId="0" borderId="0" xfId="0" applyAlignment="1">
      <alignment horizontal="center"/>
    </xf>
    <xf numFmtId="2" fontId="0" fillId="0" borderId="0" xfId="0" applyNumberFormat="1" applyAlignment="1">
      <alignment horizontal="center"/>
    </xf>
    <xf numFmtId="20"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xf>
    <xf numFmtId="2" fontId="0" fillId="0" borderId="3" xfId="0" applyNumberFormat="1" applyBorder="1" applyAlignment="1">
      <alignment horizontal="center"/>
    </xf>
    <xf numFmtId="0" fontId="0" fillId="0" borderId="4" xfId="0" applyBorder="1" applyAlignment="1">
      <alignment horizontal="center"/>
    </xf>
    <xf numFmtId="0" fontId="0" fillId="0" borderId="2" xfId="0" applyBorder="1" applyAlignment="1">
      <alignment horizontal="center"/>
    </xf>
    <xf numFmtId="164" fontId="0" fillId="0" borderId="8" xfId="0" applyNumberFormat="1" applyBorder="1" applyAlignment="1">
      <alignment horizontal="center"/>
    </xf>
    <xf numFmtId="164" fontId="0" fillId="0" borderId="0" xfId="0" applyNumberFormat="1" applyAlignment="1">
      <alignment horizontal="center"/>
    </xf>
    <xf numFmtId="164" fontId="0" fillId="0" borderId="5" xfId="0" applyNumberFormat="1" applyBorder="1" applyAlignment="1">
      <alignment horizontal="center"/>
    </xf>
    <xf numFmtId="164" fontId="0" fillId="0" borderId="10" xfId="0" applyNumberFormat="1" applyBorder="1" applyAlignment="1">
      <alignment horizontal="center"/>
    </xf>
    <xf numFmtId="164" fontId="0" fillId="0" borderId="9" xfId="0" applyNumberFormat="1" applyBorder="1" applyAlignment="1">
      <alignment horizontal="center"/>
    </xf>
    <xf numFmtId="164" fontId="0" fillId="0" borderId="3" xfId="0" applyNumberFormat="1" applyBorder="1" applyAlignment="1">
      <alignment horizontal="center"/>
    </xf>
    <xf numFmtId="164" fontId="0" fillId="0" borderId="6" xfId="0" applyNumberFormat="1" applyBorder="1" applyAlignment="1">
      <alignment horizontal="center"/>
    </xf>
    <xf numFmtId="0" fontId="0" fillId="0" borderId="8" xfId="0" applyBorder="1" applyAlignment="1">
      <alignment horizontal="center" vertical="center"/>
    </xf>
    <xf numFmtId="0" fontId="0" fillId="0" borderId="5" xfId="0" applyBorder="1" applyAlignment="1">
      <alignment horizontal="center"/>
    </xf>
    <xf numFmtId="0" fontId="0" fillId="0" borderId="9"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xf>
    <xf numFmtId="0" fontId="0" fillId="2" borderId="0" xfId="0" applyFill="1"/>
    <xf numFmtId="2" fontId="0" fillId="0" borderId="3" xfId="0" applyNumberFormat="1" applyBorder="1"/>
    <xf numFmtId="0" fontId="0" fillId="0" borderId="3" xfId="0" applyBorder="1"/>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xf>
    <xf numFmtId="0" fontId="0" fillId="0" borderId="5" xfId="0" applyBorder="1" applyAlignment="1">
      <alignment horizontal="center" vertical="center"/>
    </xf>
    <xf numFmtId="164" fontId="0" fillId="0" borderId="8" xfId="0" applyNumberFormat="1" applyBorder="1" applyAlignment="1">
      <alignment horizontal="center" vertical="center"/>
    </xf>
    <xf numFmtId="164" fontId="0" fillId="0" borderId="0" xfId="0" applyNumberFormat="1" applyAlignment="1">
      <alignment horizontal="center" vertical="center"/>
    </xf>
    <xf numFmtId="164" fontId="0" fillId="0" borderId="5" xfId="0" applyNumberFormat="1" applyBorder="1" applyAlignment="1">
      <alignment horizontal="center" vertical="center"/>
    </xf>
    <xf numFmtId="2" fontId="0" fillId="0" borderId="3" xfId="0" applyNumberFormat="1"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164" fontId="0" fillId="0" borderId="9" xfId="0" applyNumberFormat="1" applyBorder="1" applyAlignment="1">
      <alignment horizontal="center" vertical="center"/>
    </xf>
    <xf numFmtId="164" fontId="0" fillId="0" borderId="3" xfId="0" applyNumberFormat="1" applyBorder="1" applyAlignment="1">
      <alignment horizontal="center" vertical="center"/>
    </xf>
    <xf numFmtId="164" fontId="0" fillId="0" borderId="6" xfId="0" applyNumberFormat="1" applyBorder="1" applyAlignment="1">
      <alignment horizontal="center" vertical="center"/>
    </xf>
    <xf numFmtId="0" fontId="0" fillId="0" borderId="0" xfId="0" applyAlignment="1">
      <alignment horizontal="left" vertical="center"/>
    </xf>
    <xf numFmtId="165" fontId="0" fillId="0" borderId="0" xfId="0" applyNumberFormat="1" applyAlignment="1">
      <alignment horizontal="center" vertical="center"/>
    </xf>
    <xf numFmtId="0" fontId="0" fillId="0" borderId="3" xfId="0" applyBorder="1" applyAlignment="1">
      <alignment horizontal="center"/>
    </xf>
    <xf numFmtId="165" fontId="0" fillId="0" borderId="3" xfId="0" applyNumberForma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165" fontId="0" fillId="0" borderId="5" xfId="0" applyNumberFormat="1" applyBorder="1" applyAlignment="1">
      <alignment horizontal="center" vertical="center"/>
    </xf>
    <xf numFmtId="165" fontId="0" fillId="0" borderId="6" xfId="0" applyNumberFormat="1" applyBorder="1" applyAlignment="1">
      <alignment horizontal="center" vertical="center"/>
    </xf>
    <xf numFmtId="165" fontId="0" fillId="0" borderId="8" xfId="0" applyNumberFormat="1" applyBorder="1" applyAlignment="1">
      <alignment horizontal="center" vertical="center"/>
    </xf>
    <xf numFmtId="165" fontId="0" fillId="0" borderId="9"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11" xfId="0" applyNumberFormat="1" applyBorder="1" applyAlignment="1">
      <alignment horizontal="center" vertical="center"/>
    </xf>
    <xf numFmtId="0" fontId="0" fillId="0" borderId="0" xfId="0" quotePrefix="1" applyAlignment="1">
      <alignment horizontal="center" vertical="center"/>
    </xf>
    <xf numFmtId="164" fontId="0" fillId="0" borderId="10" xfId="0" applyNumberFormat="1" applyBorder="1" applyAlignment="1">
      <alignment horizontal="center" vertical="center"/>
    </xf>
    <xf numFmtId="165" fontId="0" fillId="0" borderId="0" xfId="0" applyNumberFormat="1"/>
    <xf numFmtId="164" fontId="0" fillId="0" borderId="0" xfId="0" applyNumberFormat="1"/>
    <xf numFmtId="166" fontId="0" fillId="0" borderId="0" xfId="0" applyNumberFormat="1"/>
    <xf numFmtId="166" fontId="0" fillId="0" borderId="0" xfId="0" applyNumberFormat="1" applyAlignment="1">
      <alignment horizontal="center" vertical="center"/>
    </xf>
    <xf numFmtId="166" fontId="0" fillId="0" borderId="0" xfId="0" applyNumberFormat="1" applyAlignment="1">
      <alignment horizontal="center"/>
    </xf>
    <xf numFmtId="0" fontId="0" fillId="0" borderId="7"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49" fontId="0" fillId="0" borderId="0" xfId="0" applyNumberFormat="1"/>
    <xf numFmtId="2" fontId="0" fillId="0" borderId="5" xfId="0" applyNumberFormat="1" applyBorder="1" applyAlignment="1">
      <alignment horizontal="center" vertical="center"/>
    </xf>
    <xf numFmtId="0" fontId="0" fillId="0" borderId="4" xfId="0" applyBorder="1" applyAlignment="1">
      <alignment wrapText="1"/>
    </xf>
    <xf numFmtId="0" fontId="0" fillId="0" borderId="12" xfId="0" applyBorder="1" applyAlignment="1">
      <alignment wrapText="1"/>
    </xf>
    <xf numFmtId="0" fontId="0" fillId="0" borderId="12" xfId="0" applyBorder="1" applyAlignment="1">
      <alignment horizontal="center" vertical="center"/>
    </xf>
    <xf numFmtId="2" fontId="0" fillId="0" borderId="12" xfId="0" applyNumberFormat="1" applyBorder="1" applyAlignment="1">
      <alignment horizontal="center" vertical="center"/>
    </xf>
    <xf numFmtId="0" fontId="0" fillId="0" borderId="4" xfId="0" applyBorder="1"/>
    <xf numFmtId="49" fontId="0" fillId="0" borderId="0" xfId="0" applyNumberFormat="1" applyAlignment="1">
      <alignment horizontal="center" vertical="center"/>
    </xf>
    <xf numFmtId="49" fontId="0" fillId="0" borderId="3" xfId="0" applyNumberFormat="1" applyBorder="1" applyAlignment="1">
      <alignment horizontal="center" vertical="center"/>
    </xf>
    <xf numFmtId="0" fontId="0" fillId="0" borderId="12" xfId="0" quotePrefix="1" applyBorder="1" applyAlignment="1">
      <alignment horizontal="center" vertical="center"/>
    </xf>
    <xf numFmtId="49" fontId="0" fillId="0" borderId="3" xfId="0" applyNumberFormat="1" applyBorder="1"/>
    <xf numFmtId="0" fontId="0" fillId="2" borderId="3" xfId="0" applyFill="1" applyBorder="1"/>
    <xf numFmtId="2" fontId="0" fillId="0" borderId="13" xfId="0" applyNumberFormat="1" applyBorder="1" applyAlignment="1">
      <alignment horizontal="center" vertical="center"/>
    </xf>
    <xf numFmtId="0" fontId="1" fillId="0" borderId="5" xfId="0" applyFont="1" applyBorder="1" applyAlignment="1">
      <alignment horizontal="center" vertical="center"/>
    </xf>
    <xf numFmtId="0" fontId="0" fillId="0" borderId="2" xfId="0" applyBorder="1" applyAlignment="1">
      <alignment horizontal="center" wrapText="1"/>
    </xf>
    <xf numFmtId="0" fontId="2" fillId="0" borderId="0" xfId="0" applyFont="1" applyAlignment="1">
      <alignment horizontal="centerContinuous"/>
    </xf>
    <xf numFmtId="0" fontId="2" fillId="0" borderId="0" xfId="0" applyFont="1" applyAlignment="1">
      <alignment horizontal="center"/>
    </xf>
    <xf numFmtId="164" fontId="0" fillId="0" borderId="11" xfId="0" applyNumberFormat="1" applyBorder="1" applyAlignment="1">
      <alignment horizontal="center"/>
    </xf>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7"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0" xfId="0" applyFill="1"/>
    <xf numFmtId="165" fontId="0" fillId="0" borderId="0" xfId="0" applyNumberFormat="1" applyFill="1"/>
    <xf numFmtId="0" fontId="0" fillId="0" borderId="0" xfId="0" applyAlignment="1">
      <alignment vertical="top" wrapText="1"/>
    </xf>
    <xf numFmtId="0" fontId="3" fillId="0" borderId="0" xfId="0" applyFont="1" applyFill="1" applyBorder="1" applyAlignment="1">
      <alignment horizontal="center"/>
    </xf>
    <xf numFmtId="0" fontId="3" fillId="0" borderId="0" xfId="0" applyFont="1" applyFill="1" applyBorder="1" applyAlignment="1">
      <alignment horizontal="center" wrapText="1"/>
    </xf>
    <xf numFmtId="0" fontId="0" fillId="0" borderId="0" xfId="0" applyBorder="1"/>
    <xf numFmtId="166" fontId="0" fillId="0" borderId="0" xfId="0" applyNumberFormat="1" applyBorder="1"/>
    <xf numFmtId="20" fontId="0" fillId="0" borderId="0" xfId="0" applyNumberFormat="1" applyBorder="1" applyAlignment="1">
      <alignment vertical="center"/>
    </xf>
    <xf numFmtId="0" fontId="0" fillId="0" borderId="0" xfId="0" applyBorder="1" applyAlignment="1">
      <alignment vertical="center"/>
    </xf>
    <xf numFmtId="0" fontId="3" fillId="0" borderId="3" xfId="0" applyFont="1" applyFill="1" applyBorder="1" applyAlignment="1">
      <alignment horizontal="center" wrapText="1"/>
    </xf>
    <xf numFmtId="166" fontId="0" fillId="0" borderId="3" xfId="0" applyNumberFormat="1" applyBorder="1"/>
    <xf numFmtId="20" fontId="0" fillId="0" borderId="3" xfId="0" applyNumberFormat="1" applyBorder="1" applyAlignment="1">
      <alignment vertical="center"/>
    </xf>
    <xf numFmtId="0" fontId="0" fillId="0" borderId="3" xfId="0" applyBorder="1" applyAlignment="1">
      <alignment vertical="center"/>
    </xf>
    <xf numFmtId="0" fontId="3" fillId="0" borderId="3" xfId="0" applyFont="1" applyFill="1" applyBorder="1" applyAlignment="1">
      <alignment horizontal="center"/>
    </xf>
    <xf numFmtId="0" fontId="0" fillId="0" borderId="3" xfId="0" applyFill="1" applyBorder="1" applyAlignment="1">
      <alignment wrapText="1"/>
    </xf>
    <xf numFmtId="0" fontId="6" fillId="0" borderId="0" xfId="0" applyFont="1" applyFill="1" applyBorder="1" applyAlignment="1">
      <alignment horizontal="center" wrapText="1"/>
    </xf>
    <xf numFmtId="0" fontId="6" fillId="0" borderId="3" xfId="0" applyFont="1" applyFill="1" applyBorder="1" applyAlignment="1">
      <alignment horizontal="center" wrapText="1"/>
    </xf>
    <xf numFmtId="0" fontId="0" fillId="0" borderId="4" xfId="0" applyFill="1" applyBorder="1"/>
    <xf numFmtId="0" fontId="4" fillId="0" borderId="4" xfId="0" applyFont="1" applyFill="1" applyBorder="1"/>
    <xf numFmtId="0" fontId="5" fillId="0" borderId="4" xfId="0" applyFont="1" applyFill="1" applyBorder="1"/>
    <xf numFmtId="20" fontId="5" fillId="0" borderId="4" xfId="0" applyNumberFormat="1" applyFont="1" applyFill="1" applyBorder="1" applyAlignment="1">
      <alignment horizontal="left"/>
    </xf>
    <xf numFmtId="0" fontId="4" fillId="0" borderId="4" xfId="0" applyFont="1" applyFill="1" applyBorder="1" applyAlignment="1">
      <alignment horizontal="right"/>
    </xf>
    <xf numFmtId="14" fontId="0" fillId="0" borderId="4" xfId="0" applyNumberFormat="1" applyFill="1" applyBorder="1" applyAlignment="1">
      <alignment horizontal="left"/>
    </xf>
    <xf numFmtId="0" fontId="3" fillId="0"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Glukose</c:v>
          </c:tx>
          <c:spPr>
            <a:ln w="19050" cap="rnd">
              <a:noFill/>
              <a:round/>
            </a:ln>
            <a:effectLst/>
          </c:spPr>
          <c:marker>
            <c:symbol val="circle"/>
            <c:size val="5"/>
            <c:spPr>
              <a:solidFill>
                <a:schemeClr val="accent1"/>
              </a:solidFill>
              <a:ln w="9525">
                <a:solidFill>
                  <a:schemeClr val="accent1"/>
                </a:solidFill>
              </a:ln>
              <a:effectLst/>
            </c:spPr>
          </c:marker>
          <c:xVal>
            <c:numRef>
              <c:f>'OD growth curves'!$D$5:$D$14</c:f>
              <c:numCache>
                <c:formatCode>0.0</c:formatCode>
                <c:ptCount val="10"/>
                <c:pt idx="0">
                  <c:v>0</c:v>
                </c:pt>
                <c:pt idx="1">
                  <c:v>0.6</c:v>
                </c:pt>
                <c:pt idx="2">
                  <c:v>1.35</c:v>
                </c:pt>
                <c:pt idx="3">
                  <c:v>2.0166666666666666</c:v>
                </c:pt>
                <c:pt idx="4">
                  <c:v>2.8333333333333335</c:v>
                </c:pt>
                <c:pt idx="5">
                  <c:v>3.1833333333333331</c:v>
                </c:pt>
                <c:pt idx="6">
                  <c:v>3.35</c:v>
                </c:pt>
                <c:pt idx="7">
                  <c:v>3.6</c:v>
                </c:pt>
                <c:pt idx="8">
                  <c:v>3.8833333333333333</c:v>
                </c:pt>
                <c:pt idx="9">
                  <c:v>4.1500000000000004</c:v>
                </c:pt>
              </c:numCache>
            </c:numRef>
          </c:xVal>
          <c:yVal>
            <c:numRef>
              <c:f>'OD growth curves'!$E$5:$E$14</c:f>
              <c:numCache>
                <c:formatCode>0.0</c:formatCode>
                <c:ptCount val="10"/>
                <c:pt idx="0">
                  <c:v>0.1933</c:v>
                </c:pt>
                <c:pt idx="1">
                  <c:v>0.254</c:v>
                </c:pt>
                <c:pt idx="2">
                  <c:v>0.31900000000000001</c:v>
                </c:pt>
                <c:pt idx="3">
                  <c:v>0.48299999999999998</c:v>
                </c:pt>
                <c:pt idx="4">
                  <c:v>1.1279999999999999</c:v>
                </c:pt>
                <c:pt idx="5">
                  <c:v>1.1652</c:v>
                </c:pt>
                <c:pt idx="6">
                  <c:v>1.736</c:v>
                </c:pt>
                <c:pt idx="7">
                  <c:v>2.3239999999999998</c:v>
                </c:pt>
                <c:pt idx="8">
                  <c:v>2.97</c:v>
                </c:pt>
                <c:pt idx="9">
                  <c:v>3.44</c:v>
                </c:pt>
              </c:numCache>
            </c:numRef>
          </c:yVal>
          <c:smooth val="0"/>
          <c:extLst>
            <c:ext xmlns:c16="http://schemas.microsoft.com/office/drawing/2014/chart" uri="{C3380CC4-5D6E-409C-BE32-E72D297353CC}">
              <c16:uniqueId val="{00000000-4D1C-4E54-8023-84A86B952694}"/>
            </c:ext>
          </c:extLst>
        </c:ser>
        <c:ser>
          <c:idx val="1"/>
          <c:order val="1"/>
          <c:tx>
            <c:v>Mannitol</c:v>
          </c:tx>
          <c:spPr>
            <a:ln w="25400" cap="rnd">
              <a:noFill/>
              <a:round/>
            </a:ln>
            <a:effectLst/>
          </c:spPr>
          <c:marker>
            <c:symbol val="circle"/>
            <c:size val="5"/>
            <c:spPr>
              <a:solidFill>
                <a:schemeClr val="accent2"/>
              </a:solidFill>
              <a:ln w="9525">
                <a:solidFill>
                  <a:schemeClr val="accent2"/>
                </a:solidFill>
              </a:ln>
              <a:effectLst/>
            </c:spPr>
          </c:marker>
          <c:xVal>
            <c:numRef>
              <c:f>'OD growth curves'!$J$5:$J$14</c:f>
              <c:numCache>
                <c:formatCode>0.0</c:formatCode>
                <c:ptCount val="10"/>
                <c:pt idx="0">
                  <c:v>0.45</c:v>
                </c:pt>
                <c:pt idx="1">
                  <c:v>1.2</c:v>
                </c:pt>
                <c:pt idx="2">
                  <c:v>1.8666666666666667</c:v>
                </c:pt>
                <c:pt idx="3">
                  <c:v>2.6833333333333331</c:v>
                </c:pt>
                <c:pt idx="4">
                  <c:v>3.0333333333333332</c:v>
                </c:pt>
                <c:pt idx="5">
                  <c:v>3.2</c:v>
                </c:pt>
                <c:pt idx="6">
                  <c:v>3.45</c:v>
                </c:pt>
                <c:pt idx="7">
                  <c:v>3.7333333333333334</c:v>
                </c:pt>
                <c:pt idx="8">
                  <c:v>4</c:v>
                </c:pt>
                <c:pt idx="9">
                  <c:v>4.2</c:v>
                </c:pt>
              </c:numCache>
            </c:numRef>
          </c:xVal>
          <c:yVal>
            <c:numRef>
              <c:f>'OD growth curves'!$K$5:$K$14</c:f>
              <c:numCache>
                <c:formatCode>0.0</c:formatCode>
                <c:ptCount val="10"/>
                <c:pt idx="0">
                  <c:v>0.28399999999999997</c:v>
                </c:pt>
                <c:pt idx="1">
                  <c:v>0.34</c:v>
                </c:pt>
                <c:pt idx="2">
                  <c:v>0.46700000000000003</c:v>
                </c:pt>
                <c:pt idx="3">
                  <c:v>0.90200000000000002</c:v>
                </c:pt>
                <c:pt idx="4">
                  <c:v>1.284</c:v>
                </c:pt>
                <c:pt idx="5">
                  <c:v>1.4359999999999999</c:v>
                </c:pt>
                <c:pt idx="6">
                  <c:v>1.72</c:v>
                </c:pt>
                <c:pt idx="7">
                  <c:v>2.4700000000000002</c:v>
                </c:pt>
                <c:pt idx="8">
                  <c:v>3.16</c:v>
                </c:pt>
                <c:pt idx="9">
                  <c:v>3.7</c:v>
                </c:pt>
              </c:numCache>
            </c:numRef>
          </c:yVal>
          <c:smooth val="0"/>
          <c:extLst>
            <c:ext xmlns:c16="http://schemas.microsoft.com/office/drawing/2014/chart" uri="{C3380CC4-5D6E-409C-BE32-E72D297353CC}">
              <c16:uniqueId val="{00000001-4D1C-4E54-8023-84A86B952694}"/>
            </c:ext>
          </c:extLst>
        </c:ser>
        <c:ser>
          <c:idx val="2"/>
          <c:order val="2"/>
          <c:tx>
            <c:v>Glyserol</c:v>
          </c:tx>
          <c:spPr>
            <a:ln w="25400" cap="rnd">
              <a:noFill/>
              <a:round/>
            </a:ln>
            <a:effectLst/>
          </c:spPr>
          <c:marker>
            <c:symbol val="circle"/>
            <c:size val="5"/>
            <c:spPr>
              <a:solidFill>
                <a:schemeClr val="accent3"/>
              </a:solidFill>
              <a:ln w="9525">
                <a:solidFill>
                  <a:schemeClr val="accent3"/>
                </a:solidFill>
              </a:ln>
              <a:effectLst/>
            </c:spPr>
          </c:marker>
          <c:xVal>
            <c:numRef>
              <c:f>'OD growth curves'!$F$5:$F$18</c:f>
              <c:numCache>
                <c:formatCode>0.0</c:formatCode>
                <c:ptCount val="14"/>
                <c:pt idx="0">
                  <c:v>8.3333333333333329E-2</c:v>
                </c:pt>
                <c:pt idx="1">
                  <c:v>1.0833333333333333</c:v>
                </c:pt>
                <c:pt idx="2">
                  <c:v>2.0499999999999998</c:v>
                </c:pt>
                <c:pt idx="3">
                  <c:v>3.05</c:v>
                </c:pt>
                <c:pt idx="4">
                  <c:v>4.05</c:v>
                </c:pt>
                <c:pt idx="5">
                  <c:v>4.55</c:v>
                </c:pt>
                <c:pt idx="6">
                  <c:v>5.05</c:v>
                </c:pt>
                <c:pt idx="7">
                  <c:v>6.05</c:v>
                </c:pt>
                <c:pt idx="8">
                  <c:v>6.55</c:v>
                </c:pt>
                <c:pt idx="9">
                  <c:v>6.8</c:v>
                </c:pt>
                <c:pt idx="10">
                  <c:v>7.05</c:v>
                </c:pt>
                <c:pt idx="11">
                  <c:v>7.3</c:v>
                </c:pt>
                <c:pt idx="12">
                  <c:v>7.55</c:v>
                </c:pt>
                <c:pt idx="13">
                  <c:v>7.8</c:v>
                </c:pt>
              </c:numCache>
            </c:numRef>
          </c:xVal>
          <c:yVal>
            <c:numRef>
              <c:f>'OD growth curves'!$G$5:$G$18</c:f>
              <c:numCache>
                <c:formatCode>0.0</c:formatCode>
                <c:ptCount val="14"/>
                <c:pt idx="0">
                  <c:v>2.5000000000000001E-2</c:v>
                </c:pt>
                <c:pt idx="1">
                  <c:v>2.8000000000000001E-2</c:v>
                </c:pt>
                <c:pt idx="2">
                  <c:v>3.5999999999999997E-2</c:v>
                </c:pt>
                <c:pt idx="3">
                  <c:v>5.7000000000000002E-2</c:v>
                </c:pt>
                <c:pt idx="4">
                  <c:v>0.122</c:v>
                </c:pt>
                <c:pt idx="5">
                  <c:v>0.17</c:v>
                </c:pt>
                <c:pt idx="6">
                  <c:v>0.26700000000000002</c:v>
                </c:pt>
                <c:pt idx="7">
                  <c:v>0.627</c:v>
                </c:pt>
                <c:pt idx="8">
                  <c:v>1.1080000000000001</c:v>
                </c:pt>
                <c:pt idx="9">
                  <c:v>1.296</c:v>
                </c:pt>
                <c:pt idx="10">
                  <c:v>1.5680000000000001</c:v>
                </c:pt>
                <c:pt idx="11">
                  <c:v>2.19</c:v>
                </c:pt>
                <c:pt idx="12">
                  <c:v>2.5299999999999998</c:v>
                </c:pt>
                <c:pt idx="13">
                  <c:v>3.4</c:v>
                </c:pt>
              </c:numCache>
            </c:numRef>
          </c:yVal>
          <c:smooth val="0"/>
          <c:extLst>
            <c:ext xmlns:c16="http://schemas.microsoft.com/office/drawing/2014/chart" uri="{C3380CC4-5D6E-409C-BE32-E72D297353CC}">
              <c16:uniqueId val="{00000002-4D1C-4E54-8023-84A86B952694}"/>
            </c:ext>
          </c:extLst>
        </c:ser>
        <c:ser>
          <c:idx val="3"/>
          <c:order val="3"/>
          <c:tx>
            <c:v>Xylose</c:v>
          </c:tx>
          <c:spPr>
            <a:ln w="25400" cap="rnd">
              <a:noFill/>
              <a:round/>
            </a:ln>
            <a:effectLst/>
          </c:spPr>
          <c:marker>
            <c:symbol val="circle"/>
            <c:size val="5"/>
            <c:spPr>
              <a:solidFill>
                <a:schemeClr val="accent4"/>
              </a:solidFill>
              <a:ln w="9525">
                <a:solidFill>
                  <a:schemeClr val="accent4"/>
                </a:solidFill>
              </a:ln>
              <a:effectLst/>
            </c:spPr>
          </c:marker>
          <c:xVal>
            <c:numRef>
              <c:f>'OD growth curves'!$H$5:$H$19</c:f>
              <c:numCache>
                <c:formatCode>0.0</c:formatCode>
                <c:ptCount val="15"/>
                <c:pt idx="0">
                  <c:v>0</c:v>
                </c:pt>
                <c:pt idx="1">
                  <c:v>1</c:v>
                </c:pt>
                <c:pt idx="2">
                  <c:v>1.9666666666666666</c:v>
                </c:pt>
                <c:pt idx="3">
                  <c:v>2.9666666666666668</c:v>
                </c:pt>
                <c:pt idx="4">
                  <c:v>3.9666666666666668</c:v>
                </c:pt>
                <c:pt idx="5">
                  <c:v>4.4666666666666668</c:v>
                </c:pt>
                <c:pt idx="6">
                  <c:v>4.9666666666666668</c:v>
                </c:pt>
                <c:pt idx="7">
                  <c:v>5.4666666666666668</c:v>
                </c:pt>
                <c:pt idx="8">
                  <c:v>5.9666666666666668</c:v>
                </c:pt>
                <c:pt idx="9">
                  <c:v>6.4666666666666668</c:v>
                </c:pt>
                <c:pt idx="10">
                  <c:v>6.9666666666666668</c:v>
                </c:pt>
                <c:pt idx="11">
                  <c:v>7.4666666666666668</c:v>
                </c:pt>
                <c:pt idx="12">
                  <c:v>7.7166666666666668</c:v>
                </c:pt>
                <c:pt idx="13">
                  <c:v>8.0500000000000007</c:v>
                </c:pt>
                <c:pt idx="14">
                  <c:v>8.3833333333333329</c:v>
                </c:pt>
              </c:numCache>
            </c:numRef>
          </c:xVal>
          <c:yVal>
            <c:numRef>
              <c:f>'OD growth curves'!$I$5:$I$19</c:f>
              <c:numCache>
                <c:formatCode>0.0</c:formatCode>
                <c:ptCount val="15"/>
                <c:pt idx="0">
                  <c:v>0.10199999999999999</c:v>
                </c:pt>
                <c:pt idx="1">
                  <c:v>0.11600000000000001</c:v>
                </c:pt>
                <c:pt idx="2">
                  <c:v>0.18099999999999999</c:v>
                </c:pt>
                <c:pt idx="3">
                  <c:v>0.28000000000000003</c:v>
                </c:pt>
                <c:pt idx="4">
                  <c:v>0.52200000000000002</c:v>
                </c:pt>
                <c:pt idx="5">
                  <c:v>0.61699999999999999</c:v>
                </c:pt>
                <c:pt idx="6">
                  <c:v>0.81399999999999995</c:v>
                </c:pt>
                <c:pt idx="7">
                  <c:v>1.2</c:v>
                </c:pt>
                <c:pt idx="8">
                  <c:v>1.23</c:v>
                </c:pt>
                <c:pt idx="9">
                  <c:v>1.456</c:v>
                </c:pt>
                <c:pt idx="10">
                  <c:v>1.716</c:v>
                </c:pt>
                <c:pt idx="11">
                  <c:v>2.1800000000000002</c:v>
                </c:pt>
                <c:pt idx="12">
                  <c:v>2.35</c:v>
                </c:pt>
                <c:pt idx="13">
                  <c:v>2.7</c:v>
                </c:pt>
                <c:pt idx="14">
                  <c:v>3</c:v>
                </c:pt>
              </c:numCache>
            </c:numRef>
          </c:yVal>
          <c:smooth val="0"/>
          <c:extLst>
            <c:ext xmlns:c16="http://schemas.microsoft.com/office/drawing/2014/chart" uri="{C3380CC4-5D6E-409C-BE32-E72D297353CC}">
              <c16:uniqueId val="{00000003-4D1C-4E54-8023-84A86B952694}"/>
            </c:ext>
          </c:extLst>
        </c:ser>
        <c:ser>
          <c:idx val="4"/>
          <c:order val="4"/>
          <c:tx>
            <c:v>Disodium succinate</c:v>
          </c:tx>
          <c:spPr>
            <a:ln w="25400" cap="rnd">
              <a:noFill/>
              <a:round/>
            </a:ln>
            <a:effectLst/>
          </c:spPr>
          <c:marker>
            <c:symbol val="circle"/>
            <c:size val="5"/>
            <c:spPr>
              <a:solidFill>
                <a:schemeClr val="accent5"/>
              </a:solidFill>
              <a:ln w="9525">
                <a:solidFill>
                  <a:schemeClr val="accent5"/>
                </a:solidFill>
              </a:ln>
              <a:effectLst/>
            </c:spPr>
          </c:marker>
          <c:xVal>
            <c:numRef>
              <c:f>'OD growth curves'!$L$5:$L$23</c:f>
              <c:numCache>
                <c:formatCode>0.0</c:formatCode>
                <c:ptCount val="19"/>
                <c:pt idx="0">
                  <c:v>0</c:v>
                </c:pt>
                <c:pt idx="1">
                  <c:v>0.8666666666666667</c:v>
                </c:pt>
                <c:pt idx="2">
                  <c:v>1.8666666666666667</c:v>
                </c:pt>
                <c:pt idx="3">
                  <c:v>2.8833333333333333</c:v>
                </c:pt>
                <c:pt idx="4">
                  <c:v>3.95</c:v>
                </c:pt>
                <c:pt idx="5">
                  <c:v>4.8833333333333337</c:v>
                </c:pt>
                <c:pt idx="6">
                  <c:v>5.3833333333333337</c:v>
                </c:pt>
                <c:pt idx="7">
                  <c:v>5.8833333333333337</c:v>
                </c:pt>
                <c:pt idx="8">
                  <c:v>6.3833333333333337</c:v>
                </c:pt>
                <c:pt idx="9">
                  <c:v>6.8833333333333337</c:v>
                </c:pt>
                <c:pt idx="10">
                  <c:v>7.3833333333333337</c:v>
                </c:pt>
                <c:pt idx="11">
                  <c:v>7.8833333333333337</c:v>
                </c:pt>
                <c:pt idx="12">
                  <c:v>8.1333333333333329</c:v>
                </c:pt>
                <c:pt idx="13">
                  <c:v>8.6333333333333329</c:v>
                </c:pt>
                <c:pt idx="14">
                  <c:v>8.9666666666666668</c:v>
                </c:pt>
                <c:pt idx="15">
                  <c:v>9.1333333333333329</c:v>
                </c:pt>
                <c:pt idx="16">
                  <c:v>9.3833333333333329</c:v>
                </c:pt>
                <c:pt idx="17">
                  <c:v>9.6333333333333329</c:v>
                </c:pt>
                <c:pt idx="18">
                  <c:v>9.8833333333333329</c:v>
                </c:pt>
              </c:numCache>
            </c:numRef>
          </c:xVal>
          <c:yVal>
            <c:numRef>
              <c:f>'OD growth curves'!$M$5:$M$23</c:f>
              <c:numCache>
                <c:formatCode>0.0</c:formatCode>
                <c:ptCount val="19"/>
                <c:pt idx="0">
                  <c:v>6.5000000000000002E-2</c:v>
                </c:pt>
                <c:pt idx="1">
                  <c:v>7.2999999999999995E-2</c:v>
                </c:pt>
                <c:pt idx="2">
                  <c:v>0.10100000000000001</c:v>
                </c:pt>
                <c:pt idx="3">
                  <c:v>0.16</c:v>
                </c:pt>
                <c:pt idx="4">
                  <c:v>0.26500000000000001</c:v>
                </c:pt>
                <c:pt idx="5">
                  <c:v>0.39900000000000002</c:v>
                </c:pt>
                <c:pt idx="6">
                  <c:v>0.51400000000000001</c:v>
                </c:pt>
                <c:pt idx="7">
                  <c:v>0.59199999999999997</c:v>
                </c:pt>
                <c:pt idx="8">
                  <c:v>0.93</c:v>
                </c:pt>
                <c:pt idx="9">
                  <c:v>0.98</c:v>
                </c:pt>
                <c:pt idx="10">
                  <c:v>1.2</c:v>
                </c:pt>
                <c:pt idx="11">
                  <c:v>1.76</c:v>
                </c:pt>
                <c:pt idx="12">
                  <c:v>1.5</c:v>
                </c:pt>
                <c:pt idx="13">
                  <c:v>1.796</c:v>
                </c:pt>
                <c:pt idx="14">
                  <c:v>2.06</c:v>
                </c:pt>
                <c:pt idx="15">
                  <c:v>2.35</c:v>
                </c:pt>
                <c:pt idx="16">
                  <c:v>2.57</c:v>
                </c:pt>
                <c:pt idx="17">
                  <c:v>2.83</c:v>
                </c:pt>
                <c:pt idx="18">
                  <c:v>3.45</c:v>
                </c:pt>
              </c:numCache>
            </c:numRef>
          </c:yVal>
          <c:smooth val="0"/>
          <c:extLst>
            <c:ext xmlns:c16="http://schemas.microsoft.com/office/drawing/2014/chart" uri="{C3380CC4-5D6E-409C-BE32-E72D297353CC}">
              <c16:uniqueId val="{00000004-4D1C-4E54-8023-84A86B952694}"/>
            </c:ext>
          </c:extLst>
        </c:ser>
        <c:dLbls>
          <c:showLegendKey val="0"/>
          <c:showVal val="0"/>
          <c:showCatName val="0"/>
          <c:showSerName val="0"/>
          <c:showPercent val="0"/>
          <c:showBubbleSize val="0"/>
        </c:dLbls>
        <c:axId val="483950575"/>
        <c:axId val="472487583"/>
        <c:extLst>
          <c:ext xmlns:c15="http://schemas.microsoft.com/office/drawing/2012/chart" uri="{02D57815-91ED-43cb-92C2-25804820EDAC}">
            <c15:filteredScatterSeries>
              <c15:ser>
                <c:idx val="5"/>
                <c:order val="5"/>
                <c:tx>
                  <c:v>WT metanol</c:v>
                </c:tx>
                <c:spPr>
                  <a:ln w="25400" cap="rnd">
                    <a:noFill/>
                    <a:round/>
                  </a:ln>
                  <a:effectLst/>
                </c:spPr>
                <c:marker>
                  <c:symbol val="circle"/>
                  <c:size val="5"/>
                  <c:spPr>
                    <a:solidFill>
                      <a:schemeClr val="accent6"/>
                    </a:solidFill>
                    <a:ln w="9525">
                      <a:solidFill>
                        <a:schemeClr val="accent6"/>
                      </a:solidFill>
                    </a:ln>
                    <a:effectLst/>
                  </c:spPr>
                </c:marker>
                <c:xVal>
                  <c:numRef>
                    <c:extLst>
                      <c:ext uri="{02D57815-91ED-43cb-92C2-25804820EDAC}">
                        <c15:formulaRef>
                          <c15:sqref>'OD growth curves'!$N$5:$N$14</c15:sqref>
                        </c15:formulaRef>
                      </c:ext>
                    </c:extLst>
                    <c:numCache>
                      <c:formatCode>0.0</c:formatCode>
                      <c:ptCount val="10"/>
                    </c:numCache>
                  </c:numRef>
                </c:xVal>
                <c:yVal>
                  <c:numRef>
                    <c:extLst>
                      <c:ext uri="{02D57815-91ED-43cb-92C2-25804820EDAC}">
                        <c15:formulaRef>
                          <c15:sqref>'OD growth curves'!$O$5:$O$14</c15:sqref>
                        </c15:formulaRef>
                      </c:ext>
                    </c:extLst>
                    <c:numCache>
                      <c:formatCode>0.0</c:formatCode>
                      <c:ptCount val="10"/>
                    </c:numCache>
                  </c:numRef>
                </c:yVal>
                <c:smooth val="0"/>
                <c:extLst>
                  <c:ext xmlns:c16="http://schemas.microsoft.com/office/drawing/2014/chart" uri="{C3380CC4-5D6E-409C-BE32-E72D297353CC}">
                    <c16:uniqueId val="{00000005-4D1C-4E54-8023-84A86B952694}"/>
                  </c:ext>
                </c:extLst>
              </c15:ser>
            </c15:filteredScatterSeries>
            <c15:filteredScatterSeries>
              <c15:ser>
                <c:idx val="6"/>
                <c:order val="6"/>
                <c:tx>
                  <c:v>MDH metanol</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'OD growth curves'!$P$5:$P$24</c15:sqref>
                        </c15:formulaRef>
                      </c:ext>
                    </c:extLst>
                    <c:numCache>
                      <c:formatCode>0.0</c:formatCode>
                      <c:ptCount val="20"/>
                    </c:numCache>
                  </c:numRef>
                </c:xVal>
                <c:yVal>
                  <c:numRef>
                    <c:extLst>
                      <c:ext xmlns:c15="http://schemas.microsoft.com/office/drawing/2012/chart" uri="{02D57815-91ED-43cb-92C2-25804820EDAC}">
                        <c15:formulaRef>
                          <c15:sqref>'OD growth curves'!$Q$5:$Q$24</c15:sqref>
                        </c15:formulaRef>
                      </c:ext>
                    </c:extLst>
                    <c:numCache>
                      <c:formatCode>0.0</c:formatCode>
                      <c:ptCount val="20"/>
                    </c:numCache>
                  </c:numRef>
                </c:yVal>
                <c:smooth val="0"/>
                <c:extLst>
                  <c:ext xmlns:c16="http://schemas.microsoft.com/office/drawing/2014/chart" uri="{C3380CC4-5D6E-409C-BE32-E72D297353CC}">
                    <c16:uniqueId val="{00000006-4D1C-4E54-8023-84A86B952694}"/>
                  </c:ext>
                </c:extLst>
              </c15:ser>
            </c15:filteredScatterSeries>
            <c15:filteredScatterSeries>
              <c15:ser>
                <c:idx val="7"/>
                <c:order val="7"/>
                <c:tx>
                  <c:v>MDH glukose</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'OD growth curves'!$R$5:$R$11</c15:sqref>
                        </c15:formulaRef>
                      </c:ext>
                    </c:extLst>
                    <c:numCache>
                      <c:formatCode>0.0</c:formatCode>
                      <c:ptCount val="7"/>
                    </c:numCache>
                  </c:numRef>
                </c:xVal>
                <c:yVal>
                  <c:numRef>
                    <c:extLst>
                      <c:ext xmlns:c15="http://schemas.microsoft.com/office/drawing/2012/chart" uri="{02D57815-91ED-43cb-92C2-25804820EDAC}">
                        <c15:formulaRef>
                          <c15:sqref>'OD growth curves'!$S$5:$S$17</c15:sqref>
                        </c15:formulaRef>
                      </c:ext>
                    </c:extLst>
                    <c:numCache>
                      <c:formatCode>0.0</c:formatCode>
                      <c:ptCount val="13"/>
                    </c:numCache>
                  </c:numRef>
                </c:yVal>
                <c:smooth val="0"/>
                <c:extLst>
                  <c:ext xmlns:c16="http://schemas.microsoft.com/office/drawing/2014/chart" uri="{C3380CC4-5D6E-409C-BE32-E72D297353CC}">
                    <c16:uniqueId val="{00000007-4D1C-4E54-8023-84A86B952694}"/>
                  </c:ext>
                </c:extLst>
              </c15:ser>
            </c15:filteredScatterSeries>
          </c:ext>
        </c:extLst>
      </c:scatterChart>
      <c:valAx>
        <c:axId val="483950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Time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72487583"/>
        <c:crosses val="autoZero"/>
        <c:crossBetween val="midCat"/>
      </c:valAx>
      <c:valAx>
        <c:axId val="47248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OD</a:t>
                </a:r>
                <a:r>
                  <a:rPr lang="nb-NO" baseline="-25000"/>
                  <a:t>600</a:t>
                </a:r>
                <a:endParaRPr lang="nb-N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839505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4217629046369197E-2"/>
                  <c:y val="0.15185950714494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errBars>
            <c:errDir val="y"/>
            <c:errBarType val="both"/>
            <c:errValType val="cust"/>
            <c:noEndCap val="0"/>
            <c:plus>
              <c:numRef>
                <c:f>Succinate!$I$40:$I$46</c:f>
                <c:numCache>
                  <c:formatCode>General</c:formatCode>
                  <c:ptCount val="7"/>
                  <c:pt idx="0">
                    <c:v>0.24819121143361053</c:v>
                  </c:pt>
                  <c:pt idx="1">
                    <c:v>0.10979700579764184</c:v>
                  </c:pt>
                  <c:pt idx="2">
                    <c:v>0.14674226553004435</c:v>
                  </c:pt>
                  <c:pt idx="3">
                    <c:v>6.4906975415937818E-2</c:v>
                  </c:pt>
                  <c:pt idx="4">
                    <c:v>0.13613869329538161</c:v>
                  </c:pt>
                  <c:pt idx="5">
                    <c:v>7.3221623024436369E-2</c:v>
                  </c:pt>
                  <c:pt idx="6">
                    <c:v>5.2533287825149294E-2</c:v>
                  </c:pt>
                </c:numCache>
              </c:numRef>
            </c:plus>
            <c:minus>
              <c:numRef>
                <c:f>Succinate!$I$40:$I$46</c:f>
                <c:numCache>
                  <c:formatCode>General</c:formatCode>
                  <c:ptCount val="7"/>
                  <c:pt idx="0">
                    <c:v>0.24819121143361053</c:v>
                  </c:pt>
                  <c:pt idx="1">
                    <c:v>0.10979700579764184</c:v>
                  </c:pt>
                  <c:pt idx="2">
                    <c:v>0.14674226553004435</c:v>
                  </c:pt>
                  <c:pt idx="3">
                    <c:v>6.4906975415937818E-2</c:v>
                  </c:pt>
                  <c:pt idx="4">
                    <c:v>0.13613869329538161</c:v>
                  </c:pt>
                  <c:pt idx="5">
                    <c:v>7.3221623024436369E-2</c:v>
                  </c:pt>
                  <c:pt idx="6">
                    <c:v>5.2533287825149294E-2</c:v>
                  </c:pt>
                </c:numCache>
              </c:numRef>
            </c:minus>
            <c:spPr>
              <a:noFill/>
              <a:ln w="9525" cap="flat" cmpd="sng" algn="ctr">
                <a:solidFill>
                  <a:schemeClr val="tx1">
                    <a:lumMod val="65000"/>
                    <a:lumOff val="35000"/>
                  </a:schemeClr>
                </a:solidFill>
                <a:round/>
              </a:ln>
              <a:effectLst/>
            </c:spPr>
          </c:errBars>
          <c:xVal>
            <c:numRef>
              <c:f>Succinate!$A$40:$A$46</c:f>
              <c:numCache>
                <c:formatCode>0.00</c:formatCode>
                <c:ptCount val="7"/>
                <c:pt idx="0">
                  <c:v>6.3833333333333337</c:v>
                </c:pt>
                <c:pt idx="1">
                  <c:v>6.8833333333333337</c:v>
                </c:pt>
                <c:pt idx="2">
                  <c:v>7.3833333333333337</c:v>
                </c:pt>
                <c:pt idx="3">
                  <c:v>7.8833333333333337</c:v>
                </c:pt>
                <c:pt idx="4">
                  <c:v>8.1333333333333329</c:v>
                </c:pt>
                <c:pt idx="5">
                  <c:v>9.3833333333333329</c:v>
                </c:pt>
                <c:pt idx="6">
                  <c:v>9.6333333333333329</c:v>
                </c:pt>
              </c:numCache>
            </c:numRef>
          </c:xVal>
          <c:yVal>
            <c:numRef>
              <c:f>Succinate!$H$40:$H$46</c:f>
              <c:numCache>
                <c:formatCode>0.0000</c:formatCode>
                <c:ptCount val="7"/>
                <c:pt idx="0">
                  <c:v>-0.68256399677864044</c:v>
                </c:pt>
                <c:pt idx="1">
                  <c:v>-0.4330065099831682</c:v>
                </c:pt>
                <c:pt idx="2">
                  <c:v>-0.52115190777905784</c:v>
                </c:pt>
                <c:pt idx="3">
                  <c:v>-0.31907326378508261</c:v>
                </c:pt>
                <c:pt idx="4">
                  <c:v>-0.27950406963750124</c:v>
                </c:pt>
                <c:pt idx="5">
                  <c:v>1.9910373625236268E-2</c:v>
                </c:pt>
                <c:pt idx="6">
                  <c:v>2.9964251096834617E-2</c:v>
                </c:pt>
              </c:numCache>
            </c:numRef>
          </c:yVal>
          <c:smooth val="0"/>
          <c:extLst>
            <c:ext xmlns:c16="http://schemas.microsoft.com/office/drawing/2014/chart" uri="{C3380CC4-5D6E-409C-BE32-E72D297353CC}">
              <c16:uniqueId val="{00000000-16D6-4F1F-B423-88313D4B42FF}"/>
            </c:ext>
          </c:extLst>
        </c:ser>
        <c:dLbls>
          <c:showLegendKey val="0"/>
          <c:showVal val="0"/>
          <c:showCatName val="0"/>
          <c:showSerName val="0"/>
          <c:showPercent val="0"/>
          <c:showBubbleSize val="0"/>
        </c:dLbls>
        <c:axId val="998011552"/>
        <c:axId val="998010304"/>
      </c:scatterChart>
      <c:valAx>
        <c:axId val="998011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998010304"/>
        <c:crosses val="autoZero"/>
        <c:crossBetween val="midCat"/>
      </c:valAx>
      <c:valAx>
        <c:axId val="99801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Log(CDW(mg))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998011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Succinate!$C$5:$C$24</c:f>
              <c:numCache>
                <c:formatCode>0.00</c:formatCode>
                <c:ptCount val="20"/>
                <c:pt idx="0">
                  <c:v>0</c:v>
                </c:pt>
                <c:pt idx="1">
                  <c:v>0.86666666666666536</c:v>
                </c:pt>
                <c:pt idx="2">
                  <c:v>1.8666666666666654</c:v>
                </c:pt>
                <c:pt idx="3">
                  <c:v>2.8833333333333329</c:v>
                </c:pt>
                <c:pt idx="4">
                  <c:v>3.9499999999999993</c:v>
                </c:pt>
                <c:pt idx="5">
                  <c:v>4.8833333333333329</c:v>
                </c:pt>
                <c:pt idx="6">
                  <c:v>5.3833333333333329</c:v>
                </c:pt>
                <c:pt idx="7">
                  <c:v>5.8833333333333329</c:v>
                </c:pt>
                <c:pt idx="8">
                  <c:v>6.3833333333333329</c:v>
                </c:pt>
                <c:pt idx="9">
                  <c:v>6.8833333333333329</c:v>
                </c:pt>
                <c:pt idx="10">
                  <c:v>7.1833333333333336</c:v>
                </c:pt>
                <c:pt idx="11">
                  <c:v>7.3833333333333329</c:v>
                </c:pt>
                <c:pt idx="12">
                  <c:v>7.8833333333333329</c:v>
                </c:pt>
                <c:pt idx="13">
                  <c:v>8.1333333333333329</c:v>
                </c:pt>
                <c:pt idx="14">
                  <c:v>8.6333333333333329</c:v>
                </c:pt>
                <c:pt idx="15">
                  <c:v>8.966666666666665</c:v>
                </c:pt>
                <c:pt idx="16">
                  <c:v>9.1333333333333329</c:v>
                </c:pt>
                <c:pt idx="17">
                  <c:v>9.3833333333333329</c:v>
                </c:pt>
                <c:pt idx="18">
                  <c:v>9.6333333333333329</c:v>
                </c:pt>
                <c:pt idx="19">
                  <c:v>9.8833333333333329</c:v>
                </c:pt>
              </c:numCache>
            </c:numRef>
          </c:xVal>
          <c:yVal>
            <c:numRef>
              <c:f>Succinate!$D$5:$D$24</c:f>
              <c:numCache>
                <c:formatCode>General</c:formatCode>
                <c:ptCount val="20"/>
                <c:pt idx="0">
                  <c:v>6.5000000000000002E-2</c:v>
                </c:pt>
                <c:pt idx="1">
                  <c:v>7.2999999999999995E-2</c:v>
                </c:pt>
                <c:pt idx="2">
                  <c:v>0.10100000000000001</c:v>
                </c:pt>
                <c:pt idx="3">
                  <c:v>0.16</c:v>
                </c:pt>
                <c:pt idx="4">
                  <c:v>0.26500000000000001</c:v>
                </c:pt>
                <c:pt idx="5">
                  <c:v>0.39900000000000002</c:v>
                </c:pt>
                <c:pt idx="6">
                  <c:v>0.51400000000000001</c:v>
                </c:pt>
                <c:pt idx="7">
                  <c:v>0.59199999999999997</c:v>
                </c:pt>
                <c:pt idx="8">
                  <c:v>0.93</c:v>
                </c:pt>
                <c:pt idx="9">
                  <c:v>0.98</c:v>
                </c:pt>
                <c:pt idx="11">
                  <c:v>1.2</c:v>
                </c:pt>
                <c:pt idx="12">
                  <c:v>1.76</c:v>
                </c:pt>
                <c:pt idx="13">
                  <c:v>1.5</c:v>
                </c:pt>
                <c:pt idx="14">
                  <c:v>1.796</c:v>
                </c:pt>
                <c:pt idx="15">
                  <c:v>2.06</c:v>
                </c:pt>
                <c:pt idx="16">
                  <c:v>2.35</c:v>
                </c:pt>
                <c:pt idx="17">
                  <c:v>2.57</c:v>
                </c:pt>
                <c:pt idx="18">
                  <c:v>2.83</c:v>
                </c:pt>
                <c:pt idx="19">
                  <c:v>3.45</c:v>
                </c:pt>
              </c:numCache>
            </c:numRef>
          </c:yVal>
          <c:smooth val="0"/>
          <c:extLst>
            <c:ext xmlns:c16="http://schemas.microsoft.com/office/drawing/2014/chart" uri="{C3380CC4-5D6E-409C-BE32-E72D297353CC}">
              <c16:uniqueId val="{00000000-2258-4E08-B2C7-C1A452BB560D}"/>
            </c:ext>
          </c:extLst>
        </c:ser>
        <c:dLbls>
          <c:showLegendKey val="0"/>
          <c:showVal val="0"/>
          <c:showCatName val="0"/>
          <c:showSerName val="0"/>
          <c:showPercent val="0"/>
          <c:showBubbleSize val="0"/>
        </c:dLbls>
        <c:axId val="857503599"/>
        <c:axId val="1008165903"/>
      </c:scatterChart>
      <c:valAx>
        <c:axId val="857503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Time</a:t>
                </a:r>
                <a:r>
                  <a:rPr lang="nb-NO" baseline="0"/>
                  <a:t> (h)</a:t>
                </a:r>
                <a:endParaRPr lang="nb-N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08165903"/>
        <c:crosses val="autoZero"/>
        <c:crossBetween val="midCat"/>
      </c:valAx>
      <c:valAx>
        <c:axId val="100816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OD</a:t>
                </a:r>
                <a:r>
                  <a:rPr lang="nb-NO" baseline="-25000"/>
                  <a:t>600</a:t>
                </a:r>
                <a:endParaRPr lang="nb-N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57503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'[1]20.10.22 (f) (Glucose)'!$B$9:$B$31</c:f>
              <c:numCache>
                <c:formatCode>General</c:formatCode>
                <c:ptCount val="23"/>
                <c:pt idx="0">
                  <c:v>0.36666666666666664</c:v>
                </c:pt>
                <c:pt idx="1">
                  <c:v>1.2166666666666666</c:v>
                </c:pt>
                <c:pt idx="2">
                  <c:v>1.4666666666666666</c:v>
                </c:pt>
                <c:pt idx="3">
                  <c:v>2.2166666666666668</c:v>
                </c:pt>
                <c:pt idx="4">
                  <c:v>3.2</c:v>
                </c:pt>
                <c:pt idx="5">
                  <c:v>3.6</c:v>
                </c:pt>
                <c:pt idx="6">
                  <c:v>3.9666666666666668</c:v>
                </c:pt>
                <c:pt idx="7">
                  <c:v>4.1333333333333337</c:v>
                </c:pt>
                <c:pt idx="8">
                  <c:v>4.5166666666666666</c:v>
                </c:pt>
                <c:pt idx="9">
                  <c:v>4.8</c:v>
                </c:pt>
                <c:pt idx="10">
                  <c:v>5.05</c:v>
                </c:pt>
                <c:pt idx="11">
                  <c:v>5.3</c:v>
                </c:pt>
                <c:pt idx="12">
                  <c:v>5.6</c:v>
                </c:pt>
                <c:pt idx="13">
                  <c:v>5.8833333333333337</c:v>
                </c:pt>
                <c:pt idx="14">
                  <c:v>6.2166666666666668</c:v>
                </c:pt>
                <c:pt idx="15">
                  <c:v>6.4666666666666668</c:v>
                </c:pt>
                <c:pt idx="16">
                  <c:v>6.7333333333333334</c:v>
                </c:pt>
                <c:pt idx="17">
                  <c:v>6.9666666666666668</c:v>
                </c:pt>
                <c:pt idx="18">
                  <c:v>7.15</c:v>
                </c:pt>
                <c:pt idx="19">
                  <c:v>7.3833333333333337</c:v>
                </c:pt>
                <c:pt idx="20">
                  <c:v>7.6833333333333336</c:v>
                </c:pt>
                <c:pt idx="21">
                  <c:v>7.916666666666667</c:v>
                </c:pt>
                <c:pt idx="22">
                  <c:v>8.1166666666666671</c:v>
                </c:pt>
              </c:numCache>
            </c:numRef>
          </c:xVal>
          <c:yVal>
            <c:numRef>
              <c:f>'[1]20.10.22 (f) (Glucose)'!$D$9:$D$31</c:f>
              <c:numCache>
                <c:formatCode>General</c:formatCode>
                <c:ptCount val="23"/>
                <c:pt idx="0">
                  <c:v>0.21</c:v>
                </c:pt>
                <c:pt idx="1">
                  <c:v>0.254</c:v>
                </c:pt>
                <c:pt idx="2">
                  <c:v>0.254</c:v>
                </c:pt>
                <c:pt idx="3">
                  <c:v>0.25</c:v>
                </c:pt>
                <c:pt idx="4">
                  <c:v>0.30499999999999999</c:v>
                </c:pt>
                <c:pt idx="5">
                  <c:v>0.41</c:v>
                </c:pt>
                <c:pt idx="6">
                  <c:v>0.496</c:v>
                </c:pt>
                <c:pt idx="7">
                  <c:v>0.53200000000000003</c:v>
                </c:pt>
                <c:pt idx="8">
                  <c:v>0.86</c:v>
                </c:pt>
                <c:pt idx="9">
                  <c:v>0.78400000000000003</c:v>
                </c:pt>
                <c:pt idx="10">
                  <c:v>1.296</c:v>
                </c:pt>
                <c:pt idx="11">
                  <c:v>1.78</c:v>
                </c:pt>
                <c:pt idx="12">
                  <c:v>2.2000000000000002</c:v>
                </c:pt>
                <c:pt idx="13">
                  <c:v>3.1</c:v>
                </c:pt>
                <c:pt idx="14">
                  <c:v>3.65</c:v>
                </c:pt>
                <c:pt idx="15">
                  <c:v>4.09</c:v>
                </c:pt>
                <c:pt idx="16">
                  <c:v>4.63</c:v>
                </c:pt>
                <c:pt idx="17">
                  <c:v>5.56</c:v>
                </c:pt>
                <c:pt idx="18">
                  <c:v>5.41</c:v>
                </c:pt>
                <c:pt idx="19">
                  <c:v>5.52</c:v>
                </c:pt>
                <c:pt idx="20">
                  <c:v>5.75</c:v>
                </c:pt>
                <c:pt idx="21">
                  <c:v>5.88</c:v>
                </c:pt>
                <c:pt idx="22">
                  <c:v>5.78</c:v>
                </c:pt>
              </c:numCache>
            </c:numRef>
          </c:yVal>
          <c:smooth val="0"/>
          <c:extLst>
            <c:ext xmlns:c16="http://schemas.microsoft.com/office/drawing/2014/chart" uri="{C3380CC4-5D6E-409C-BE32-E72D297353CC}">
              <c16:uniqueId val="{00000000-CE38-456B-BF3C-689AFFE7D4D3}"/>
            </c:ext>
          </c:extLst>
        </c:ser>
        <c:dLbls>
          <c:showLegendKey val="0"/>
          <c:showVal val="0"/>
          <c:showCatName val="0"/>
          <c:showSerName val="0"/>
          <c:showPercent val="0"/>
          <c:showBubbleSize val="0"/>
        </c:dLbls>
        <c:axId val="2002988399"/>
        <c:axId val="404136815"/>
      </c:scatterChart>
      <c:valAx>
        <c:axId val="2002988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04136815"/>
        <c:crosses val="autoZero"/>
        <c:crossBetween val="midCat"/>
      </c:valAx>
      <c:valAx>
        <c:axId val="40413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OD600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00298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log"/>
            <c:dispRSqr val="0"/>
            <c:dispEq val="1"/>
            <c:trendlineLbl>
              <c:layout>
                <c:manualLayout>
                  <c:x val="-9.1781277340332465E-2"/>
                  <c:y val="7.090660542432196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power"/>
            <c:forward val="0.19000000000000003"/>
            <c:dispRSqr val="0"/>
            <c:dispEq val="0"/>
          </c:trendline>
          <c:xVal>
            <c:numRef>
              <c:f>Glukose!$C$5:$C$14</c:f>
              <c:numCache>
                <c:formatCode>0.00</c:formatCode>
                <c:ptCount val="10"/>
                <c:pt idx="0">
                  <c:v>0</c:v>
                </c:pt>
                <c:pt idx="1">
                  <c:v>0.59999999999999964</c:v>
                </c:pt>
                <c:pt idx="2">
                  <c:v>1.3499999999999996</c:v>
                </c:pt>
                <c:pt idx="3">
                  <c:v>2.0166666666666675</c:v>
                </c:pt>
                <c:pt idx="4">
                  <c:v>2.8333333333333339</c:v>
                </c:pt>
                <c:pt idx="5">
                  <c:v>3.1833333333333336</c:v>
                </c:pt>
                <c:pt idx="6">
                  <c:v>3.3499999999999996</c:v>
                </c:pt>
                <c:pt idx="7">
                  <c:v>3.5999999999999996</c:v>
                </c:pt>
                <c:pt idx="8">
                  <c:v>3.8833333333333329</c:v>
                </c:pt>
                <c:pt idx="9">
                  <c:v>4.1500000000000004</c:v>
                </c:pt>
              </c:numCache>
            </c:numRef>
          </c:xVal>
          <c:yVal>
            <c:numRef>
              <c:f>Glukose!$D$5:$D$14</c:f>
              <c:numCache>
                <c:formatCode>General</c:formatCode>
                <c:ptCount val="10"/>
                <c:pt idx="0">
                  <c:v>0.1933</c:v>
                </c:pt>
                <c:pt idx="1">
                  <c:v>0.254</c:v>
                </c:pt>
                <c:pt idx="2">
                  <c:v>0.31900000000000001</c:v>
                </c:pt>
                <c:pt idx="3">
                  <c:v>0.48299999999999998</c:v>
                </c:pt>
                <c:pt idx="4">
                  <c:v>1.1279999999999999</c:v>
                </c:pt>
                <c:pt idx="5">
                  <c:v>1.1652</c:v>
                </c:pt>
                <c:pt idx="6">
                  <c:v>1.736</c:v>
                </c:pt>
                <c:pt idx="7">
                  <c:v>2.3239999999999998</c:v>
                </c:pt>
                <c:pt idx="8">
                  <c:v>2.97</c:v>
                </c:pt>
                <c:pt idx="9">
                  <c:v>3.44</c:v>
                </c:pt>
              </c:numCache>
            </c:numRef>
          </c:yVal>
          <c:smooth val="0"/>
          <c:extLst>
            <c:ext xmlns:c16="http://schemas.microsoft.com/office/drawing/2014/chart" uri="{C3380CC4-5D6E-409C-BE32-E72D297353CC}">
              <c16:uniqueId val="{00000000-E3D7-4995-BEA6-2492526D0481}"/>
            </c:ext>
          </c:extLst>
        </c:ser>
        <c:dLbls>
          <c:showLegendKey val="0"/>
          <c:showVal val="0"/>
          <c:showCatName val="0"/>
          <c:showSerName val="0"/>
          <c:showPercent val="0"/>
          <c:showBubbleSize val="0"/>
        </c:dLbls>
        <c:axId val="1610169583"/>
        <c:axId val="1610188719"/>
      </c:scatterChart>
      <c:valAx>
        <c:axId val="1610169583"/>
        <c:scaling>
          <c:orientation val="minMax"/>
          <c:max val="4.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Time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10188719"/>
        <c:crosses val="autoZero"/>
        <c:crossBetween val="midCat"/>
      </c:valAx>
      <c:valAx>
        <c:axId val="1610188719"/>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OD</a:t>
                </a:r>
                <a:r>
                  <a:rPr lang="nb-NO" baseline="-25000"/>
                  <a:t>600</a:t>
                </a:r>
                <a:endParaRPr lang="nb-N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10169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errBars>
            <c:errDir val="y"/>
            <c:errBarType val="both"/>
            <c:errValType val="cust"/>
            <c:noEndCap val="0"/>
            <c:plus>
              <c:numRef>
                <c:f>Glukose!$I$36:$I$41</c:f>
                <c:numCache>
                  <c:formatCode>General</c:formatCode>
                  <c:ptCount val="6"/>
                  <c:pt idx="0">
                    <c:v>3.3298586155988692E-2</c:v>
                  </c:pt>
                  <c:pt idx="1">
                    <c:v>4.504015912498037E-2</c:v>
                  </c:pt>
                  <c:pt idx="2">
                    <c:v>6.5267850384566437E-2</c:v>
                  </c:pt>
                  <c:pt idx="3">
                    <c:v>4.1478228721757215E-2</c:v>
                  </c:pt>
                  <c:pt idx="4">
                    <c:v>6.6777359201225586E-2</c:v>
                  </c:pt>
                  <c:pt idx="5">
                    <c:v>2.5514216734056603E-2</c:v>
                  </c:pt>
                </c:numCache>
              </c:numRef>
            </c:plus>
            <c:minus>
              <c:numRef>
                <c:f>Glukose!$I$36:$I$41</c:f>
                <c:numCache>
                  <c:formatCode>General</c:formatCode>
                  <c:ptCount val="6"/>
                  <c:pt idx="0">
                    <c:v>3.3298586155988692E-2</c:v>
                  </c:pt>
                  <c:pt idx="1">
                    <c:v>4.504015912498037E-2</c:v>
                  </c:pt>
                  <c:pt idx="2">
                    <c:v>6.5267850384566437E-2</c:v>
                  </c:pt>
                  <c:pt idx="3">
                    <c:v>4.1478228721757215E-2</c:v>
                  </c:pt>
                  <c:pt idx="4">
                    <c:v>6.6777359201225586E-2</c:v>
                  </c:pt>
                  <c:pt idx="5">
                    <c:v>2.5514216734056603E-2</c:v>
                  </c:pt>
                </c:numCache>
              </c:numRef>
            </c:minus>
            <c:spPr>
              <a:noFill/>
              <a:ln w="9525" cap="flat" cmpd="sng" algn="ctr">
                <a:solidFill>
                  <a:schemeClr val="tx1">
                    <a:lumMod val="65000"/>
                    <a:lumOff val="35000"/>
                  </a:schemeClr>
                </a:solidFill>
                <a:round/>
              </a:ln>
              <a:effectLst/>
            </c:spPr>
          </c:errBars>
          <c:xVal>
            <c:numRef>
              <c:f>Glukose!$A$36:$A$41</c:f>
              <c:numCache>
                <c:formatCode>0.00</c:formatCode>
                <c:ptCount val="6"/>
                <c:pt idx="0">
                  <c:v>2.8333333333333335</c:v>
                </c:pt>
                <c:pt idx="1">
                  <c:v>3.1833333333333331</c:v>
                </c:pt>
                <c:pt idx="2">
                  <c:v>3.35</c:v>
                </c:pt>
                <c:pt idx="3">
                  <c:v>3.6</c:v>
                </c:pt>
                <c:pt idx="4">
                  <c:v>3.8833333333333333</c:v>
                </c:pt>
                <c:pt idx="5">
                  <c:v>4.1500000000000004</c:v>
                </c:pt>
              </c:numCache>
            </c:numRef>
          </c:xVal>
          <c:yVal>
            <c:numRef>
              <c:f>Glukose!$H$36:$H$41</c:f>
              <c:numCache>
                <c:formatCode>0.0000</c:formatCode>
                <c:ptCount val="6"/>
                <c:pt idx="0">
                  <c:v>2.1718681004730015E-2</c:v>
                </c:pt>
                <c:pt idx="1">
                  <c:v>0.11241718299260477</c:v>
                </c:pt>
                <c:pt idx="2">
                  <c:v>0.25111160656179426</c:v>
                </c:pt>
                <c:pt idx="3">
                  <c:v>0.31605644680590983</c:v>
                </c:pt>
                <c:pt idx="4">
                  <c:v>0.36713616947213179</c:v>
                </c:pt>
                <c:pt idx="5">
                  <c:v>0.49919307355623871</c:v>
                </c:pt>
              </c:numCache>
            </c:numRef>
          </c:yVal>
          <c:smooth val="0"/>
          <c:extLst>
            <c:ext xmlns:c16="http://schemas.microsoft.com/office/drawing/2014/chart" uri="{C3380CC4-5D6E-409C-BE32-E72D297353CC}">
              <c16:uniqueId val="{00000000-A825-448C-9ED9-526B9F9B9295}"/>
            </c:ext>
          </c:extLst>
        </c:ser>
        <c:dLbls>
          <c:showLegendKey val="0"/>
          <c:showVal val="0"/>
          <c:showCatName val="0"/>
          <c:showSerName val="0"/>
          <c:showPercent val="0"/>
          <c:showBubbleSize val="0"/>
        </c:dLbls>
        <c:axId val="1275384432"/>
        <c:axId val="1079240304"/>
      </c:scatterChart>
      <c:valAx>
        <c:axId val="12753844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79240304"/>
        <c:crosses val="autoZero"/>
        <c:crossBetween val="midCat"/>
      </c:valAx>
      <c:valAx>
        <c:axId val="107924030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75384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Glycerol!$C$6:$C$19</c:f>
              <c:numCache>
                <c:formatCode>0.00</c:formatCode>
                <c:ptCount val="14"/>
                <c:pt idx="0">
                  <c:v>8.3333333333333925E-2</c:v>
                </c:pt>
                <c:pt idx="1">
                  <c:v>1.0833333333333339</c:v>
                </c:pt>
                <c:pt idx="2">
                  <c:v>2.0500000000000007</c:v>
                </c:pt>
                <c:pt idx="3">
                  <c:v>3.0500000000000007</c:v>
                </c:pt>
                <c:pt idx="4">
                  <c:v>4.0500000000000007</c:v>
                </c:pt>
                <c:pt idx="5">
                  <c:v>4.5500000000000007</c:v>
                </c:pt>
                <c:pt idx="6">
                  <c:v>5.0500000000000007</c:v>
                </c:pt>
                <c:pt idx="7">
                  <c:v>6.0500000000000007</c:v>
                </c:pt>
                <c:pt idx="8">
                  <c:v>6.5500000000000007</c:v>
                </c:pt>
                <c:pt idx="9">
                  <c:v>6.8000000000000007</c:v>
                </c:pt>
                <c:pt idx="10">
                  <c:v>7.0500000000000007</c:v>
                </c:pt>
                <c:pt idx="11">
                  <c:v>7.3000000000000007</c:v>
                </c:pt>
                <c:pt idx="12">
                  <c:v>7.5500000000000007</c:v>
                </c:pt>
                <c:pt idx="13">
                  <c:v>7.8000000000000007</c:v>
                </c:pt>
              </c:numCache>
            </c:numRef>
          </c:xVal>
          <c:yVal>
            <c:numRef>
              <c:f>Glycerol!$D$6:$D$19</c:f>
              <c:numCache>
                <c:formatCode>General</c:formatCode>
                <c:ptCount val="14"/>
                <c:pt idx="0">
                  <c:v>2.5000000000000001E-2</c:v>
                </c:pt>
                <c:pt idx="1">
                  <c:v>2.8000000000000001E-2</c:v>
                </c:pt>
                <c:pt idx="2">
                  <c:v>3.5999999999999997E-2</c:v>
                </c:pt>
                <c:pt idx="3">
                  <c:v>5.7000000000000002E-2</c:v>
                </c:pt>
                <c:pt idx="4">
                  <c:v>0.122</c:v>
                </c:pt>
                <c:pt idx="5">
                  <c:v>0.17</c:v>
                </c:pt>
                <c:pt idx="6">
                  <c:v>0.26700000000000002</c:v>
                </c:pt>
                <c:pt idx="7">
                  <c:v>0.627</c:v>
                </c:pt>
                <c:pt idx="8">
                  <c:v>1.1080000000000001</c:v>
                </c:pt>
                <c:pt idx="9">
                  <c:v>1.296</c:v>
                </c:pt>
                <c:pt idx="10">
                  <c:v>1.5680000000000001</c:v>
                </c:pt>
                <c:pt idx="11">
                  <c:v>2.19</c:v>
                </c:pt>
                <c:pt idx="12">
                  <c:v>2.5299999999999998</c:v>
                </c:pt>
                <c:pt idx="13">
                  <c:v>3.4</c:v>
                </c:pt>
              </c:numCache>
            </c:numRef>
          </c:yVal>
          <c:smooth val="0"/>
          <c:extLst>
            <c:ext xmlns:c16="http://schemas.microsoft.com/office/drawing/2014/chart" uri="{C3380CC4-5D6E-409C-BE32-E72D297353CC}">
              <c16:uniqueId val="{00000000-19E7-4CF7-A732-3D6B8AB720C1}"/>
            </c:ext>
          </c:extLst>
        </c:ser>
        <c:dLbls>
          <c:showLegendKey val="0"/>
          <c:showVal val="0"/>
          <c:showCatName val="0"/>
          <c:showSerName val="0"/>
          <c:showPercent val="0"/>
          <c:showBubbleSize val="0"/>
        </c:dLbls>
        <c:axId val="223437120"/>
        <c:axId val="668159680"/>
      </c:scatterChart>
      <c:valAx>
        <c:axId val="2234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68159680"/>
        <c:crosses val="autoZero"/>
        <c:crossBetween val="midCat"/>
      </c:valAx>
      <c:valAx>
        <c:axId val="66815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OD</a:t>
                </a:r>
                <a:r>
                  <a:rPr lang="nb-NO" baseline="-25000"/>
                  <a:t>600</a:t>
                </a:r>
                <a:endParaRPr lang="nb-N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2343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7532808398950125E-3"/>
                  <c:y val="-9.731991834354039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errBars>
            <c:errDir val="y"/>
            <c:errBarType val="both"/>
            <c:errValType val="cust"/>
            <c:noEndCap val="0"/>
            <c:plus>
              <c:numRef>
                <c:f>Glycerol!$J$35:$J$41</c:f>
                <c:numCache>
                  <c:formatCode>General</c:formatCode>
                  <c:ptCount val="7"/>
                  <c:pt idx="0">
                    <c:v>1.5589946639786077E-2</c:v>
                  </c:pt>
                  <c:pt idx="1">
                    <c:v>3.7143963056622702E-2</c:v>
                  </c:pt>
                  <c:pt idx="2">
                    <c:v>9.3001177236587892E-2</c:v>
                  </c:pt>
                  <c:pt idx="3">
                    <c:v>6.2606244387316573E-2</c:v>
                  </c:pt>
                  <c:pt idx="4">
                    <c:v>4.4555427713229387E-2</c:v>
                  </c:pt>
                  <c:pt idx="5">
                    <c:v>3.3773370606977285E-2</c:v>
                  </c:pt>
                  <c:pt idx="6">
                    <c:v>2.1169090071676201E-2</c:v>
                  </c:pt>
                </c:numCache>
              </c:numRef>
            </c:plus>
            <c:minus>
              <c:numRef>
                <c:f>Glycerol!$J$35:$J$41</c:f>
                <c:numCache>
                  <c:formatCode>General</c:formatCode>
                  <c:ptCount val="7"/>
                  <c:pt idx="0">
                    <c:v>1.5589946639786077E-2</c:v>
                  </c:pt>
                  <c:pt idx="1">
                    <c:v>3.7143963056622702E-2</c:v>
                  </c:pt>
                  <c:pt idx="2">
                    <c:v>9.3001177236587892E-2</c:v>
                  </c:pt>
                  <c:pt idx="3">
                    <c:v>6.2606244387316573E-2</c:v>
                  </c:pt>
                  <c:pt idx="4">
                    <c:v>4.4555427713229387E-2</c:v>
                  </c:pt>
                  <c:pt idx="5">
                    <c:v>3.3773370606977285E-2</c:v>
                  </c:pt>
                  <c:pt idx="6">
                    <c:v>2.1169090071676201E-2</c:v>
                  </c:pt>
                </c:numCache>
              </c:numRef>
            </c:minus>
            <c:spPr>
              <a:noFill/>
              <a:ln w="9525" cap="flat" cmpd="sng" algn="ctr">
                <a:solidFill>
                  <a:schemeClr val="tx1">
                    <a:lumMod val="65000"/>
                    <a:lumOff val="35000"/>
                  </a:schemeClr>
                </a:solidFill>
                <a:round/>
              </a:ln>
              <a:effectLst/>
            </c:spPr>
          </c:errBars>
          <c:xVal>
            <c:numRef>
              <c:f>Glycerol!$A$35:$A$41</c:f>
              <c:numCache>
                <c:formatCode>0.00</c:formatCode>
                <c:ptCount val="7"/>
                <c:pt idx="0">
                  <c:v>6.05</c:v>
                </c:pt>
                <c:pt idx="1">
                  <c:v>6.55</c:v>
                </c:pt>
                <c:pt idx="2">
                  <c:v>6.8</c:v>
                </c:pt>
                <c:pt idx="3">
                  <c:v>7.05</c:v>
                </c:pt>
                <c:pt idx="4">
                  <c:v>7.3</c:v>
                </c:pt>
                <c:pt idx="5">
                  <c:v>7.55</c:v>
                </c:pt>
                <c:pt idx="6">
                  <c:v>7.8</c:v>
                </c:pt>
              </c:numCache>
            </c:numRef>
          </c:xVal>
          <c:yVal>
            <c:numRef>
              <c:f>Glycerol!$I$35:$I$41</c:f>
              <c:numCache>
                <c:formatCode>0.000</c:formatCode>
                <c:ptCount val="7"/>
                <c:pt idx="0">
                  <c:v>-0.37350472546540053</c:v>
                </c:pt>
                <c:pt idx="1">
                  <c:v>-0.13380251388833078</c:v>
                </c:pt>
                <c:pt idx="2">
                  <c:v>7.1537358072416721E-2</c:v>
                </c:pt>
                <c:pt idx="3">
                  <c:v>-3.1434466096280055E-2</c:v>
                </c:pt>
                <c:pt idx="4">
                  <c:v>6.6637691270994073E-2</c:v>
                </c:pt>
                <c:pt idx="5">
                  <c:v>4.7060006473816418E-2</c:v>
                </c:pt>
                <c:pt idx="6">
                  <c:v>0.26760856691128149</c:v>
                </c:pt>
              </c:numCache>
            </c:numRef>
          </c:yVal>
          <c:smooth val="0"/>
          <c:extLst>
            <c:ext xmlns:c16="http://schemas.microsoft.com/office/drawing/2014/chart" uri="{C3380CC4-5D6E-409C-BE32-E72D297353CC}">
              <c16:uniqueId val="{00000000-F4C1-42CB-BDBF-8850881BE95E}"/>
            </c:ext>
          </c:extLst>
        </c:ser>
        <c:dLbls>
          <c:showLegendKey val="0"/>
          <c:showVal val="0"/>
          <c:showCatName val="0"/>
          <c:showSerName val="0"/>
          <c:showPercent val="0"/>
          <c:showBubbleSize val="0"/>
        </c:dLbls>
        <c:axId val="264541248"/>
        <c:axId val="264516288"/>
      </c:scatterChart>
      <c:valAx>
        <c:axId val="264541248"/>
        <c:scaling>
          <c:orientation val="minMax"/>
          <c:min val="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Time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64516288"/>
        <c:crosses val="autoZero"/>
        <c:crossBetween val="midCat"/>
      </c:valAx>
      <c:valAx>
        <c:axId val="26451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Log(mgDW)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64541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Dryweight /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1899781277340332"/>
                  <c:y val="-8.869203849518810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errBars>
            <c:errDir val="y"/>
            <c:errBarType val="both"/>
            <c:errValType val="cust"/>
            <c:noEndCap val="0"/>
            <c:plus>
              <c:numRef>
                <c:f>Xylose!$I$34:$I$40</c:f>
                <c:numCache>
                  <c:formatCode>General</c:formatCode>
                  <c:ptCount val="7"/>
                  <c:pt idx="0">
                    <c:v>0.17018059221800677</c:v>
                  </c:pt>
                  <c:pt idx="1">
                    <c:v>8.9029483430699066E-3</c:v>
                  </c:pt>
                  <c:pt idx="2">
                    <c:v>7.0203097918546314E-2</c:v>
                  </c:pt>
                  <c:pt idx="3">
                    <c:v>2.5410079918938643E-2</c:v>
                  </c:pt>
                  <c:pt idx="4">
                    <c:v>2.4642670523330554E-2</c:v>
                  </c:pt>
                  <c:pt idx="5">
                    <c:v>5.1231396510526238E-2</c:v>
                  </c:pt>
                  <c:pt idx="6">
                    <c:v>3.2963072350599816E-2</c:v>
                  </c:pt>
                </c:numCache>
              </c:numRef>
            </c:plus>
            <c:minus>
              <c:numRef>
                <c:f>Xylose!$I$34:$I$40</c:f>
                <c:numCache>
                  <c:formatCode>General</c:formatCode>
                  <c:ptCount val="7"/>
                  <c:pt idx="0">
                    <c:v>0.17018059221800677</c:v>
                  </c:pt>
                  <c:pt idx="1">
                    <c:v>8.9029483430699066E-3</c:v>
                  </c:pt>
                  <c:pt idx="2">
                    <c:v>7.0203097918546314E-2</c:v>
                  </c:pt>
                  <c:pt idx="3">
                    <c:v>2.5410079918938643E-2</c:v>
                  </c:pt>
                  <c:pt idx="4">
                    <c:v>2.4642670523330554E-2</c:v>
                  </c:pt>
                  <c:pt idx="5">
                    <c:v>5.1231396510526238E-2</c:v>
                  </c:pt>
                  <c:pt idx="6">
                    <c:v>3.2963072350599816E-2</c:v>
                  </c:pt>
                </c:numCache>
              </c:numRef>
            </c:minus>
            <c:spPr>
              <a:noFill/>
              <a:ln w="9525" cap="flat" cmpd="sng" algn="ctr">
                <a:solidFill>
                  <a:schemeClr val="tx1">
                    <a:lumMod val="65000"/>
                    <a:lumOff val="35000"/>
                  </a:schemeClr>
                </a:solidFill>
                <a:round/>
              </a:ln>
              <a:effectLst/>
            </c:spPr>
          </c:errBars>
          <c:xVal>
            <c:numRef>
              <c:f>Xylose!$A$34:$A$40</c:f>
              <c:numCache>
                <c:formatCode>0.00</c:formatCode>
                <c:ptCount val="7"/>
                <c:pt idx="0">
                  <c:v>2.9666666666666668</c:v>
                </c:pt>
                <c:pt idx="1">
                  <c:v>4.9666666666666668</c:v>
                </c:pt>
                <c:pt idx="2">
                  <c:v>5.9666666666666668</c:v>
                </c:pt>
                <c:pt idx="3">
                  <c:v>6.9666666666666668</c:v>
                </c:pt>
                <c:pt idx="4">
                  <c:v>7.4666666666666668</c:v>
                </c:pt>
                <c:pt idx="5">
                  <c:v>7.7166666666666668</c:v>
                </c:pt>
                <c:pt idx="6" formatCode="General">
                  <c:v>8.0500000000000007</c:v>
                </c:pt>
              </c:numCache>
            </c:numRef>
          </c:xVal>
          <c:yVal>
            <c:numRef>
              <c:f>Xylose!$H$34:$H$40</c:f>
              <c:numCache>
                <c:formatCode>0.0000</c:formatCode>
                <c:ptCount val="7"/>
                <c:pt idx="0">
                  <c:v>-0.37682106917942521</c:v>
                </c:pt>
                <c:pt idx="1">
                  <c:v>-7.0641668378820729E-2</c:v>
                </c:pt>
                <c:pt idx="2">
                  <c:v>4.0133392886772153E-2</c:v>
                </c:pt>
                <c:pt idx="3">
                  <c:v>-1.8221460837178644E-2</c:v>
                </c:pt>
                <c:pt idx="4">
                  <c:v>0.15486720299012022</c:v>
                </c:pt>
                <c:pt idx="5">
                  <c:v>8.9070231927119034E-2</c:v>
                </c:pt>
                <c:pt idx="6">
                  <c:v>0.10181660901139905</c:v>
                </c:pt>
              </c:numCache>
            </c:numRef>
          </c:yVal>
          <c:smooth val="0"/>
          <c:extLst>
            <c:ext xmlns:c16="http://schemas.microsoft.com/office/drawing/2014/chart" uri="{C3380CC4-5D6E-409C-BE32-E72D297353CC}">
              <c16:uniqueId val="{00000000-95D8-4F37-83DE-A17520891BFD}"/>
            </c:ext>
          </c:extLst>
        </c:ser>
        <c:dLbls>
          <c:showLegendKey val="0"/>
          <c:showVal val="0"/>
          <c:showCatName val="0"/>
          <c:showSerName val="0"/>
          <c:showPercent val="0"/>
          <c:showBubbleSize val="0"/>
        </c:dLbls>
        <c:axId val="1984359888"/>
        <c:axId val="1984346992"/>
      </c:scatterChart>
      <c:valAx>
        <c:axId val="1984359888"/>
        <c:scaling>
          <c:orientation val="minMax"/>
          <c:min val="2.9499999999999997"/>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Time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984346992"/>
        <c:crosses val="autoZero"/>
        <c:crossBetween val="midCat"/>
      </c:valAx>
      <c:valAx>
        <c:axId val="1984346992"/>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Log(CDW(mg))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984359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OD/time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Xylose!$C$5:$C$19</c:f>
              <c:numCache>
                <c:formatCode>0.00</c:formatCode>
                <c:ptCount val="15"/>
                <c:pt idx="0">
                  <c:v>0</c:v>
                </c:pt>
                <c:pt idx="1">
                  <c:v>1</c:v>
                </c:pt>
                <c:pt idx="2">
                  <c:v>1.9666666666666668</c:v>
                </c:pt>
                <c:pt idx="3">
                  <c:v>2.9666666666666668</c:v>
                </c:pt>
                <c:pt idx="4">
                  <c:v>3.9666666666666668</c:v>
                </c:pt>
                <c:pt idx="5">
                  <c:v>4.4666666666666668</c:v>
                </c:pt>
                <c:pt idx="6">
                  <c:v>4.9666666666666668</c:v>
                </c:pt>
                <c:pt idx="7">
                  <c:v>5.4666666666666668</c:v>
                </c:pt>
                <c:pt idx="8">
                  <c:v>5.9666666666666668</c:v>
                </c:pt>
                <c:pt idx="9">
                  <c:v>6.4666666666666668</c:v>
                </c:pt>
                <c:pt idx="10">
                  <c:v>6.9666666666666668</c:v>
                </c:pt>
                <c:pt idx="11">
                  <c:v>7.4666666666666668</c:v>
                </c:pt>
                <c:pt idx="12">
                  <c:v>7.7166666666666668</c:v>
                </c:pt>
                <c:pt idx="13">
                  <c:v>8.0499999999999989</c:v>
                </c:pt>
                <c:pt idx="14">
                  <c:v>8.3833333333333346</c:v>
                </c:pt>
              </c:numCache>
            </c:numRef>
          </c:xVal>
          <c:yVal>
            <c:numRef>
              <c:f>Xylose!$D$5:$D$19</c:f>
              <c:numCache>
                <c:formatCode>General</c:formatCode>
                <c:ptCount val="15"/>
                <c:pt idx="0">
                  <c:v>0.10199999999999999</c:v>
                </c:pt>
                <c:pt idx="1">
                  <c:v>0.11600000000000001</c:v>
                </c:pt>
                <c:pt idx="2">
                  <c:v>0.18099999999999999</c:v>
                </c:pt>
                <c:pt idx="3">
                  <c:v>0.28000000000000003</c:v>
                </c:pt>
                <c:pt idx="4">
                  <c:v>0.52200000000000002</c:v>
                </c:pt>
                <c:pt idx="5">
                  <c:v>0.61699999999999999</c:v>
                </c:pt>
                <c:pt idx="6">
                  <c:v>0.81399999999999995</c:v>
                </c:pt>
                <c:pt idx="7">
                  <c:v>1.2</c:v>
                </c:pt>
                <c:pt idx="8">
                  <c:v>1.23</c:v>
                </c:pt>
                <c:pt idx="9">
                  <c:v>1.456</c:v>
                </c:pt>
                <c:pt idx="10">
                  <c:v>1.716</c:v>
                </c:pt>
                <c:pt idx="11">
                  <c:v>2.1800000000000002</c:v>
                </c:pt>
                <c:pt idx="12">
                  <c:v>2.35</c:v>
                </c:pt>
                <c:pt idx="13">
                  <c:v>2.7</c:v>
                </c:pt>
                <c:pt idx="14">
                  <c:v>3</c:v>
                </c:pt>
              </c:numCache>
            </c:numRef>
          </c:yVal>
          <c:smooth val="0"/>
          <c:extLst>
            <c:ext xmlns:c16="http://schemas.microsoft.com/office/drawing/2014/chart" uri="{C3380CC4-5D6E-409C-BE32-E72D297353CC}">
              <c16:uniqueId val="{00000000-5CC5-42BE-BD1B-E07B53797FEA}"/>
            </c:ext>
          </c:extLst>
        </c:ser>
        <c:dLbls>
          <c:showLegendKey val="0"/>
          <c:showVal val="0"/>
          <c:showCatName val="0"/>
          <c:showSerName val="0"/>
          <c:showPercent val="0"/>
          <c:showBubbleSize val="0"/>
        </c:dLbls>
        <c:axId val="557410143"/>
        <c:axId val="557407647"/>
      </c:scatterChart>
      <c:valAx>
        <c:axId val="55741014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557407647"/>
        <c:crosses val="autoZero"/>
        <c:crossBetween val="midCat"/>
      </c:valAx>
      <c:valAx>
        <c:axId val="55740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557410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3.5664916885389329E-2"/>
                  <c:y val="-5.652267424905220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errBars>
            <c:errDir val="y"/>
            <c:errBarType val="both"/>
            <c:errValType val="cust"/>
            <c:noEndCap val="0"/>
            <c:plus>
              <c:numRef>
                <c:f>Mannitol!$J$33:$J$38</c:f>
                <c:numCache>
                  <c:formatCode>General</c:formatCode>
                  <c:ptCount val="6"/>
                  <c:pt idx="0">
                    <c:v>1.2656952279451151E-2</c:v>
                  </c:pt>
                  <c:pt idx="1">
                    <c:v>6.5557669107806041E-2</c:v>
                  </c:pt>
                  <c:pt idx="2">
                    <c:v>1.7390460845282167E-2</c:v>
                  </c:pt>
                  <c:pt idx="3">
                    <c:v>3.170384556894084E-2</c:v>
                  </c:pt>
                  <c:pt idx="4">
                    <c:v>2.3224902806611967E-2</c:v>
                  </c:pt>
                  <c:pt idx="5">
                    <c:v>1.395011056681286E-2</c:v>
                  </c:pt>
                </c:numCache>
              </c:numRef>
            </c:plus>
            <c:minus>
              <c:numRef>
                <c:f>Mannitol!$J$33:$J$38</c:f>
                <c:numCache>
                  <c:formatCode>General</c:formatCode>
                  <c:ptCount val="6"/>
                  <c:pt idx="0">
                    <c:v>1.2656952279451151E-2</c:v>
                  </c:pt>
                  <c:pt idx="1">
                    <c:v>6.5557669107806041E-2</c:v>
                  </c:pt>
                  <c:pt idx="2">
                    <c:v>1.7390460845282167E-2</c:v>
                  </c:pt>
                  <c:pt idx="3">
                    <c:v>3.170384556894084E-2</c:v>
                  </c:pt>
                  <c:pt idx="4">
                    <c:v>2.3224902806611967E-2</c:v>
                  </c:pt>
                  <c:pt idx="5">
                    <c:v>1.395011056681286E-2</c:v>
                  </c:pt>
                </c:numCache>
              </c:numRef>
            </c:minus>
            <c:spPr>
              <a:noFill/>
              <a:ln w="9525" cap="flat" cmpd="sng" algn="ctr">
                <a:solidFill>
                  <a:schemeClr val="tx1">
                    <a:lumMod val="65000"/>
                    <a:lumOff val="35000"/>
                  </a:schemeClr>
                </a:solidFill>
                <a:round/>
              </a:ln>
              <a:effectLst/>
            </c:spPr>
          </c:errBars>
          <c:xVal>
            <c:numRef>
              <c:f>Mannitol!$A$34:$A$38</c:f>
              <c:numCache>
                <c:formatCode>0.00</c:formatCode>
                <c:ptCount val="5"/>
                <c:pt idx="0">
                  <c:v>3.25</c:v>
                </c:pt>
                <c:pt idx="1">
                  <c:v>3.5</c:v>
                </c:pt>
                <c:pt idx="2">
                  <c:v>3.7833333333333332</c:v>
                </c:pt>
                <c:pt idx="3">
                  <c:v>4.0500000000000007</c:v>
                </c:pt>
                <c:pt idx="4">
                  <c:v>4.25</c:v>
                </c:pt>
              </c:numCache>
            </c:numRef>
          </c:xVal>
          <c:yVal>
            <c:numRef>
              <c:f>Mannitol!$I$34:$I$38</c:f>
              <c:numCache>
                <c:formatCode>0.0000</c:formatCode>
                <c:ptCount val="5"/>
                <c:pt idx="0">
                  <c:v>0.10737333869244876</c:v>
                </c:pt>
                <c:pt idx="1">
                  <c:v>0.2101754391702452</c:v>
                </c:pt>
                <c:pt idx="2">
                  <c:v>0.39833628356468997</c:v>
                </c:pt>
                <c:pt idx="3">
                  <c:v>0.42063947736429713</c:v>
                </c:pt>
                <c:pt idx="4">
                  <c:v>0.52446362192465557</c:v>
                </c:pt>
              </c:numCache>
            </c:numRef>
          </c:yVal>
          <c:smooth val="0"/>
          <c:extLst>
            <c:ext xmlns:c16="http://schemas.microsoft.com/office/drawing/2014/chart" uri="{C3380CC4-5D6E-409C-BE32-E72D297353CC}">
              <c16:uniqueId val="{00000000-8B62-402E-ADFF-1695F320D44E}"/>
            </c:ext>
          </c:extLst>
        </c:ser>
        <c:dLbls>
          <c:showLegendKey val="0"/>
          <c:showVal val="0"/>
          <c:showCatName val="0"/>
          <c:showSerName val="0"/>
          <c:showPercent val="0"/>
          <c:showBubbleSize val="0"/>
        </c:dLbls>
        <c:axId val="83961040"/>
        <c:axId val="83941904"/>
      </c:scatterChart>
      <c:valAx>
        <c:axId val="83961040"/>
        <c:scaling>
          <c:orientation val="minMax"/>
          <c:min val="2.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Time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3941904"/>
        <c:crosses val="autoZero"/>
        <c:crossBetween val="midCat"/>
      </c:valAx>
      <c:valAx>
        <c:axId val="8394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Log(CDW(mg))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3961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Mannitol!$C$6:$C$15</c:f>
              <c:numCache>
                <c:formatCode>0.00</c:formatCode>
                <c:ptCount val="10"/>
                <c:pt idx="0">
                  <c:v>0.5</c:v>
                </c:pt>
                <c:pt idx="1">
                  <c:v>1.25</c:v>
                </c:pt>
                <c:pt idx="2">
                  <c:v>1.9166666666666679</c:v>
                </c:pt>
                <c:pt idx="3">
                  <c:v>2.7333333333333343</c:v>
                </c:pt>
                <c:pt idx="4">
                  <c:v>3.0833333333333339</c:v>
                </c:pt>
                <c:pt idx="5">
                  <c:v>3.25</c:v>
                </c:pt>
                <c:pt idx="6">
                  <c:v>3.5</c:v>
                </c:pt>
                <c:pt idx="7">
                  <c:v>3.7833333333333332</c:v>
                </c:pt>
                <c:pt idx="8">
                  <c:v>4.0500000000000007</c:v>
                </c:pt>
                <c:pt idx="9">
                  <c:v>4.25</c:v>
                </c:pt>
              </c:numCache>
            </c:numRef>
          </c:xVal>
          <c:yVal>
            <c:numRef>
              <c:f>Mannitol!$D$6:$D$15</c:f>
              <c:numCache>
                <c:formatCode>General</c:formatCode>
                <c:ptCount val="10"/>
                <c:pt idx="0">
                  <c:v>0.28399999999999997</c:v>
                </c:pt>
                <c:pt idx="1">
                  <c:v>0.34</c:v>
                </c:pt>
                <c:pt idx="2">
                  <c:v>0.46700000000000003</c:v>
                </c:pt>
                <c:pt idx="3">
                  <c:v>0.90200000000000002</c:v>
                </c:pt>
                <c:pt idx="4">
                  <c:v>1.284</c:v>
                </c:pt>
                <c:pt idx="5">
                  <c:v>1.4359999999999999</c:v>
                </c:pt>
                <c:pt idx="6">
                  <c:v>1.72</c:v>
                </c:pt>
                <c:pt idx="7">
                  <c:v>2.4700000000000002</c:v>
                </c:pt>
                <c:pt idx="8">
                  <c:v>3.16</c:v>
                </c:pt>
                <c:pt idx="9">
                  <c:v>3.7</c:v>
                </c:pt>
              </c:numCache>
            </c:numRef>
          </c:yVal>
          <c:smooth val="0"/>
          <c:extLst>
            <c:ext xmlns:c16="http://schemas.microsoft.com/office/drawing/2014/chart" uri="{C3380CC4-5D6E-409C-BE32-E72D297353CC}">
              <c16:uniqueId val="{00000000-EE6B-4511-8AC2-CED6D1AF3CF2}"/>
            </c:ext>
          </c:extLst>
        </c:ser>
        <c:dLbls>
          <c:showLegendKey val="0"/>
          <c:showVal val="0"/>
          <c:showCatName val="0"/>
          <c:showSerName val="0"/>
          <c:showPercent val="0"/>
          <c:showBubbleSize val="0"/>
        </c:dLbls>
        <c:axId val="23988832"/>
        <c:axId val="23988416"/>
      </c:scatterChart>
      <c:valAx>
        <c:axId val="23988832"/>
        <c:scaling>
          <c:orientation val="minMax"/>
          <c:min val="0.4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Time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3988416"/>
        <c:crosses val="autoZero"/>
        <c:crossBetween val="midCat"/>
      </c:valAx>
      <c:valAx>
        <c:axId val="2398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t>OD</a:t>
                </a:r>
                <a:r>
                  <a:rPr lang="nb-NO" baseline="-25000"/>
                  <a:t>600</a:t>
                </a:r>
                <a:endParaRPr lang="nb-N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3988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9524</xdr:colOff>
      <xdr:row>24</xdr:row>
      <xdr:rowOff>19050</xdr:rowOff>
    </xdr:from>
    <xdr:to>
      <xdr:col>11</xdr:col>
      <xdr:colOff>114299</xdr:colOff>
      <xdr:row>42</xdr:row>
      <xdr:rowOff>185737</xdr:rowOff>
    </xdr:to>
    <xdr:graphicFrame macro="">
      <xdr:nvGraphicFramePr>
        <xdr:cNvPr id="5" name="Diagram 1">
          <a:extLst>
            <a:ext uri="{FF2B5EF4-FFF2-40B4-BE49-F238E27FC236}">
              <a16:creationId xmlns:a16="http://schemas.microsoft.com/office/drawing/2014/main" id="{559B28F9-4920-3FEB-A0C8-F3F0827D2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742950</xdr:colOff>
      <xdr:row>1</xdr:row>
      <xdr:rowOff>157162</xdr:rowOff>
    </xdr:from>
    <xdr:to>
      <xdr:col>17</xdr:col>
      <xdr:colOff>742950</xdr:colOff>
      <xdr:row>14</xdr:row>
      <xdr:rowOff>42862</xdr:rowOff>
    </xdr:to>
    <xdr:graphicFrame macro="">
      <xdr:nvGraphicFramePr>
        <xdr:cNvPr id="2" name="Diagram 1">
          <a:extLst>
            <a:ext uri="{FF2B5EF4-FFF2-40B4-BE49-F238E27FC236}">
              <a16:creationId xmlns:a16="http://schemas.microsoft.com/office/drawing/2014/main" id="{A9A5951C-3672-1F8F-DEAC-D473BD7EF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14108</xdr:colOff>
      <xdr:row>34</xdr:row>
      <xdr:rowOff>12231</xdr:rowOff>
    </xdr:from>
    <xdr:to>
      <xdr:col>16</xdr:col>
      <xdr:colOff>18114</xdr:colOff>
      <xdr:row>48</xdr:row>
      <xdr:rowOff>117739</xdr:rowOff>
    </xdr:to>
    <xdr:graphicFrame macro="">
      <xdr:nvGraphicFramePr>
        <xdr:cNvPr id="3" name="Chart 2">
          <a:extLst>
            <a:ext uri="{FF2B5EF4-FFF2-40B4-BE49-F238E27FC236}">
              <a16:creationId xmlns:a16="http://schemas.microsoft.com/office/drawing/2014/main" id="{97CC0E9A-DA00-A747-4F6D-EACF73AC8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142875</xdr:colOff>
      <xdr:row>3</xdr:row>
      <xdr:rowOff>4762</xdr:rowOff>
    </xdr:from>
    <xdr:to>
      <xdr:col>19</xdr:col>
      <xdr:colOff>142875</xdr:colOff>
      <xdr:row>15</xdr:row>
      <xdr:rowOff>80962</xdr:rowOff>
    </xdr:to>
    <xdr:graphicFrame macro="">
      <xdr:nvGraphicFramePr>
        <xdr:cNvPr id="2" name="Diagram 1">
          <a:extLst>
            <a:ext uri="{FF2B5EF4-FFF2-40B4-BE49-F238E27FC236}">
              <a16:creationId xmlns:a16="http://schemas.microsoft.com/office/drawing/2014/main" id="{C17F3574-3801-DE00-B602-F475394E1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204787</xdr:colOff>
      <xdr:row>16</xdr:row>
      <xdr:rowOff>52387</xdr:rowOff>
    </xdr:from>
    <xdr:to>
      <xdr:col>18</xdr:col>
      <xdr:colOff>204787</xdr:colOff>
      <xdr:row>28</xdr:row>
      <xdr:rowOff>128587</xdr:rowOff>
    </xdr:to>
    <xdr:graphicFrame macro="">
      <xdr:nvGraphicFramePr>
        <xdr:cNvPr id="3" name="Diagram 2">
          <a:extLst>
            <a:ext uri="{FF2B5EF4-FFF2-40B4-BE49-F238E27FC236}">
              <a16:creationId xmlns:a16="http://schemas.microsoft.com/office/drawing/2014/main" id="{F0475CB1-B3EE-D912-519E-F482D4768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576262</xdr:colOff>
      <xdr:row>19</xdr:row>
      <xdr:rowOff>119062</xdr:rowOff>
    </xdr:from>
    <xdr:to>
      <xdr:col>18</xdr:col>
      <xdr:colOff>576262</xdr:colOff>
      <xdr:row>34</xdr:row>
      <xdr:rowOff>4762</xdr:rowOff>
    </xdr:to>
    <xdr:graphicFrame macro="">
      <xdr:nvGraphicFramePr>
        <xdr:cNvPr id="2" name="Diagram 1">
          <a:extLst>
            <a:ext uri="{FF2B5EF4-FFF2-40B4-BE49-F238E27FC236}">
              <a16:creationId xmlns:a16="http://schemas.microsoft.com/office/drawing/2014/main" id="{73B0A345-3079-0E11-A566-2F129E5D9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4</xdr:row>
      <xdr:rowOff>14287</xdr:rowOff>
    </xdr:from>
    <xdr:to>
      <xdr:col>18</xdr:col>
      <xdr:colOff>581025</xdr:colOff>
      <xdr:row>18</xdr:row>
      <xdr:rowOff>90487</xdr:rowOff>
    </xdr:to>
    <xdr:graphicFrame macro="">
      <xdr:nvGraphicFramePr>
        <xdr:cNvPr id="3" name="Diagram 2">
          <a:extLst>
            <a:ext uri="{FF2B5EF4-FFF2-40B4-BE49-F238E27FC236}">
              <a16:creationId xmlns:a16="http://schemas.microsoft.com/office/drawing/2014/main" id="{05C0CE20-6AAA-212F-69EE-E34C9DE4E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752475</xdr:colOff>
      <xdr:row>18</xdr:row>
      <xdr:rowOff>23812</xdr:rowOff>
    </xdr:from>
    <xdr:to>
      <xdr:col>18</xdr:col>
      <xdr:colOff>752475</xdr:colOff>
      <xdr:row>31</xdr:row>
      <xdr:rowOff>100012</xdr:rowOff>
    </xdr:to>
    <xdr:graphicFrame macro="">
      <xdr:nvGraphicFramePr>
        <xdr:cNvPr id="4" name="Diagram 3">
          <a:extLst>
            <a:ext uri="{FF2B5EF4-FFF2-40B4-BE49-F238E27FC236}">
              <a16:creationId xmlns:a16="http://schemas.microsoft.com/office/drawing/2014/main" id="{DEF2AECF-4F5D-B644-8F68-27947932A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747712</xdr:colOff>
      <xdr:row>2</xdr:row>
      <xdr:rowOff>176212</xdr:rowOff>
    </xdr:from>
    <xdr:to>
      <xdr:col>19</xdr:col>
      <xdr:colOff>419100</xdr:colOff>
      <xdr:row>17</xdr:row>
      <xdr:rowOff>0</xdr:rowOff>
    </xdr:to>
    <xdr:graphicFrame macro="">
      <xdr:nvGraphicFramePr>
        <xdr:cNvPr id="5" name="Diagram 4">
          <a:extLst>
            <a:ext uri="{FF2B5EF4-FFF2-40B4-BE49-F238E27FC236}">
              <a16:creationId xmlns:a16="http://schemas.microsoft.com/office/drawing/2014/main" id="{9884B6C9-4AD7-B893-5374-D07C533A9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47624</xdr:colOff>
      <xdr:row>20</xdr:row>
      <xdr:rowOff>176211</xdr:rowOff>
    </xdr:from>
    <xdr:to>
      <xdr:col>18</xdr:col>
      <xdr:colOff>742950</xdr:colOff>
      <xdr:row>36</xdr:row>
      <xdr:rowOff>133350</xdr:rowOff>
    </xdr:to>
    <xdr:graphicFrame macro="">
      <xdr:nvGraphicFramePr>
        <xdr:cNvPr id="2" name="Diagram 1">
          <a:extLst>
            <a:ext uri="{FF2B5EF4-FFF2-40B4-BE49-F238E27FC236}">
              <a16:creationId xmlns:a16="http://schemas.microsoft.com/office/drawing/2014/main" id="{EB38F3F9-87A5-801A-FA96-A720C09DE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747712</xdr:colOff>
      <xdr:row>3</xdr:row>
      <xdr:rowOff>33337</xdr:rowOff>
    </xdr:from>
    <xdr:to>
      <xdr:col>19</xdr:col>
      <xdr:colOff>19050</xdr:colOff>
      <xdr:row>20</xdr:row>
      <xdr:rowOff>85725</xdr:rowOff>
    </xdr:to>
    <xdr:graphicFrame macro="">
      <xdr:nvGraphicFramePr>
        <xdr:cNvPr id="3" name="Chart 2">
          <a:extLst>
            <a:ext uri="{FF2B5EF4-FFF2-40B4-BE49-F238E27FC236}">
              <a16:creationId xmlns:a16="http://schemas.microsoft.com/office/drawing/2014/main" id="{6923C5FD-5214-F3C9-74F1-EE34F8F7C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0</xdr:colOff>
      <xdr:row>10</xdr:row>
      <xdr:rowOff>38100</xdr:rowOff>
    </xdr:from>
    <xdr:to>
      <xdr:col>22</xdr:col>
      <xdr:colOff>579688</xdr:colOff>
      <xdr:row>28</xdr:row>
      <xdr:rowOff>188306</xdr:rowOff>
    </xdr:to>
    <xdr:graphicFrame macro="">
      <xdr:nvGraphicFramePr>
        <xdr:cNvPr id="2" name="Diagram 4">
          <a:extLst>
            <a:ext uri="{FF2B5EF4-FFF2-40B4-BE49-F238E27FC236}">
              <a16:creationId xmlns:a16="http://schemas.microsoft.com/office/drawing/2014/main" id="{F557AD68-8550-4694-B94E-55CFC1BBA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56ebda2db8a49eb/Documents/Master/Kopi%20av%20Utregninger%2017.01.23.xlsx" TargetMode="External"/><Relationship Id="rId1" Type="http://schemas.openxmlformats.org/officeDocument/2006/relationships/externalLinkPath" Target="/756ebda2db8a49eb/Documents/Master/Kopi%20av%20Utregninger%2017.01.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cipes Linn"/>
      <sheetName val="17.11.22 (MDH GM, SUCC)"/>
      <sheetName val="14.11.22 (WT GM)"/>
      <sheetName val="10.11.22 (f) (MDH G)"/>
      <sheetName val="02.11.22 (f) (Mann, Gly, X)"/>
      <sheetName val="27.10.22 (f) (Glucose, Mann)"/>
      <sheetName val="20.10.22 (f) (Glucose)"/>
      <sheetName val="NANODROP"/>
      <sheetName val="Recipes Sofie"/>
      <sheetName val="Biomasse protokoller "/>
      <sheetName val="Sheet1"/>
      <sheetName val="Flasker 25.10"/>
      <sheetName val="Plan"/>
      <sheetName val="Recipe for cleandesk"/>
      <sheetName val="Timesheet (fermentations)"/>
      <sheetName val="Timesheet fermentations"/>
    </sheetNames>
    <sheetDataSet>
      <sheetData sheetId="0" refreshError="1"/>
      <sheetData sheetId="1" refreshError="1"/>
      <sheetData sheetId="2" refreshError="1"/>
      <sheetData sheetId="3" refreshError="1"/>
      <sheetData sheetId="4" refreshError="1"/>
      <sheetData sheetId="5" refreshError="1"/>
      <sheetData sheetId="6">
        <row r="9">
          <cell r="B9">
            <v>0.36666666666666664</v>
          </cell>
          <cell r="D9">
            <v>0.21</v>
          </cell>
        </row>
        <row r="10">
          <cell r="B10">
            <v>1.2166666666666666</v>
          </cell>
          <cell r="D10">
            <v>0.254</v>
          </cell>
        </row>
        <row r="11">
          <cell r="B11">
            <v>1.4666666666666666</v>
          </cell>
          <cell r="D11">
            <v>0.254</v>
          </cell>
        </row>
        <row r="12">
          <cell r="B12">
            <v>2.2166666666666668</v>
          </cell>
          <cell r="D12">
            <v>0.25</v>
          </cell>
        </row>
        <row r="13">
          <cell r="B13">
            <v>3.2</v>
          </cell>
          <cell r="D13">
            <v>0.30499999999999999</v>
          </cell>
        </row>
        <row r="14">
          <cell r="B14">
            <v>3.6</v>
          </cell>
          <cell r="D14">
            <v>0.41</v>
          </cell>
        </row>
        <row r="15">
          <cell r="B15">
            <v>3.9666666666666668</v>
          </cell>
          <cell r="D15">
            <v>0.496</v>
          </cell>
        </row>
        <row r="16">
          <cell r="B16">
            <v>4.1333333333333337</v>
          </cell>
          <cell r="D16">
            <v>0.53200000000000003</v>
          </cell>
        </row>
        <row r="17">
          <cell r="B17">
            <v>4.5166666666666666</v>
          </cell>
          <cell r="D17">
            <v>0.86</v>
          </cell>
        </row>
        <row r="18">
          <cell r="B18">
            <v>4.8</v>
          </cell>
          <cell r="D18">
            <v>0.78400000000000003</v>
          </cell>
        </row>
        <row r="19">
          <cell r="B19">
            <v>5.05</v>
          </cell>
          <cell r="D19">
            <v>1.296</v>
          </cell>
        </row>
        <row r="20">
          <cell r="B20">
            <v>5.3</v>
          </cell>
          <cell r="D20">
            <v>1.78</v>
          </cell>
        </row>
        <row r="21">
          <cell r="B21">
            <v>5.6</v>
          </cell>
          <cell r="D21">
            <v>2.2000000000000002</v>
          </cell>
        </row>
        <row r="22">
          <cell r="B22">
            <v>5.8833333333333337</v>
          </cell>
          <cell r="D22">
            <v>3.1</v>
          </cell>
        </row>
        <row r="23">
          <cell r="B23">
            <v>6.2166666666666668</v>
          </cell>
          <cell r="D23">
            <v>3.65</v>
          </cell>
        </row>
        <row r="24">
          <cell r="B24">
            <v>6.4666666666666668</v>
          </cell>
          <cell r="D24">
            <v>4.09</v>
          </cell>
        </row>
        <row r="25">
          <cell r="B25">
            <v>6.7333333333333334</v>
          </cell>
          <cell r="D25">
            <v>4.63</v>
          </cell>
        </row>
        <row r="26">
          <cell r="B26">
            <v>6.9666666666666668</v>
          </cell>
          <cell r="D26">
            <v>5.56</v>
          </cell>
        </row>
        <row r="27">
          <cell r="B27">
            <v>7.15</v>
          </cell>
          <cell r="D27">
            <v>5.41</v>
          </cell>
        </row>
        <row r="28">
          <cell r="B28">
            <v>7.3833333333333337</v>
          </cell>
          <cell r="D28">
            <v>5.52</v>
          </cell>
        </row>
        <row r="29">
          <cell r="B29">
            <v>7.6833333333333336</v>
          </cell>
          <cell r="D29">
            <v>5.75</v>
          </cell>
        </row>
        <row r="30">
          <cell r="B30">
            <v>7.916666666666667</v>
          </cell>
          <cell r="D30">
            <v>5.88</v>
          </cell>
        </row>
        <row r="31">
          <cell r="B31">
            <v>8.1166666666666671</v>
          </cell>
          <cell r="D31">
            <v>5.78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CB8CF-481F-4426-912E-139D6C5445AF}">
  <dimension ref="B3:L12"/>
  <sheetViews>
    <sheetView workbookViewId="0">
      <selection activeCell="R13" sqref="R13"/>
    </sheetView>
  </sheetViews>
  <sheetFormatPr defaultRowHeight="15" x14ac:dyDescent="0.25"/>
  <sheetData>
    <row r="3" spans="2:12" x14ac:dyDescent="0.25">
      <c r="B3" s="86" t="s">
        <v>119</v>
      </c>
      <c r="C3" s="86"/>
      <c r="D3" s="86"/>
      <c r="E3" s="86"/>
      <c r="F3" s="86"/>
      <c r="G3" s="86"/>
      <c r="H3" s="86"/>
      <c r="I3" s="86"/>
      <c r="J3" s="86"/>
      <c r="K3" s="86"/>
      <c r="L3" s="86"/>
    </row>
    <row r="4" spans="2:12" x14ac:dyDescent="0.25">
      <c r="B4" s="86"/>
      <c r="C4" s="86"/>
      <c r="D4" s="86"/>
      <c r="E4" s="86"/>
      <c r="F4" s="86"/>
      <c r="G4" s="86"/>
      <c r="H4" s="86"/>
      <c r="I4" s="86"/>
      <c r="J4" s="86"/>
      <c r="K4" s="86"/>
      <c r="L4" s="86"/>
    </row>
    <row r="5" spans="2:12" x14ac:dyDescent="0.25">
      <c r="B5" s="86"/>
      <c r="C5" s="86"/>
      <c r="D5" s="86"/>
      <c r="E5" s="86"/>
      <c r="F5" s="86"/>
      <c r="G5" s="86"/>
      <c r="H5" s="86"/>
      <c r="I5" s="86"/>
      <c r="J5" s="86"/>
      <c r="K5" s="86"/>
      <c r="L5" s="86"/>
    </row>
    <row r="6" spans="2:12" x14ac:dyDescent="0.25">
      <c r="B6" s="86"/>
      <c r="C6" s="86"/>
      <c r="D6" s="86"/>
      <c r="E6" s="86"/>
      <c r="F6" s="86"/>
      <c r="G6" s="86"/>
      <c r="H6" s="86"/>
      <c r="I6" s="86"/>
      <c r="J6" s="86"/>
      <c r="K6" s="86"/>
      <c r="L6" s="86"/>
    </row>
    <row r="7" spans="2:12" x14ac:dyDescent="0.25">
      <c r="B7" s="86"/>
      <c r="C7" s="86"/>
      <c r="D7" s="86"/>
      <c r="E7" s="86"/>
      <c r="F7" s="86"/>
      <c r="G7" s="86"/>
      <c r="H7" s="86"/>
      <c r="I7" s="86"/>
      <c r="J7" s="86"/>
      <c r="K7" s="86"/>
      <c r="L7" s="86"/>
    </row>
    <row r="8" spans="2:12" x14ac:dyDescent="0.25">
      <c r="B8" s="86"/>
      <c r="C8" s="86"/>
      <c r="D8" s="86"/>
      <c r="E8" s="86"/>
      <c r="F8" s="86"/>
      <c r="G8" s="86"/>
      <c r="H8" s="86"/>
      <c r="I8" s="86"/>
      <c r="J8" s="86"/>
      <c r="K8" s="86"/>
      <c r="L8" s="86"/>
    </row>
    <row r="9" spans="2:12" x14ac:dyDescent="0.25">
      <c r="B9" s="86"/>
      <c r="C9" s="86"/>
      <c r="D9" s="86"/>
      <c r="E9" s="86"/>
      <c r="F9" s="86"/>
      <c r="G9" s="86"/>
      <c r="H9" s="86"/>
      <c r="I9" s="86"/>
      <c r="J9" s="86"/>
      <c r="K9" s="86"/>
      <c r="L9" s="86"/>
    </row>
    <row r="10" spans="2:12" x14ac:dyDescent="0.25">
      <c r="B10" s="86"/>
      <c r="C10" s="86"/>
      <c r="D10" s="86"/>
      <c r="E10" s="86"/>
      <c r="F10" s="86"/>
      <c r="G10" s="86"/>
      <c r="H10" s="86"/>
      <c r="I10" s="86"/>
      <c r="J10" s="86"/>
      <c r="K10" s="86"/>
      <c r="L10" s="86"/>
    </row>
    <row r="11" spans="2:12" x14ac:dyDescent="0.25">
      <c r="B11" s="86"/>
      <c r="C11" s="86"/>
      <c r="D11" s="86"/>
      <c r="E11" s="86"/>
      <c r="F11" s="86"/>
      <c r="G11" s="86"/>
      <c r="H11" s="86"/>
      <c r="I11" s="86"/>
      <c r="J11" s="86"/>
      <c r="K11" s="86"/>
      <c r="L11" s="86"/>
    </row>
    <row r="12" spans="2:12" x14ac:dyDescent="0.25">
      <c r="B12" s="86"/>
      <c r="C12" s="86"/>
      <c r="D12" s="86"/>
      <c r="E12" s="86"/>
      <c r="F12" s="86"/>
      <c r="G12" s="86"/>
      <c r="H12" s="86"/>
      <c r="I12" s="86"/>
      <c r="J12" s="86"/>
      <c r="K12" s="86"/>
      <c r="L12" s="86"/>
    </row>
  </sheetData>
  <mergeCells count="1">
    <mergeCell ref="B3:L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84F5-C70D-414C-B1EC-B4C173B7BB6B}">
  <dimension ref="D3:S24"/>
  <sheetViews>
    <sheetView topLeftCell="C1" workbookViewId="0">
      <selection activeCell="N27" sqref="N27"/>
    </sheetView>
  </sheetViews>
  <sheetFormatPr defaultColWidth="11.42578125" defaultRowHeight="15" x14ac:dyDescent="0.25"/>
  <sheetData>
    <row r="3" spans="4:19" x14ac:dyDescent="0.25">
      <c r="D3" s="80" t="s">
        <v>3</v>
      </c>
      <c r="E3" s="80"/>
      <c r="F3" s="80" t="s">
        <v>2</v>
      </c>
      <c r="G3" s="80"/>
      <c r="H3" s="80" t="s">
        <v>0</v>
      </c>
      <c r="I3" s="80"/>
      <c r="J3" s="80" t="s">
        <v>1</v>
      </c>
      <c r="K3" s="80"/>
      <c r="L3" s="80" t="s">
        <v>65</v>
      </c>
      <c r="M3" s="80"/>
      <c r="N3" s="80"/>
      <c r="O3" s="80"/>
      <c r="P3" s="80"/>
      <c r="Q3" s="80"/>
      <c r="R3" s="80"/>
      <c r="S3" s="80"/>
    </row>
    <row r="4" spans="4:19" x14ac:dyDescent="0.25">
      <c r="D4" t="s">
        <v>64</v>
      </c>
      <c r="E4" t="s">
        <v>8</v>
      </c>
      <c r="F4" t="s">
        <v>64</v>
      </c>
      <c r="G4" t="s">
        <v>8</v>
      </c>
      <c r="H4" t="s">
        <v>64</v>
      </c>
      <c r="I4" t="s">
        <v>8</v>
      </c>
      <c r="J4" t="s">
        <v>64</v>
      </c>
      <c r="K4" t="s">
        <v>8</v>
      </c>
      <c r="L4" t="s">
        <v>64</v>
      </c>
      <c r="M4" t="s">
        <v>8</v>
      </c>
    </row>
    <row r="5" spans="4:19" x14ac:dyDescent="0.25">
      <c r="D5" s="55">
        <v>0</v>
      </c>
      <c r="E5" s="55">
        <v>0.1933</v>
      </c>
      <c r="F5" s="55">
        <v>8.3333333333333329E-2</v>
      </c>
      <c r="G5" s="55">
        <v>2.5000000000000001E-2</v>
      </c>
      <c r="H5" s="56">
        <v>0</v>
      </c>
      <c r="I5" s="56">
        <v>0.10199999999999999</v>
      </c>
      <c r="J5" s="55">
        <v>0.45</v>
      </c>
      <c r="K5" s="55">
        <v>0.28399999999999997</v>
      </c>
      <c r="L5" s="55">
        <v>0</v>
      </c>
      <c r="M5" s="55">
        <v>6.5000000000000002E-2</v>
      </c>
      <c r="N5" s="55"/>
      <c r="O5" s="56"/>
      <c r="P5" s="55"/>
      <c r="Q5" s="55"/>
      <c r="R5" s="55"/>
      <c r="S5" s="55"/>
    </row>
    <row r="6" spans="4:19" x14ac:dyDescent="0.25">
      <c r="D6" s="55">
        <v>0.6</v>
      </c>
      <c r="E6" s="55">
        <v>0.254</v>
      </c>
      <c r="F6" s="55">
        <v>1.0833333333333333</v>
      </c>
      <c r="G6" s="55">
        <v>2.8000000000000001E-2</v>
      </c>
      <c r="H6" s="56">
        <v>1</v>
      </c>
      <c r="I6" s="56">
        <v>0.11600000000000001</v>
      </c>
      <c r="J6" s="55">
        <v>1.2</v>
      </c>
      <c r="K6" s="55">
        <v>0.34</v>
      </c>
      <c r="L6" s="55">
        <v>0.8666666666666667</v>
      </c>
      <c r="M6" s="55">
        <v>7.2999999999999995E-2</v>
      </c>
      <c r="N6" s="55"/>
      <c r="O6" s="56"/>
      <c r="P6" s="55"/>
      <c r="Q6" s="55"/>
      <c r="R6" s="55"/>
      <c r="S6" s="55"/>
    </row>
    <row r="7" spans="4:19" x14ac:dyDescent="0.25">
      <c r="D7" s="55">
        <v>1.35</v>
      </c>
      <c r="E7" s="55">
        <v>0.31900000000000001</v>
      </c>
      <c r="F7" s="55">
        <v>2.0499999999999998</v>
      </c>
      <c r="G7" s="55">
        <v>3.5999999999999997E-2</v>
      </c>
      <c r="H7" s="56">
        <v>1.9666666666666666</v>
      </c>
      <c r="I7" s="56">
        <v>0.18099999999999999</v>
      </c>
      <c r="J7" s="55">
        <v>1.8666666666666667</v>
      </c>
      <c r="K7" s="55">
        <v>0.46700000000000003</v>
      </c>
      <c r="L7" s="55">
        <v>1.8666666666666667</v>
      </c>
      <c r="M7" s="55">
        <v>0.10100000000000001</v>
      </c>
      <c r="N7" s="55"/>
      <c r="O7" s="56"/>
      <c r="P7" s="55"/>
      <c r="Q7" s="55"/>
      <c r="R7" s="55"/>
      <c r="S7" s="55"/>
    </row>
    <row r="8" spans="4:19" x14ac:dyDescent="0.25">
      <c r="D8" s="55">
        <v>2.0166666666666666</v>
      </c>
      <c r="E8" s="55">
        <v>0.48299999999999998</v>
      </c>
      <c r="F8" s="55">
        <v>3.05</v>
      </c>
      <c r="G8" s="55">
        <v>5.7000000000000002E-2</v>
      </c>
      <c r="H8" s="56">
        <v>2.9666666666666668</v>
      </c>
      <c r="I8" s="56">
        <v>0.28000000000000003</v>
      </c>
      <c r="J8" s="55">
        <v>2.6833333333333331</v>
      </c>
      <c r="K8" s="55">
        <v>0.90200000000000002</v>
      </c>
      <c r="L8" s="55">
        <v>2.8833333333333333</v>
      </c>
      <c r="M8" s="55">
        <v>0.16</v>
      </c>
      <c r="N8" s="55"/>
      <c r="O8" s="56"/>
      <c r="P8" s="55"/>
      <c r="Q8" s="55"/>
      <c r="R8" s="55"/>
      <c r="S8" s="55"/>
    </row>
    <row r="9" spans="4:19" x14ac:dyDescent="0.25">
      <c r="D9" s="55">
        <v>2.8333333333333335</v>
      </c>
      <c r="E9" s="55">
        <v>1.1279999999999999</v>
      </c>
      <c r="F9" s="55">
        <v>4.05</v>
      </c>
      <c r="G9" s="55">
        <v>0.122</v>
      </c>
      <c r="H9" s="56">
        <v>3.9666666666666668</v>
      </c>
      <c r="I9" s="56">
        <v>0.52200000000000002</v>
      </c>
      <c r="J9" s="55">
        <v>3.0333333333333332</v>
      </c>
      <c r="K9" s="55">
        <v>1.284</v>
      </c>
      <c r="L9" s="55">
        <v>3.95</v>
      </c>
      <c r="M9" s="55">
        <v>0.26500000000000001</v>
      </c>
      <c r="N9" s="55"/>
      <c r="O9" s="56"/>
      <c r="P9" s="55"/>
      <c r="Q9" s="55"/>
      <c r="R9" s="55"/>
      <c r="S9" s="55"/>
    </row>
    <row r="10" spans="4:19" x14ac:dyDescent="0.25">
      <c r="D10" s="55">
        <v>3.1833333333333331</v>
      </c>
      <c r="E10" s="55">
        <v>1.1652</v>
      </c>
      <c r="F10" s="55">
        <v>4.55</v>
      </c>
      <c r="G10" s="55">
        <v>0.17</v>
      </c>
      <c r="H10" s="56">
        <v>4.4666666666666668</v>
      </c>
      <c r="I10" s="56">
        <v>0.61699999999999999</v>
      </c>
      <c r="J10" s="55">
        <v>3.2</v>
      </c>
      <c r="K10" s="55">
        <v>1.4359999999999999</v>
      </c>
      <c r="L10" s="55">
        <v>4.8833333333333337</v>
      </c>
      <c r="M10" s="55">
        <v>0.39900000000000002</v>
      </c>
      <c r="N10" s="55"/>
      <c r="O10" s="56"/>
      <c r="P10" s="55"/>
      <c r="Q10" s="55"/>
      <c r="R10" s="55"/>
      <c r="S10" s="55"/>
    </row>
    <row r="11" spans="4:19" x14ac:dyDescent="0.25">
      <c r="D11" s="55">
        <v>3.35</v>
      </c>
      <c r="E11" s="55">
        <v>1.736</v>
      </c>
      <c r="F11" s="55">
        <v>5.05</v>
      </c>
      <c r="G11" s="55">
        <v>0.26700000000000002</v>
      </c>
      <c r="H11" s="56">
        <v>4.9666666666666668</v>
      </c>
      <c r="I11" s="56">
        <v>0.81399999999999995</v>
      </c>
      <c r="J11" s="55">
        <v>3.45</v>
      </c>
      <c r="K11" s="55">
        <v>1.72</v>
      </c>
      <c r="L11" s="55">
        <v>5.3833333333333337</v>
      </c>
      <c r="M11" s="55">
        <v>0.51400000000000001</v>
      </c>
      <c r="N11" s="55"/>
      <c r="O11" s="56"/>
      <c r="P11" s="55"/>
      <c r="Q11" s="55"/>
      <c r="R11" s="55"/>
      <c r="S11" s="55"/>
    </row>
    <row r="12" spans="4:19" x14ac:dyDescent="0.25">
      <c r="D12" s="55">
        <v>3.6</v>
      </c>
      <c r="E12" s="55">
        <v>2.3239999999999998</v>
      </c>
      <c r="F12" s="55">
        <v>6.05</v>
      </c>
      <c r="G12" s="55">
        <v>0.627</v>
      </c>
      <c r="H12" s="56">
        <v>5.4666666666666668</v>
      </c>
      <c r="I12" s="56">
        <v>1.2</v>
      </c>
      <c r="J12" s="55">
        <v>3.7333333333333334</v>
      </c>
      <c r="K12" s="55">
        <v>2.4700000000000002</v>
      </c>
      <c r="L12" s="55">
        <v>5.8833333333333337</v>
      </c>
      <c r="M12" s="55">
        <v>0.59199999999999997</v>
      </c>
      <c r="N12" s="55"/>
      <c r="O12" s="56"/>
      <c r="P12" s="55"/>
      <c r="S12" s="55"/>
    </row>
    <row r="13" spans="4:19" x14ac:dyDescent="0.25">
      <c r="D13" s="55">
        <v>3.8833333333333333</v>
      </c>
      <c r="E13" s="55">
        <v>2.97</v>
      </c>
      <c r="F13" s="55">
        <v>6.55</v>
      </c>
      <c r="G13" s="55">
        <v>1.1080000000000001</v>
      </c>
      <c r="H13" s="56">
        <v>5.9666666666666668</v>
      </c>
      <c r="I13" s="56">
        <v>1.23</v>
      </c>
      <c r="J13" s="55">
        <v>4</v>
      </c>
      <c r="K13" s="55">
        <v>3.16</v>
      </c>
      <c r="L13" s="55">
        <v>6.3833333333333337</v>
      </c>
      <c r="M13" s="55">
        <v>0.93</v>
      </c>
      <c r="N13" s="55"/>
      <c r="O13" s="56"/>
      <c r="P13" s="55"/>
      <c r="S13" s="55"/>
    </row>
    <row r="14" spans="4:19" x14ac:dyDescent="0.25">
      <c r="D14" s="55">
        <v>4.1500000000000004</v>
      </c>
      <c r="E14" s="55">
        <v>3.44</v>
      </c>
      <c r="F14" s="55">
        <v>6.8</v>
      </c>
      <c r="G14" s="55">
        <v>1.296</v>
      </c>
      <c r="H14" s="56">
        <v>6.4666666666666668</v>
      </c>
      <c r="I14" s="56">
        <v>1.456</v>
      </c>
      <c r="J14" s="55">
        <v>4.2</v>
      </c>
      <c r="K14" s="55">
        <v>3.7</v>
      </c>
      <c r="L14" s="55">
        <v>6.8833333333333337</v>
      </c>
      <c r="M14" s="55">
        <v>0.98</v>
      </c>
      <c r="N14" s="55"/>
      <c r="O14" s="57"/>
      <c r="P14" s="55"/>
      <c r="S14" s="55"/>
    </row>
    <row r="15" spans="4:19" x14ac:dyDescent="0.25">
      <c r="D15" s="55"/>
      <c r="E15" s="55"/>
      <c r="F15" s="55">
        <v>7.05</v>
      </c>
      <c r="G15" s="55">
        <v>1.5680000000000001</v>
      </c>
      <c r="H15" s="56">
        <v>6.9666666666666668</v>
      </c>
      <c r="I15" s="56">
        <v>1.716</v>
      </c>
      <c r="L15" s="55">
        <v>7.3833333333333337</v>
      </c>
      <c r="M15" s="55">
        <v>1.2</v>
      </c>
      <c r="N15" s="55"/>
      <c r="O15" s="55"/>
      <c r="P15" s="55"/>
      <c r="S15" s="55"/>
    </row>
    <row r="16" spans="4:19" x14ac:dyDescent="0.25">
      <c r="D16" s="55"/>
      <c r="E16" s="55"/>
      <c r="F16" s="55">
        <v>7.3</v>
      </c>
      <c r="G16" s="55">
        <v>2.19</v>
      </c>
      <c r="H16" s="56">
        <v>7.4666666666666668</v>
      </c>
      <c r="I16" s="56">
        <v>2.1800000000000002</v>
      </c>
      <c r="L16" s="55">
        <v>7.8833333333333337</v>
      </c>
      <c r="M16" s="55">
        <v>1.76</v>
      </c>
      <c r="N16" s="55"/>
      <c r="O16" s="55"/>
      <c r="P16" s="55"/>
      <c r="S16" s="55"/>
    </row>
    <row r="17" spans="4:19" x14ac:dyDescent="0.25">
      <c r="D17" s="55"/>
      <c r="E17" s="55"/>
      <c r="F17" s="55">
        <v>7.55</v>
      </c>
      <c r="G17" s="55">
        <v>2.5299999999999998</v>
      </c>
      <c r="H17" s="56">
        <v>7.7166666666666668</v>
      </c>
      <c r="I17" s="56">
        <v>2.35</v>
      </c>
      <c r="L17" s="55">
        <v>8.1333333333333329</v>
      </c>
      <c r="M17" s="55">
        <v>1.5</v>
      </c>
      <c r="N17" s="55"/>
      <c r="O17" s="55"/>
      <c r="P17" s="55"/>
      <c r="S17" s="55"/>
    </row>
    <row r="18" spans="4:19" x14ac:dyDescent="0.25">
      <c r="D18" s="55"/>
      <c r="E18" s="55"/>
      <c r="F18" s="55">
        <v>7.8</v>
      </c>
      <c r="G18" s="55">
        <v>3.4</v>
      </c>
      <c r="H18" s="56">
        <v>8.0500000000000007</v>
      </c>
      <c r="I18" s="56">
        <v>2.7</v>
      </c>
      <c r="L18" s="55">
        <v>8.6333333333333329</v>
      </c>
      <c r="M18" s="55">
        <v>1.796</v>
      </c>
      <c r="N18" s="55"/>
      <c r="O18" s="55"/>
      <c r="P18" s="55"/>
      <c r="S18" s="55"/>
    </row>
    <row r="19" spans="4:19" x14ac:dyDescent="0.25">
      <c r="D19" s="55"/>
      <c r="E19" s="55"/>
      <c r="F19" s="55"/>
      <c r="G19" s="55"/>
      <c r="H19" s="56">
        <v>8.3833333333333329</v>
      </c>
      <c r="I19" s="56">
        <v>3</v>
      </c>
      <c r="L19" s="55">
        <v>8.9666666666666668</v>
      </c>
      <c r="M19" s="55">
        <v>2.06</v>
      </c>
      <c r="N19" s="55"/>
      <c r="O19" s="55"/>
      <c r="P19" s="55"/>
      <c r="S19" s="55"/>
    </row>
    <row r="20" spans="4:19" x14ac:dyDescent="0.25">
      <c r="D20" s="55"/>
      <c r="E20" s="55"/>
      <c r="F20" s="55"/>
      <c r="G20" s="55"/>
      <c r="H20" s="55"/>
      <c r="I20" s="55"/>
      <c r="L20" s="55">
        <v>9.1333333333333329</v>
      </c>
      <c r="M20" s="55">
        <v>2.35</v>
      </c>
      <c r="N20" s="55"/>
      <c r="O20" s="55"/>
      <c r="P20" s="55"/>
      <c r="S20" s="55"/>
    </row>
    <row r="21" spans="4:19" x14ac:dyDescent="0.25">
      <c r="D21" s="55"/>
      <c r="E21" s="55"/>
      <c r="F21" s="55"/>
      <c r="G21" s="55"/>
      <c r="H21" s="55"/>
      <c r="I21" s="55"/>
      <c r="J21" s="55"/>
      <c r="K21" s="55"/>
      <c r="L21" s="55">
        <v>9.3833333333333329</v>
      </c>
      <c r="M21" s="55">
        <v>2.57</v>
      </c>
      <c r="N21" s="55"/>
      <c r="O21" s="55"/>
      <c r="P21" s="55"/>
      <c r="S21" s="55"/>
    </row>
    <row r="22" spans="4:19" x14ac:dyDescent="0.25">
      <c r="D22" s="55"/>
      <c r="E22" s="55"/>
      <c r="F22" s="55"/>
      <c r="G22" s="55"/>
      <c r="H22" s="55"/>
      <c r="I22" s="55"/>
      <c r="J22" s="55"/>
      <c r="K22" s="55"/>
      <c r="L22" s="55">
        <v>9.6333333333333329</v>
      </c>
      <c r="M22" s="55">
        <v>2.83</v>
      </c>
      <c r="N22" s="55"/>
      <c r="O22" s="55"/>
      <c r="P22" s="55"/>
      <c r="S22" s="55"/>
    </row>
    <row r="23" spans="4:19" x14ac:dyDescent="0.25">
      <c r="D23" s="55"/>
      <c r="E23" s="55"/>
      <c r="F23" s="55"/>
      <c r="G23" s="55"/>
      <c r="H23" s="55"/>
      <c r="I23" s="55"/>
      <c r="J23" s="55"/>
      <c r="K23" s="55"/>
      <c r="L23" s="55">
        <v>9.8833333333333329</v>
      </c>
      <c r="M23" s="55">
        <v>3.45</v>
      </c>
      <c r="N23" s="55"/>
      <c r="O23" s="55"/>
      <c r="P23" s="55"/>
      <c r="S23" s="55"/>
    </row>
    <row r="24" spans="4:19" x14ac:dyDescent="0.25">
      <c r="D24" s="55"/>
      <c r="E24" s="55"/>
      <c r="F24" s="55"/>
      <c r="G24" s="55"/>
      <c r="H24" s="55"/>
      <c r="I24" s="55"/>
      <c r="J24" s="55"/>
      <c r="K24" s="55"/>
      <c r="L24" s="55"/>
      <c r="M24" s="55"/>
      <c r="N24" s="55"/>
      <c r="O24" s="55"/>
      <c r="P24" s="55"/>
      <c r="Q24" s="55"/>
      <c r="R24" s="55"/>
      <c r="S24" s="55"/>
    </row>
  </sheetData>
  <mergeCells count="8">
    <mergeCell ref="P3:Q3"/>
    <mergeCell ref="R3:S3"/>
    <mergeCell ref="D3:E3"/>
    <mergeCell ref="J3:K3"/>
    <mergeCell ref="H3:I3"/>
    <mergeCell ref="L3:M3"/>
    <mergeCell ref="N3:O3"/>
    <mergeCell ref="F3:G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22621-3F33-4A56-A810-6678E0BAF276}">
  <dimension ref="A1:Q93"/>
  <sheetViews>
    <sheetView topLeftCell="A4" zoomScale="115" zoomScaleNormal="115" workbookViewId="0">
      <selection activeCell="L32" sqref="L32"/>
    </sheetView>
  </sheetViews>
  <sheetFormatPr defaultColWidth="11.42578125" defaultRowHeight="15" x14ac:dyDescent="0.25"/>
  <cols>
    <col min="1" max="1" width="15.28515625" customWidth="1"/>
    <col min="3" max="3" width="15.85546875" customWidth="1"/>
    <col min="6" max="6" width="15" customWidth="1"/>
    <col min="8" max="8" width="14.42578125" customWidth="1"/>
    <col min="11" max="11" width="11.140625" customWidth="1"/>
  </cols>
  <sheetData>
    <row r="1" spans="1:11" x14ac:dyDescent="0.25">
      <c r="A1" t="s">
        <v>113</v>
      </c>
      <c r="B1" s="4">
        <v>0.36736111111111108</v>
      </c>
    </row>
    <row r="2" spans="1:11" x14ac:dyDescent="0.25">
      <c r="A2" t="s">
        <v>87</v>
      </c>
      <c r="B2" s="1">
        <f>A5+(B5/60)</f>
        <v>8.8166666666666664</v>
      </c>
    </row>
    <row r="4" spans="1:11" ht="45" x14ac:dyDescent="0.25">
      <c r="A4" s="61" t="s">
        <v>60</v>
      </c>
      <c r="B4" s="61" t="s">
        <v>6</v>
      </c>
      <c r="C4" s="61" t="s">
        <v>64</v>
      </c>
      <c r="D4" s="61" t="s">
        <v>8</v>
      </c>
      <c r="E4" s="61" t="s">
        <v>9</v>
      </c>
      <c r="F4" s="61" t="s">
        <v>10</v>
      </c>
      <c r="G4" s="61" t="s">
        <v>11</v>
      </c>
      <c r="H4" s="61" t="s">
        <v>12</v>
      </c>
      <c r="I4" s="61" t="s">
        <v>13</v>
      </c>
      <c r="J4" s="61" t="s">
        <v>14</v>
      </c>
      <c r="K4" s="61" t="s">
        <v>15</v>
      </c>
    </row>
    <row r="5" spans="1:11" x14ac:dyDescent="0.25">
      <c r="A5" s="3" t="s">
        <v>72</v>
      </c>
      <c r="B5" s="3" t="s">
        <v>88</v>
      </c>
      <c r="C5" s="3">
        <f t="shared" ref="C5:C15" si="0">A5+(B5/60)-$B$2</f>
        <v>0</v>
      </c>
      <c r="D5" s="2">
        <v>0.1933</v>
      </c>
      <c r="E5" s="2"/>
      <c r="F5" s="2"/>
      <c r="G5" s="2">
        <v>0</v>
      </c>
      <c r="H5" s="2">
        <v>0</v>
      </c>
      <c r="I5" s="2">
        <f>1500-H5+G5</f>
        <v>1500</v>
      </c>
      <c r="J5" s="2"/>
      <c r="K5" t="s">
        <v>16</v>
      </c>
    </row>
    <row r="6" spans="1:11" x14ac:dyDescent="0.25">
      <c r="A6" s="3" t="s">
        <v>74</v>
      </c>
      <c r="B6" s="3" t="s">
        <v>89</v>
      </c>
      <c r="C6" s="3">
        <f t="shared" si="0"/>
        <v>0.59999999999999964</v>
      </c>
      <c r="D6" s="2">
        <v>0.254</v>
      </c>
      <c r="E6" s="2"/>
      <c r="F6" s="2"/>
      <c r="G6" s="2">
        <v>5</v>
      </c>
      <c r="H6" s="2">
        <v>1</v>
      </c>
      <c r="I6" s="2">
        <f t="shared" ref="I6:I14" si="1">I5-H6+G6</f>
        <v>1504</v>
      </c>
      <c r="J6" s="2"/>
      <c r="K6" s="2"/>
    </row>
    <row r="7" spans="1:11" x14ac:dyDescent="0.25">
      <c r="A7" s="3" t="s">
        <v>76</v>
      </c>
      <c r="B7" s="3" t="s">
        <v>76</v>
      </c>
      <c r="C7" s="3">
        <f t="shared" si="0"/>
        <v>1.3499999999999996</v>
      </c>
      <c r="D7" s="2">
        <v>0.31900000000000001</v>
      </c>
      <c r="E7" s="2"/>
      <c r="F7" s="2" t="s">
        <v>17</v>
      </c>
      <c r="G7" s="2">
        <v>0</v>
      </c>
      <c r="H7" s="2">
        <v>5</v>
      </c>
      <c r="I7" s="2">
        <f t="shared" si="1"/>
        <v>1499</v>
      </c>
      <c r="J7" s="2"/>
      <c r="K7" s="2"/>
    </row>
    <row r="8" spans="1:11" x14ac:dyDescent="0.25">
      <c r="A8" s="3" t="s">
        <v>76</v>
      </c>
      <c r="B8" s="3" t="s">
        <v>90</v>
      </c>
      <c r="C8" s="3">
        <f t="shared" si="0"/>
        <v>2.0166666666666675</v>
      </c>
      <c r="D8" s="2">
        <v>0.48299999999999998</v>
      </c>
      <c r="E8" s="2"/>
      <c r="F8" s="2"/>
      <c r="G8" s="2">
        <v>0</v>
      </c>
      <c r="H8" s="2">
        <v>1</v>
      </c>
      <c r="I8" s="2">
        <f t="shared" si="1"/>
        <v>1498</v>
      </c>
      <c r="J8" s="2"/>
      <c r="K8" s="2"/>
    </row>
    <row r="9" spans="1:11" x14ac:dyDescent="0.25">
      <c r="A9" s="3" t="s">
        <v>78</v>
      </c>
      <c r="B9" s="3" t="s">
        <v>91</v>
      </c>
      <c r="C9" s="3">
        <f t="shared" si="0"/>
        <v>2.8333333333333339</v>
      </c>
      <c r="D9" s="2">
        <v>1.1279999999999999</v>
      </c>
      <c r="E9" s="2">
        <v>1.05</v>
      </c>
      <c r="F9" s="2" t="s">
        <v>18</v>
      </c>
      <c r="G9" s="2">
        <v>2</v>
      </c>
      <c r="H9" s="2">
        <v>7</v>
      </c>
      <c r="I9" s="2">
        <f t="shared" si="1"/>
        <v>1493</v>
      </c>
      <c r="J9" s="2"/>
      <c r="K9" s="2"/>
    </row>
    <row r="10" spans="1:11" x14ac:dyDescent="0.25">
      <c r="A10" s="3" t="s">
        <v>79</v>
      </c>
      <c r="B10" s="3" t="s">
        <v>73</v>
      </c>
      <c r="C10" s="3">
        <f t="shared" si="0"/>
        <v>3.1833333333333336</v>
      </c>
      <c r="D10" s="2">
        <v>1.1652</v>
      </c>
      <c r="E10" s="2">
        <v>1.3</v>
      </c>
      <c r="F10" s="2" t="s">
        <v>19</v>
      </c>
      <c r="G10" s="2">
        <v>1</v>
      </c>
      <c r="H10" s="2">
        <v>7</v>
      </c>
      <c r="I10" s="2">
        <f t="shared" si="1"/>
        <v>1487</v>
      </c>
      <c r="J10" s="2"/>
      <c r="K10" s="2"/>
    </row>
    <row r="11" spans="1:11" x14ac:dyDescent="0.25">
      <c r="A11" s="3" t="s">
        <v>79</v>
      </c>
      <c r="B11" s="3" t="s">
        <v>76</v>
      </c>
      <c r="C11" s="3">
        <f t="shared" si="0"/>
        <v>3.3499999999999996</v>
      </c>
      <c r="D11" s="2">
        <v>1.736</v>
      </c>
      <c r="E11" s="2">
        <v>1.8</v>
      </c>
      <c r="F11" s="2" t="s">
        <v>20</v>
      </c>
      <c r="G11" s="2">
        <v>1</v>
      </c>
      <c r="H11" s="2">
        <v>7</v>
      </c>
      <c r="I11" s="2">
        <f t="shared" si="1"/>
        <v>1481</v>
      </c>
      <c r="J11" s="2"/>
      <c r="K11" s="2"/>
    </row>
    <row r="12" spans="1:11" x14ac:dyDescent="0.25">
      <c r="A12" s="3" t="s">
        <v>79</v>
      </c>
      <c r="B12" s="3" t="s">
        <v>89</v>
      </c>
      <c r="C12" s="3">
        <f t="shared" si="0"/>
        <v>3.5999999999999996</v>
      </c>
      <c r="D12" s="2">
        <v>2.3239999999999998</v>
      </c>
      <c r="E12" s="2">
        <v>2.08</v>
      </c>
      <c r="F12" s="2" t="s">
        <v>21</v>
      </c>
      <c r="G12" s="2">
        <v>1</v>
      </c>
      <c r="H12" s="2">
        <v>10</v>
      </c>
      <c r="I12" s="2">
        <f t="shared" si="1"/>
        <v>1472</v>
      </c>
      <c r="J12" s="2" t="s">
        <v>22</v>
      </c>
      <c r="K12" s="2">
        <v>100</v>
      </c>
    </row>
    <row r="13" spans="1:11" x14ac:dyDescent="0.25">
      <c r="A13" s="3" t="s">
        <v>79</v>
      </c>
      <c r="B13" s="3" t="s">
        <v>92</v>
      </c>
      <c r="C13" s="3">
        <f t="shared" si="0"/>
        <v>3.8833333333333329</v>
      </c>
      <c r="D13" s="2">
        <v>2.97</v>
      </c>
      <c r="E13" s="2">
        <v>2.35</v>
      </c>
      <c r="F13" s="2" t="s">
        <v>23</v>
      </c>
      <c r="G13" s="2">
        <v>0</v>
      </c>
      <c r="H13" s="2">
        <v>7</v>
      </c>
      <c r="I13" s="2">
        <f t="shared" si="1"/>
        <v>1465</v>
      </c>
      <c r="J13" s="2"/>
      <c r="K13" s="2"/>
    </row>
    <row r="14" spans="1:11" x14ac:dyDescent="0.25">
      <c r="A14" s="3" t="s">
        <v>79</v>
      </c>
      <c r="B14" s="3" t="s">
        <v>93</v>
      </c>
      <c r="C14" s="3">
        <f t="shared" si="0"/>
        <v>4.1500000000000004</v>
      </c>
      <c r="D14" s="2">
        <v>3.44</v>
      </c>
      <c r="E14" s="2">
        <v>3.16</v>
      </c>
      <c r="F14" s="2" t="s">
        <v>24</v>
      </c>
      <c r="G14" s="2">
        <v>5</v>
      </c>
      <c r="H14" s="2">
        <v>7</v>
      </c>
      <c r="I14" s="2">
        <f t="shared" si="1"/>
        <v>1463</v>
      </c>
      <c r="J14" s="2"/>
      <c r="K14" s="2"/>
    </row>
    <row r="15" spans="1:11" x14ac:dyDescent="0.25">
      <c r="A15" s="7" t="s">
        <v>81</v>
      </c>
      <c r="B15" s="7" t="s">
        <v>94</v>
      </c>
      <c r="C15" s="7">
        <f t="shared" si="0"/>
        <v>4.3000000000000007</v>
      </c>
      <c r="D15" s="41" t="s">
        <v>25</v>
      </c>
      <c r="E15" s="41"/>
      <c r="F15" s="41"/>
      <c r="G15" s="41"/>
      <c r="H15" s="41"/>
      <c r="I15" s="41"/>
      <c r="J15" s="41"/>
      <c r="K15" s="41"/>
    </row>
    <row r="18" spans="1:17" ht="30" customHeight="1" x14ac:dyDescent="0.25">
      <c r="A18" s="86" t="s">
        <v>118</v>
      </c>
      <c r="B18" s="86"/>
      <c r="C18" s="86"/>
      <c r="D18" s="86"/>
      <c r="E18" s="86"/>
      <c r="F18" s="86"/>
      <c r="G18" s="86"/>
      <c r="H18" s="86"/>
      <c r="I18" s="86"/>
      <c r="J18" s="86"/>
      <c r="M18" s="92"/>
      <c r="N18" s="92"/>
      <c r="O18" s="92"/>
      <c r="P18" s="92"/>
      <c r="Q18" s="92"/>
    </row>
    <row r="19" spans="1:17" x14ac:dyDescent="0.25">
      <c r="A19" s="86"/>
      <c r="B19" s="86"/>
      <c r="C19" s="86"/>
      <c r="D19" s="86"/>
      <c r="E19" s="86"/>
      <c r="F19" s="86"/>
      <c r="G19" s="86"/>
      <c r="H19" s="86"/>
      <c r="I19" s="86"/>
      <c r="J19" s="86"/>
      <c r="M19" s="92"/>
      <c r="N19" s="92"/>
      <c r="O19" s="92"/>
      <c r="P19" s="92"/>
      <c r="Q19" s="92"/>
    </row>
    <row r="20" spans="1:17" x14ac:dyDescent="0.25">
      <c r="M20" s="92"/>
      <c r="N20" s="92"/>
      <c r="O20" s="92"/>
      <c r="P20" s="92"/>
      <c r="Q20" s="92"/>
    </row>
    <row r="21" spans="1:17" x14ac:dyDescent="0.25">
      <c r="M21" s="92"/>
      <c r="N21" s="92"/>
      <c r="O21" s="92"/>
      <c r="P21" s="92"/>
      <c r="Q21" s="92"/>
    </row>
    <row r="22" spans="1:17" x14ac:dyDescent="0.25">
      <c r="M22" s="92"/>
      <c r="N22" s="92"/>
      <c r="O22" s="92"/>
      <c r="P22" s="92"/>
      <c r="Q22" s="92"/>
    </row>
    <row r="23" spans="1:17" ht="30" x14ac:dyDescent="0.25">
      <c r="A23" s="65" t="s">
        <v>62</v>
      </c>
      <c r="B23" s="64" t="s">
        <v>114</v>
      </c>
      <c r="C23" s="64" t="s">
        <v>115</v>
      </c>
      <c r="D23" s="64" t="s">
        <v>116</v>
      </c>
      <c r="E23" s="64" t="s">
        <v>114</v>
      </c>
      <c r="F23" s="64" t="s">
        <v>115</v>
      </c>
      <c r="G23" s="64" t="s">
        <v>116</v>
      </c>
      <c r="H23" s="64" t="s">
        <v>114</v>
      </c>
      <c r="I23" s="64" t="s">
        <v>115</v>
      </c>
      <c r="J23" s="64" t="s">
        <v>116</v>
      </c>
      <c r="K23" s="64" t="s">
        <v>66</v>
      </c>
      <c r="M23" s="92"/>
      <c r="N23" s="92"/>
      <c r="O23" s="92"/>
      <c r="P23" s="92"/>
      <c r="Q23" s="92"/>
    </row>
    <row r="24" spans="1:17" x14ac:dyDescent="0.25">
      <c r="A24" s="67">
        <v>2.8333333333333339</v>
      </c>
      <c r="B24" s="1">
        <v>2460.21</v>
      </c>
      <c r="C24" s="1">
        <v>2461.1799999999998</v>
      </c>
      <c r="D24" s="1">
        <f>C24-B24</f>
        <v>0.96999999999979991</v>
      </c>
      <c r="E24" s="1">
        <v>2446.08</v>
      </c>
      <c r="F24" s="1">
        <v>2447.14</v>
      </c>
      <c r="G24" s="1">
        <f>F24-E24</f>
        <v>1.0599999999999454</v>
      </c>
      <c r="H24" s="1">
        <v>2475.5100000000002</v>
      </c>
      <c r="I24" s="1">
        <v>2476.64</v>
      </c>
      <c r="J24" s="1">
        <f>I24-H24</f>
        <v>1.1299999999996544</v>
      </c>
      <c r="K24" s="1">
        <f>_xlfn.STDEV.S(J24,G24,D24)</f>
        <v>8.0208062770042929E-2</v>
      </c>
      <c r="M24" s="92"/>
      <c r="N24" s="92"/>
      <c r="O24" s="92"/>
      <c r="P24" s="92"/>
      <c r="Q24" s="92"/>
    </row>
    <row r="25" spans="1:17" x14ac:dyDescent="0.25">
      <c r="A25" s="5">
        <v>3.1833333333333336</v>
      </c>
      <c r="B25" s="1">
        <v>2482.8000000000002</v>
      </c>
      <c r="C25" s="1">
        <v>2484.16</v>
      </c>
      <c r="D25" s="1">
        <f t="shared" ref="D25:D29" si="2">C25-B25</f>
        <v>1.3599999999996726</v>
      </c>
      <c r="E25" s="1">
        <v>2503.06</v>
      </c>
      <c r="F25" s="1">
        <v>2504.4499999999998</v>
      </c>
      <c r="G25" s="1">
        <f t="shared" ref="G25:G29" si="3">F25-E25</f>
        <v>1.3899999999998727</v>
      </c>
      <c r="H25" s="1">
        <v>2472.37</v>
      </c>
      <c r="I25" s="1">
        <v>2473.52</v>
      </c>
      <c r="J25" s="1">
        <f t="shared" ref="J25:J29" si="4">I25-H25</f>
        <v>1.1500000000000909</v>
      </c>
      <c r="K25" s="1">
        <f t="shared" ref="K25:K29" si="5">_xlfn.STDEV.S(J25,G25,D25)</f>
        <v>0.13076696830604911</v>
      </c>
    </row>
    <row r="26" spans="1:17" x14ac:dyDescent="0.25">
      <c r="A26" s="5">
        <v>3.3499999999999996</v>
      </c>
      <c r="B26" s="1">
        <v>2480.1</v>
      </c>
      <c r="C26" s="1">
        <v>2482.2199999999998</v>
      </c>
      <c r="D26" s="1">
        <f t="shared" si="2"/>
        <v>2.1199999999998909</v>
      </c>
      <c r="E26" s="1">
        <v>2471.89</v>
      </c>
      <c r="F26" s="1">
        <v>2473.54</v>
      </c>
      <c r="G26" s="1">
        <f t="shared" si="3"/>
        <v>1.6500000000000909</v>
      </c>
      <c r="H26" s="1">
        <v>2468.9299999999998</v>
      </c>
      <c r="I26" s="1">
        <v>2470.5500000000002</v>
      </c>
      <c r="J26" s="1">
        <f t="shared" si="4"/>
        <v>1.6200000000003456</v>
      </c>
      <c r="K26" s="1">
        <f t="shared" si="5"/>
        <v>0.28041635710711171</v>
      </c>
    </row>
    <row r="27" spans="1:17" x14ac:dyDescent="0.25">
      <c r="A27" s="5">
        <v>3.5999999999999996</v>
      </c>
      <c r="B27" s="1">
        <v>2455.06</v>
      </c>
      <c r="C27" s="1">
        <v>2457.16</v>
      </c>
      <c r="D27" s="1">
        <f t="shared" si="2"/>
        <v>2.0999999999999091</v>
      </c>
      <c r="E27" s="1">
        <v>2492.19</v>
      </c>
      <c r="F27" s="1">
        <v>2494.4499999999998</v>
      </c>
      <c r="G27" s="1">
        <f t="shared" si="3"/>
        <v>2.2599999999997635</v>
      </c>
      <c r="H27" s="1">
        <v>2497.0700000000002</v>
      </c>
      <c r="I27" s="1">
        <v>2498.94</v>
      </c>
      <c r="J27" s="1">
        <f t="shared" si="4"/>
        <v>1.8699999999998909</v>
      </c>
      <c r="K27" s="1">
        <f t="shared" si="5"/>
        <v>0.19604421270037636</v>
      </c>
    </row>
    <row r="28" spans="1:17" x14ac:dyDescent="0.25">
      <c r="A28" s="5">
        <v>3.8833333333333329</v>
      </c>
      <c r="B28" s="1">
        <v>2487.17</v>
      </c>
      <c r="C28" s="1">
        <v>2489.71</v>
      </c>
      <c r="D28" s="1">
        <f t="shared" si="2"/>
        <v>2.5399999999999636</v>
      </c>
      <c r="E28" s="1">
        <v>2488.3200000000002</v>
      </c>
      <c r="F28" s="1">
        <v>2490.27</v>
      </c>
      <c r="G28" s="1">
        <f t="shared" si="3"/>
        <v>1.9499999999998181</v>
      </c>
      <c r="H28" s="1">
        <v>2476.02</v>
      </c>
      <c r="I28" s="1">
        <v>2478.5700000000002</v>
      </c>
      <c r="J28" s="1">
        <f t="shared" si="4"/>
        <v>2.5500000000001819</v>
      </c>
      <c r="K28" s="1">
        <f t="shared" si="5"/>
        <v>0.34355979586301422</v>
      </c>
    </row>
    <row r="29" spans="1:17" x14ac:dyDescent="0.25">
      <c r="A29" s="33">
        <v>4.1500000000000004</v>
      </c>
      <c r="B29" s="23">
        <v>2486.13</v>
      </c>
      <c r="C29" s="23">
        <v>2489.38</v>
      </c>
      <c r="D29" s="23">
        <f t="shared" si="2"/>
        <v>3.25</v>
      </c>
      <c r="E29" s="23">
        <v>2493.1799999999998</v>
      </c>
      <c r="F29" s="23">
        <v>2496.46</v>
      </c>
      <c r="G29" s="23">
        <f t="shared" si="3"/>
        <v>3.2800000000002001</v>
      </c>
      <c r="H29" s="23">
        <v>2487.63</v>
      </c>
      <c r="I29" s="23">
        <v>2490.58</v>
      </c>
      <c r="J29" s="23">
        <f t="shared" si="4"/>
        <v>2.9499999999998181</v>
      </c>
      <c r="K29" s="23">
        <f t="shared" si="5"/>
        <v>0.18248287590911705</v>
      </c>
    </row>
    <row r="34" spans="1:9" x14ac:dyDescent="0.25">
      <c r="A34" t="s">
        <v>26</v>
      </c>
    </row>
    <row r="35" spans="1:9" ht="30" x14ac:dyDescent="0.25">
      <c r="A35" s="8" t="s">
        <v>27</v>
      </c>
      <c r="B35" s="58" t="s">
        <v>28</v>
      </c>
      <c r="C35" s="8"/>
      <c r="D35" s="59"/>
      <c r="E35" s="58" t="s">
        <v>29</v>
      </c>
      <c r="F35" s="8"/>
      <c r="G35" s="59"/>
      <c r="H35" s="76" t="s">
        <v>117</v>
      </c>
      <c r="I35" s="59" t="s">
        <v>31</v>
      </c>
    </row>
    <row r="36" spans="1:9" x14ac:dyDescent="0.25">
      <c r="A36" s="3">
        <v>2.8333333333333335</v>
      </c>
      <c r="B36" s="17">
        <v>0.96999999999979991</v>
      </c>
      <c r="C36" s="6">
        <v>1.0599999999999454</v>
      </c>
      <c r="D36" s="18">
        <v>1.1299999999996544</v>
      </c>
      <c r="E36" s="10">
        <f t="shared" ref="E36:E39" si="6">LOG(B36)</f>
        <v>-1.3228265733844733E-2</v>
      </c>
      <c r="F36" s="11">
        <f t="shared" ref="F36:F41" si="7">LOG(C36)</f>
        <v>2.5305865264747884E-2</v>
      </c>
      <c r="G36" s="12">
        <f t="shared" ref="G36:G39" si="8">LOG(D36)</f>
        <v>5.3078443483286893E-2</v>
      </c>
      <c r="H36" s="13">
        <f>AVERAGE(E36:G36)</f>
        <v>2.1718681004730015E-2</v>
      </c>
      <c r="I36" s="12">
        <f>_xlfn.STDEV.S(E36:G36)</f>
        <v>3.3298586155988692E-2</v>
      </c>
    </row>
    <row r="37" spans="1:9" x14ac:dyDescent="0.25">
      <c r="A37" s="3">
        <v>3.1833333333333331</v>
      </c>
      <c r="B37" s="17">
        <v>1.3599999999996726</v>
      </c>
      <c r="C37" s="6">
        <v>1.3899999999998727</v>
      </c>
      <c r="D37" s="18">
        <v>1.1500000000000909</v>
      </c>
      <c r="E37" s="10">
        <f t="shared" si="6"/>
        <v>0.13353890837011295</v>
      </c>
      <c r="F37" s="11">
        <f t="shared" si="7"/>
        <v>0.1430148002540553</v>
      </c>
      <c r="G37" s="12">
        <f t="shared" si="8"/>
        <v>6.0697840353646032E-2</v>
      </c>
      <c r="H37" s="13">
        <f t="shared" ref="H37:H41" si="9">AVERAGE(E37:G37)</f>
        <v>0.11241718299260477</v>
      </c>
      <c r="I37" s="12">
        <f t="shared" ref="I37:I41" si="10">_xlfn.STDEV.S(E37:G37)</f>
        <v>4.504015912498037E-2</v>
      </c>
    </row>
    <row r="38" spans="1:9" x14ac:dyDescent="0.25">
      <c r="A38" s="3">
        <v>3.35</v>
      </c>
      <c r="B38" s="17">
        <v>2.1199999999998909</v>
      </c>
      <c r="C38" s="6">
        <v>1.6500000000000909</v>
      </c>
      <c r="D38" s="18">
        <v>1.6200000000003456</v>
      </c>
      <c r="E38" s="10">
        <f t="shared" si="6"/>
        <v>0.32633586092872907</v>
      </c>
      <c r="F38" s="11">
        <f t="shared" si="7"/>
        <v>0.21748394421393022</v>
      </c>
      <c r="G38" s="12">
        <f t="shared" si="8"/>
        <v>0.20951501454272359</v>
      </c>
      <c r="H38" s="13">
        <f t="shared" si="9"/>
        <v>0.25111160656179426</v>
      </c>
      <c r="I38" s="12">
        <f t="shared" si="10"/>
        <v>6.5267850384566437E-2</v>
      </c>
    </row>
    <row r="39" spans="1:9" x14ac:dyDescent="0.25">
      <c r="A39" s="3">
        <v>3.6</v>
      </c>
      <c r="B39" s="17">
        <v>2.0999999999999091</v>
      </c>
      <c r="C39" s="6">
        <v>2.2599999999997635</v>
      </c>
      <c r="D39" s="18">
        <v>1.8699999999998909</v>
      </c>
      <c r="E39" s="10">
        <f t="shared" si="6"/>
        <v>0.32221929473390049</v>
      </c>
      <c r="F39" s="11">
        <f t="shared" si="7"/>
        <v>0.35410843914735546</v>
      </c>
      <c r="G39" s="12">
        <f t="shared" si="8"/>
        <v>0.2718416065364736</v>
      </c>
      <c r="H39" s="13">
        <f t="shared" si="9"/>
        <v>0.31605644680590983</v>
      </c>
      <c r="I39" s="12">
        <f t="shared" si="10"/>
        <v>4.1478228721757215E-2</v>
      </c>
    </row>
    <row r="40" spans="1:9" x14ac:dyDescent="0.25">
      <c r="A40" s="3">
        <v>3.8833333333333333</v>
      </c>
      <c r="B40" s="17">
        <v>2.5399999999999636</v>
      </c>
      <c r="C40" s="6">
        <v>1.9499999999998181</v>
      </c>
      <c r="D40" s="18">
        <v>2.5500000000001819</v>
      </c>
      <c r="E40" s="10">
        <f>LOG(B40)</f>
        <v>0.40483371661993184</v>
      </c>
      <c r="F40" s="11">
        <f t="shared" si="7"/>
        <v>0.29003461136247749</v>
      </c>
      <c r="G40" s="12">
        <f>LOG(D40)</f>
        <v>0.40654018043398615</v>
      </c>
      <c r="H40" s="13">
        <f t="shared" si="9"/>
        <v>0.36713616947213179</v>
      </c>
      <c r="I40" s="12">
        <f t="shared" si="10"/>
        <v>6.6777359201225586E-2</v>
      </c>
    </row>
    <row r="41" spans="1:9" x14ac:dyDescent="0.25">
      <c r="A41" s="7">
        <v>4.1500000000000004</v>
      </c>
      <c r="B41" s="19">
        <v>3.25</v>
      </c>
      <c r="C41" s="20">
        <v>3.2800000000002001</v>
      </c>
      <c r="D41" s="21">
        <v>2.9499999999998181</v>
      </c>
      <c r="E41" s="14">
        <f>LOG(B41)</f>
        <v>0.51188336097887432</v>
      </c>
      <c r="F41" s="15">
        <f t="shared" si="7"/>
        <v>0.51587384371170553</v>
      </c>
      <c r="G41" s="16">
        <f>LOG(D41)</f>
        <v>0.46982201597813622</v>
      </c>
      <c r="H41" s="79">
        <f t="shared" si="9"/>
        <v>0.49919307355623871</v>
      </c>
      <c r="I41" s="16">
        <f t="shared" si="10"/>
        <v>2.5514216734056603E-2</v>
      </c>
    </row>
    <row r="42" spans="1:9" x14ac:dyDescent="0.25">
      <c r="B42" s="2"/>
    </row>
    <row r="43" spans="1:9" x14ac:dyDescent="0.25">
      <c r="A43" t="s">
        <v>68</v>
      </c>
      <c r="B43">
        <v>0.35670000000000002</v>
      </c>
      <c r="C43" t="s">
        <v>69</v>
      </c>
      <c r="D43">
        <v>0.98729999999999996</v>
      </c>
    </row>
    <row r="45" spans="1:9" x14ac:dyDescent="0.25">
      <c r="A45" t="s">
        <v>67</v>
      </c>
      <c r="B45" t="s">
        <v>70</v>
      </c>
      <c r="C45" t="s">
        <v>71</v>
      </c>
    </row>
    <row r="46" spans="1:9" x14ac:dyDescent="0.25">
      <c r="A46" s="1">
        <v>3.2</v>
      </c>
      <c r="B46" s="54">
        <f>(A46*$B$43) -$D$43</f>
        <v>0.15414000000000005</v>
      </c>
      <c r="C46" s="1">
        <f>10^B46</f>
        <v>1.4260672292738135</v>
      </c>
    </row>
    <row r="47" spans="1:9" x14ac:dyDescent="0.25">
      <c r="A47" s="1">
        <v>3.2333333333333334</v>
      </c>
      <c r="B47" s="54">
        <f>(A47*$B$43) -$D$43</f>
        <v>0.16603000000000001</v>
      </c>
      <c r="C47" s="1">
        <f t="shared" ref="C47:C55" si="11">10^B47</f>
        <v>1.4656490809109253</v>
      </c>
    </row>
    <row r="48" spans="1:9" x14ac:dyDescent="0.25">
      <c r="A48" s="1">
        <v>3.2666666666666666</v>
      </c>
      <c r="B48" s="54">
        <f>(A48*$B$43) -$D$43</f>
        <v>0.17792000000000019</v>
      </c>
      <c r="C48" s="1">
        <f t="shared" si="11"/>
        <v>1.5063295644686521</v>
      </c>
    </row>
    <row r="49" spans="1:9" x14ac:dyDescent="0.25">
      <c r="A49" s="1">
        <v>3.3</v>
      </c>
      <c r="B49" s="54">
        <f>(A49*$B$43) -$D$43</f>
        <v>0.18981000000000015</v>
      </c>
      <c r="C49" s="1">
        <f t="shared" si="11"/>
        <v>1.548139173520362</v>
      </c>
    </row>
    <row r="50" spans="1:9" x14ac:dyDescent="0.25">
      <c r="A50" s="1">
        <v>3.333333333333333</v>
      </c>
      <c r="B50" s="54">
        <f>(A50*$B$43) -$D$43</f>
        <v>0.2017000000000001</v>
      </c>
      <c r="C50" s="1">
        <f t="shared" si="11"/>
        <v>1.5911092480175426</v>
      </c>
    </row>
    <row r="51" spans="1:9" x14ac:dyDescent="0.25">
      <c r="A51" s="1">
        <v>3.3666666666666663</v>
      </c>
      <c r="B51" s="54">
        <f>(A51*$B$43) -$D$43</f>
        <v>0.21359000000000006</v>
      </c>
      <c r="C51" s="1">
        <f t="shared" si="11"/>
        <v>1.6352719977818275</v>
      </c>
    </row>
    <row r="52" spans="1:9" x14ac:dyDescent="0.25">
      <c r="A52" s="1">
        <v>3.3999999999999995</v>
      </c>
      <c r="B52" s="54">
        <f>(A52*$B$43) -$D$43</f>
        <v>0.22548000000000001</v>
      </c>
      <c r="C52" s="1">
        <f t="shared" si="11"/>
        <v>1.6806605266490704</v>
      </c>
    </row>
    <row r="53" spans="1:9" x14ac:dyDescent="0.25">
      <c r="A53" s="1">
        <v>3.4333333333333336</v>
      </c>
      <c r="B53" s="54">
        <f>(A53*$B$43) -$D$43</f>
        <v>0.23737000000000019</v>
      </c>
      <c r="C53" s="1">
        <f>10^B53</f>
        <v>1.7273088572835598</v>
      </c>
    </row>
    <row r="54" spans="1:9" x14ac:dyDescent="0.25">
      <c r="A54" s="1">
        <v>3.4666666666666677</v>
      </c>
      <c r="B54" s="54">
        <f>(A54*$B$43) -$D$43</f>
        <v>0.24926000000000037</v>
      </c>
      <c r="C54" s="1">
        <f t="shared" si="11"/>
        <v>1.7752519566809728</v>
      </c>
    </row>
    <row r="55" spans="1:9" x14ac:dyDescent="0.25">
      <c r="A55" s="1">
        <v>3.5000000000000009</v>
      </c>
      <c r="B55" s="54">
        <f>(A55*$B$43) -$D$43</f>
        <v>0.26115000000000033</v>
      </c>
      <c r="C55" s="1">
        <f t="shared" si="11"/>
        <v>1.8245257623791939</v>
      </c>
    </row>
    <row r="58" spans="1:9" x14ac:dyDescent="0.25">
      <c r="A58" s="81"/>
      <c r="I58" s="2"/>
    </row>
    <row r="59" spans="1:9" x14ac:dyDescent="0.25">
      <c r="A59" s="81"/>
    </row>
    <row r="60" spans="1:9" x14ac:dyDescent="0.25">
      <c r="A60" s="82"/>
    </row>
    <row r="61" spans="1:9" x14ac:dyDescent="0.25">
      <c r="A61" s="82"/>
    </row>
    <row r="62" spans="1:9" x14ac:dyDescent="0.25">
      <c r="A62" s="82"/>
    </row>
    <row r="63" spans="1:9" x14ac:dyDescent="0.25">
      <c r="A63" s="82"/>
    </row>
    <row r="64" spans="1:9" x14ac:dyDescent="0.25">
      <c r="A64" s="82"/>
    </row>
    <row r="65" spans="1:2" x14ac:dyDescent="0.25">
      <c r="A65" s="82"/>
    </row>
    <row r="66" spans="1:2" x14ac:dyDescent="0.25">
      <c r="A66" s="5"/>
    </row>
    <row r="67" spans="1:2" x14ac:dyDescent="0.25">
      <c r="A67" s="5"/>
    </row>
    <row r="68" spans="1:2" x14ac:dyDescent="0.25">
      <c r="A68" s="5"/>
    </row>
    <row r="69" spans="1:2" x14ac:dyDescent="0.25">
      <c r="A69" s="5"/>
    </row>
    <row r="70" spans="1:2" x14ac:dyDescent="0.25">
      <c r="A70" s="5"/>
    </row>
    <row r="71" spans="1:2" x14ac:dyDescent="0.25">
      <c r="A71" s="5"/>
    </row>
    <row r="72" spans="1:2" x14ac:dyDescent="0.25">
      <c r="A72" s="5"/>
    </row>
    <row r="73" spans="1:2" x14ac:dyDescent="0.25">
      <c r="A73" s="5"/>
    </row>
    <row r="74" spans="1:2" x14ac:dyDescent="0.25">
      <c r="A74" s="5"/>
    </row>
    <row r="75" spans="1:2" x14ac:dyDescent="0.25">
      <c r="A75" s="5"/>
    </row>
    <row r="76" spans="1:2" x14ac:dyDescent="0.25">
      <c r="A76" s="5"/>
    </row>
    <row r="80" spans="1:2" x14ac:dyDescent="0.25">
      <c r="A80" s="77"/>
      <c r="B80" s="77"/>
    </row>
    <row r="88" spans="1:9" x14ac:dyDescent="0.25">
      <c r="A88" s="78"/>
      <c r="B88" s="78"/>
      <c r="C88" s="78"/>
      <c r="D88" s="78"/>
      <c r="E88" s="78"/>
      <c r="F88" s="78"/>
    </row>
    <row r="93" spans="1:9" x14ac:dyDescent="0.25">
      <c r="A93" s="78"/>
      <c r="B93" s="78"/>
      <c r="C93" s="78"/>
      <c r="D93" s="78"/>
      <c r="E93" s="78"/>
      <c r="F93" s="78"/>
      <c r="G93" s="78"/>
      <c r="H93" s="78"/>
      <c r="I93" s="78"/>
    </row>
  </sheetData>
  <mergeCells count="5">
    <mergeCell ref="A58:A59"/>
    <mergeCell ref="A60:A61"/>
    <mergeCell ref="A62:A63"/>
    <mergeCell ref="A64:A65"/>
    <mergeCell ref="A18:J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D457-1964-45EA-B292-B8A1069E432D}">
  <dimension ref="A1:M57"/>
  <sheetViews>
    <sheetView workbookViewId="0">
      <selection activeCell="C35" sqref="C35"/>
    </sheetView>
  </sheetViews>
  <sheetFormatPr defaultColWidth="11.42578125" defaultRowHeight="15" x14ac:dyDescent="0.25"/>
  <sheetData>
    <row r="1" spans="1:12" x14ac:dyDescent="0.25">
      <c r="A1" t="s">
        <v>113</v>
      </c>
      <c r="B1" s="4">
        <v>0.37291666666666662</v>
      </c>
    </row>
    <row r="2" spans="1:12" x14ac:dyDescent="0.25">
      <c r="A2" t="s">
        <v>42</v>
      </c>
      <c r="D2" t="s">
        <v>2</v>
      </c>
      <c r="E2" t="s">
        <v>87</v>
      </c>
      <c r="F2">
        <f>8+(57/60)</f>
        <v>8.9499999999999993</v>
      </c>
    </row>
    <row r="4" spans="1:12" ht="45" x14ac:dyDescent="0.25">
      <c r="A4" s="26" t="s">
        <v>63</v>
      </c>
      <c r="B4" s="26" t="s">
        <v>97</v>
      </c>
      <c r="C4" s="26" t="s">
        <v>64</v>
      </c>
      <c r="D4" s="26" t="s">
        <v>8</v>
      </c>
      <c r="E4" s="26" t="s">
        <v>43</v>
      </c>
      <c r="F4" s="26" t="s">
        <v>44</v>
      </c>
      <c r="G4" s="26" t="s">
        <v>10</v>
      </c>
      <c r="H4" s="26" t="s">
        <v>11</v>
      </c>
      <c r="I4" s="26" t="s">
        <v>12</v>
      </c>
      <c r="J4" s="26" t="s">
        <v>13</v>
      </c>
      <c r="K4" s="26" t="s">
        <v>14</v>
      </c>
      <c r="L4" s="26" t="s">
        <v>15</v>
      </c>
    </row>
    <row r="5" spans="1:12" x14ac:dyDescent="0.25">
      <c r="A5" s="67" t="s">
        <v>72</v>
      </c>
      <c r="B5" s="67" t="s">
        <v>95</v>
      </c>
      <c r="C5" s="67">
        <f t="shared" ref="C5:C19" si="0">A5+(B5/60)-$F$2</f>
        <v>0</v>
      </c>
      <c r="D5" s="66" t="s">
        <v>45</v>
      </c>
      <c r="E5" s="66"/>
      <c r="F5" s="66"/>
      <c r="G5" s="71" t="s">
        <v>46</v>
      </c>
      <c r="H5" s="66">
        <v>0</v>
      </c>
      <c r="I5" s="66" t="s">
        <v>46</v>
      </c>
      <c r="J5" s="66">
        <f>1500</f>
        <v>1500</v>
      </c>
      <c r="K5" s="66"/>
      <c r="L5" s="66"/>
    </row>
    <row r="6" spans="1:12" x14ac:dyDescent="0.25">
      <c r="A6" s="5" t="s">
        <v>74</v>
      </c>
      <c r="B6" s="5" t="s">
        <v>96</v>
      </c>
      <c r="C6" s="5">
        <f t="shared" si="0"/>
        <v>8.3333333333333925E-2</v>
      </c>
      <c r="D6" s="6">
        <v>2.5000000000000001E-2</v>
      </c>
      <c r="E6" s="6"/>
      <c r="F6" s="6"/>
      <c r="G6" s="51" t="s">
        <v>17</v>
      </c>
      <c r="H6" s="6">
        <v>0</v>
      </c>
      <c r="I6" s="6">
        <v>9</v>
      </c>
      <c r="J6" s="6">
        <f>J5+H6-I6</f>
        <v>1491</v>
      </c>
      <c r="K6" s="6"/>
      <c r="L6" s="6"/>
    </row>
    <row r="7" spans="1:12" x14ac:dyDescent="0.25">
      <c r="A7" s="5" t="s">
        <v>76</v>
      </c>
      <c r="B7" s="5" t="s">
        <v>96</v>
      </c>
      <c r="C7" s="5">
        <f t="shared" si="0"/>
        <v>1.0833333333333339</v>
      </c>
      <c r="D7" s="6">
        <v>2.8000000000000001E-2</v>
      </c>
      <c r="E7" s="6"/>
      <c r="F7" s="6"/>
      <c r="G7" s="6" t="s">
        <v>46</v>
      </c>
      <c r="H7" s="6">
        <v>3</v>
      </c>
      <c r="I7" s="6">
        <v>1</v>
      </c>
      <c r="J7" s="6">
        <f>J6+H7-I7</f>
        <v>1493</v>
      </c>
      <c r="K7" s="6"/>
      <c r="L7" s="6"/>
    </row>
    <row r="8" spans="1:12" x14ac:dyDescent="0.25">
      <c r="A8" s="5" t="s">
        <v>78</v>
      </c>
      <c r="B8" s="5" t="s">
        <v>73</v>
      </c>
      <c r="C8" s="5">
        <f t="shared" si="0"/>
        <v>2.0500000000000007</v>
      </c>
      <c r="D8" s="6">
        <v>3.5999999999999997E-2</v>
      </c>
      <c r="E8" s="6"/>
      <c r="F8" s="6"/>
      <c r="G8" s="6" t="s">
        <v>46</v>
      </c>
      <c r="H8" s="6">
        <v>2</v>
      </c>
      <c r="I8" s="6">
        <v>1</v>
      </c>
      <c r="J8" s="6">
        <f>J7+H8-I8</f>
        <v>1494</v>
      </c>
      <c r="K8" s="6"/>
      <c r="L8" s="6"/>
    </row>
    <row r="9" spans="1:12" x14ac:dyDescent="0.25">
      <c r="A9" s="5" t="s">
        <v>79</v>
      </c>
      <c r="B9" s="5" t="s">
        <v>73</v>
      </c>
      <c r="C9" s="5">
        <f t="shared" si="0"/>
        <v>3.0500000000000007</v>
      </c>
      <c r="D9" s="6">
        <v>5.7000000000000002E-2</v>
      </c>
      <c r="E9" s="6"/>
      <c r="F9" s="6"/>
      <c r="G9" s="6" t="s">
        <v>46</v>
      </c>
      <c r="H9" s="6">
        <v>0</v>
      </c>
      <c r="I9" s="6">
        <v>1</v>
      </c>
      <c r="J9" s="6">
        <f>J8+H9-I9</f>
        <v>1493</v>
      </c>
      <c r="K9" s="6"/>
      <c r="L9" s="6"/>
    </row>
    <row r="10" spans="1:12" x14ac:dyDescent="0.25">
      <c r="A10" s="5" t="s">
        <v>81</v>
      </c>
      <c r="B10" s="5" t="s">
        <v>73</v>
      </c>
      <c r="C10" s="5">
        <f t="shared" si="0"/>
        <v>4.0500000000000007</v>
      </c>
      <c r="D10" s="6">
        <v>0.122</v>
      </c>
      <c r="E10" s="6"/>
      <c r="F10" s="6"/>
      <c r="G10" s="6" t="s">
        <v>18</v>
      </c>
      <c r="H10" s="6">
        <v>0</v>
      </c>
      <c r="I10" s="6">
        <v>4</v>
      </c>
      <c r="J10" s="6">
        <f>J9+H10-I10</f>
        <v>1489</v>
      </c>
      <c r="K10" s="6"/>
      <c r="L10" s="6"/>
    </row>
    <row r="11" spans="1:12" x14ac:dyDescent="0.25">
      <c r="A11" s="5" t="s">
        <v>81</v>
      </c>
      <c r="B11" s="5" t="s">
        <v>85</v>
      </c>
      <c r="C11" s="5">
        <f t="shared" si="0"/>
        <v>4.5500000000000007</v>
      </c>
      <c r="D11" s="6">
        <v>0.17</v>
      </c>
      <c r="E11" s="6"/>
      <c r="F11" s="6"/>
      <c r="G11" s="6" t="s">
        <v>46</v>
      </c>
      <c r="H11" s="6">
        <v>0</v>
      </c>
      <c r="I11" s="6">
        <v>1</v>
      </c>
      <c r="J11" s="6">
        <f t="shared" ref="J11:J19" si="1">J10+H11-I11</f>
        <v>1488</v>
      </c>
      <c r="K11" s="6"/>
      <c r="L11" s="6"/>
    </row>
    <row r="12" spans="1:12" x14ac:dyDescent="0.25">
      <c r="A12" s="5" t="s">
        <v>77</v>
      </c>
      <c r="B12" s="5" t="s">
        <v>73</v>
      </c>
      <c r="C12" s="5">
        <f t="shared" si="0"/>
        <v>5.0500000000000007</v>
      </c>
      <c r="D12" s="6">
        <v>0.26700000000000002</v>
      </c>
      <c r="E12" s="6"/>
      <c r="F12" s="6"/>
      <c r="G12" s="6" t="s">
        <v>46</v>
      </c>
      <c r="H12" s="6">
        <v>0</v>
      </c>
      <c r="I12" s="6">
        <v>1</v>
      </c>
      <c r="J12" s="6">
        <f t="shared" si="1"/>
        <v>1487</v>
      </c>
      <c r="K12" s="6"/>
      <c r="L12" s="6"/>
    </row>
    <row r="13" spans="1:12" x14ac:dyDescent="0.25">
      <c r="A13" s="5" t="s">
        <v>80</v>
      </c>
      <c r="B13" s="5" t="s">
        <v>73</v>
      </c>
      <c r="C13" s="5">
        <f t="shared" si="0"/>
        <v>6.0500000000000007</v>
      </c>
      <c r="D13" s="6">
        <v>0.627</v>
      </c>
      <c r="E13" s="5">
        <v>0.73666666666667879</v>
      </c>
      <c r="F13" s="6"/>
      <c r="G13" s="6" t="s">
        <v>19</v>
      </c>
      <c r="H13" s="6">
        <v>0</v>
      </c>
      <c r="I13" s="6">
        <v>1</v>
      </c>
      <c r="J13" s="6">
        <f t="shared" si="1"/>
        <v>1486</v>
      </c>
      <c r="K13" s="6"/>
      <c r="L13" s="6"/>
    </row>
    <row r="14" spans="1:12" x14ac:dyDescent="0.25">
      <c r="A14" s="5" t="s">
        <v>80</v>
      </c>
      <c r="B14" s="5" t="s">
        <v>85</v>
      </c>
      <c r="C14" s="5">
        <f t="shared" si="0"/>
        <v>6.5500000000000007</v>
      </c>
      <c r="D14" s="6">
        <v>1.1080000000000001</v>
      </c>
      <c r="E14" s="5">
        <v>0.42333333333332729</v>
      </c>
      <c r="F14" s="6"/>
      <c r="G14" s="6" t="s">
        <v>20</v>
      </c>
      <c r="H14" s="6">
        <v>2</v>
      </c>
      <c r="I14" s="6">
        <v>4</v>
      </c>
      <c r="J14" s="6">
        <f t="shared" si="1"/>
        <v>1484</v>
      </c>
      <c r="K14" s="6"/>
      <c r="L14" s="6"/>
    </row>
    <row r="15" spans="1:12" x14ac:dyDescent="0.25">
      <c r="A15" s="5" t="s">
        <v>80</v>
      </c>
      <c r="B15" s="5" t="s">
        <v>83</v>
      </c>
      <c r="C15" s="5">
        <f t="shared" si="0"/>
        <v>6.8000000000000007</v>
      </c>
      <c r="D15" s="6">
        <v>1.296</v>
      </c>
      <c r="E15" s="5">
        <v>1.1966666666665635</v>
      </c>
      <c r="F15" s="6"/>
      <c r="G15" s="6" t="s">
        <v>21</v>
      </c>
      <c r="H15" s="6">
        <v>2</v>
      </c>
      <c r="I15" s="6">
        <v>4</v>
      </c>
      <c r="J15" s="6">
        <f t="shared" si="1"/>
        <v>1482</v>
      </c>
      <c r="K15" s="6"/>
      <c r="L15" s="6"/>
    </row>
    <row r="16" spans="1:12" x14ac:dyDescent="0.25">
      <c r="A16" s="5" t="s">
        <v>84</v>
      </c>
      <c r="B16" s="5" t="s">
        <v>73</v>
      </c>
      <c r="C16" s="5">
        <f t="shared" si="0"/>
        <v>7.0500000000000007</v>
      </c>
      <c r="D16" s="6">
        <v>1.5680000000000001</v>
      </c>
      <c r="E16" s="5">
        <v>0.93333333333339397</v>
      </c>
      <c r="F16" s="6"/>
      <c r="G16" s="6" t="s">
        <v>23</v>
      </c>
      <c r="H16" s="6">
        <v>2</v>
      </c>
      <c r="I16" s="6">
        <v>4</v>
      </c>
      <c r="J16" s="6">
        <f t="shared" si="1"/>
        <v>1480</v>
      </c>
      <c r="K16" s="6"/>
      <c r="L16" s="6"/>
    </row>
    <row r="17" spans="1:13" x14ac:dyDescent="0.25">
      <c r="A17" s="5" t="s">
        <v>84</v>
      </c>
      <c r="B17" s="5" t="s">
        <v>80</v>
      </c>
      <c r="C17" s="5">
        <f t="shared" si="0"/>
        <v>7.3000000000000007</v>
      </c>
      <c r="D17" s="6">
        <v>2.19</v>
      </c>
      <c r="E17" s="5">
        <v>1.1700000000000728</v>
      </c>
      <c r="F17" s="6"/>
      <c r="G17" s="6" t="s">
        <v>24</v>
      </c>
      <c r="H17" s="6">
        <v>0</v>
      </c>
      <c r="I17" s="6">
        <v>4</v>
      </c>
      <c r="J17" s="6">
        <f t="shared" si="1"/>
        <v>1476</v>
      </c>
      <c r="K17" s="6" t="s">
        <v>22</v>
      </c>
      <c r="L17" s="6"/>
    </row>
    <row r="18" spans="1:13" x14ac:dyDescent="0.25">
      <c r="A18" s="5" t="s">
        <v>84</v>
      </c>
      <c r="B18" s="5" t="s">
        <v>85</v>
      </c>
      <c r="C18" s="5">
        <f t="shared" si="0"/>
        <v>7.5500000000000007</v>
      </c>
      <c r="D18" s="6">
        <v>2.5299999999999998</v>
      </c>
      <c r="E18" s="5">
        <v>1.1166666666664848</v>
      </c>
      <c r="F18" s="6"/>
      <c r="G18" s="6" t="s">
        <v>37</v>
      </c>
      <c r="H18" s="6">
        <v>0</v>
      </c>
      <c r="I18" s="6">
        <v>4</v>
      </c>
      <c r="J18" s="6">
        <f t="shared" si="1"/>
        <v>1472</v>
      </c>
      <c r="K18" s="6"/>
      <c r="L18" s="6"/>
    </row>
    <row r="19" spans="1:13" x14ac:dyDescent="0.25">
      <c r="A19" s="33" t="s">
        <v>84</v>
      </c>
      <c r="B19" s="33" t="s">
        <v>83</v>
      </c>
      <c r="C19" s="33">
        <f t="shared" si="0"/>
        <v>7.8000000000000007</v>
      </c>
      <c r="D19" s="20">
        <v>3.4</v>
      </c>
      <c r="E19" s="33">
        <v>1.8533333333333151</v>
      </c>
      <c r="F19" s="20"/>
      <c r="G19" s="20" t="s">
        <v>47</v>
      </c>
      <c r="H19" s="20">
        <v>4</v>
      </c>
      <c r="I19" s="20">
        <v>4</v>
      </c>
      <c r="J19" s="20">
        <f t="shared" si="1"/>
        <v>1472</v>
      </c>
      <c r="K19" s="20"/>
      <c r="L19" s="20"/>
    </row>
    <row r="22" spans="1:13" ht="30" x14ac:dyDescent="0.25">
      <c r="A22" s="65" t="s">
        <v>62</v>
      </c>
      <c r="B22" s="64" t="s">
        <v>114</v>
      </c>
      <c r="C22" s="64" t="s">
        <v>115</v>
      </c>
      <c r="D22" s="64" t="s">
        <v>116</v>
      </c>
      <c r="E22" s="64" t="s">
        <v>114</v>
      </c>
      <c r="F22" s="64" t="s">
        <v>115</v>
      </c>
      <c r="G22" s="64" t="s">
        <v>116</v>
      </c>
      <c r="H22" s="64" t="s">
        <v>114</v>
      </c>
      <c r="I22" s="64" t="s">
        <v>115</v>
      </c>
      <c r="J22" s="64" t="s">
        <v>116</v>
      </c>
      <c r="K22" s="64" t="s">
        <v>66</v>
      </c>
    </row>
    <row r="23" spans="1:13" x14ac:dyDescent="0.25">
      <c r="A23" s="67">
        <v>6.0500000000000007</v>
      </c>
      <c r="B23">
        <v>2473.61</v>
      </c>
      <c r="C23">
        <v>2474.02</v>
      </c>
      <c r="D23">
        <f>C23-B23</f>
        <v>0.40999999999985448</v>
      </c>
      <c r="E23">
        <v>2508.63</v>
      </c>
      <c r="F23">
        <v>2509.0500000000002</v>
      </c>
      <c r="G23">
        <f>F23-E23</f>
        <v>0.42000000000007276</v>
      </c>
      <c r="H23">
        <v>2496.6799999999998</v>
      </c>
      <c r="I23">
        <v>2497.12</v>
      </c>
      <c r="J23">
        <f>I23-H23</f>
        <v>0.44000000000005457</v>
      </c>
      <c r="K23">
        <f>_xlfn.STDEV.S(J23,G23,D23)</f>
        <v>1.5275252316604808E-2</v>
      </c>
    </row>
    <row r="24" spans="1:13" x14ac:dyDescent="0.25">
      <c r="A24" s="5">
        <v>6.5500000000000007</v>
      </c>
      <c r="B24">
        <v>2478.23</v>
      </c>
      <c r="C24">
        <v>2478.94</v>
      </c>
      <c r="D24">
        <f>C24-B24</f>
        <v>0.71000000000003638</v>
      </c>
      <c r="E24">
        <v>2485.06</v>
      </c>
      <c r="F24">
        <v>2485.87</v>
      </c>
      <c r="G24">
        <f t="shared" ref="G24:G29" si="2">F24-E24</f>
        <v>0.80999999999994543</v>
      </c>
      <c r="H24">
        <v>2453.4299999999998</v>
      </c>
      <c r="I24">
        <v>2454.12</v>
      </c>
      <c r="J24">
        <f>I24-H24</f>
        <v>0.69000000000005457</v>
      </c>
      <c r="K24">
        <f>_xlfn.STDEV.S(J24,G24,D24)</f>
        <v>6.4291005073227894E-2</v>
      </c>
    </row>
    <row r="25" spans="1:13" x14ac:dyDescent="0.25">
      <c r="A25" s="5">
        <v>6.8000000000000007</v>
      </c>
      <c r="B25">
        <v>2457.81</v>
      </c>
      <c r="C25">
        <v>2458.7399999999998</v>
      </c>
      <c r="D25">
        <f t="shared" ref="D25:D29" si="3">C25-B25</f>
        <v>0.92999999999983629</v>
      </c>
      <c r="E25">
        <v>2494.09</v>
      </c>
      <c r="F25">
        <v>2495.34</v>
      </c>
      <c r="G25">
        <f t="shared" si="2"/>
        <v>1.25</v>
      </c>
      <c r="H25">
        <v>2502.0100000000002</v>
      </c>
      <c r="I25">
        <v>2503.42</v>
      </c>
      <c r="J25">
        <f t="shared" ref="J25:J29" si="4">I25-H25</f>
        <v>1.4099999999998545</v>
      </c>
      <c r="K25">
        <f t="shared" ref="K25:K29" si="5">_xlfn.STDEV.S(J25,G25,D25)</f>
        <v>0.24440403706433797</v>
      </c>
    </row>
    <row r="26" spans="1:13" x14ac:dyDescent="0.25">
      <c r="A26" s="5">
        <v>7.0500000000000007</v>
      </c>
      <c r="B26">
        <v>2475.29</v>
      </c>
      <c r="C26">
        <v>2476.09</v>
      </c>
      <c r="D26">
        <f t="shared" si="3"/>
        <v>0.8000000000001819</v>
      </c>
      <c r="E26">
        <v>2452.48</v>
      </c>
      <c r="F26">
        <v>2453.4</v>
      </c>
      <c r="G26">
        <f t="shared" si="2"/>
        <v>0.92000000000007276</v>
      </c>
      <c r="H26">
        <v>2468.65</v>
      </c>
      <c r="I26">
        <v>2469.73</v>
      </c>
      <c r="J26">
        <f t="shared" si="4"/>
        <v>1.0799999999999272</v>
      </c>
      <c r="K26">
        <f t="shared" si="5"/>
        <v>0.14047538337124199</v>
      </c>
    </row>
    <row r="27" spans="1:13" x14ac:dyDescent="0.25">
      <c r="A27" s="5">
        <v>7.3000000000000007</v>
      </c>
      <c r="B27">
        <v>2481.9299999999998</v>
      </c>
      <c r="C27">
        <v>2483.0500000000002</v>
      </c>
      <c r="D27">
        <f t="shared" si="3"/>
        <v>1.1200000000003456</v>
      </c>
      <c r="E27">
        <v>2501.59</v>
      </c>
      <c r="F27">
        <v>2502.9</v>
      </c>
      <c r="G27">
        <f t="shared" si="2"/>
        <v>1.3099999999999454</v>
      </c>
      <c r="H27">
        <v>2483.4</v>
      </c>
      <c r="I27">
        <v>2484.48</v>
      </c>
      <c r="J27">
        <f t="shared" si="4"/>
        <v>1.0799999999999272</v>
      </c>
      <c r="K27">
        <f t="shared" si="5"/>
        <v>0.12288205727437032</v>
      </c>
      <c r="M27" s="6"/>
    </row>
    <row r="28" spans="1:13" x14ac:dyDescent="0.25">
      <c r="A28" s="5">
        <v>7.5500000000000007</v>
      </c>
      <c r="B28">
        <v>2474.2800000000002</v>
      </c>
      <c r="C28">
        <v>2475.3000000000002</v>
      </c>
      <c r="D28">
        <f t="shared" si="3"/>
        <v>1.0199999999999818</v>
      </c>
      <c r="E28">
        <v>2460.0100000000002</v>
      </c>
      <c r="F28">
        <v>2461.16</v>
      </c>
      <c r="G28">
        <f t="shared" si="2"/>
        <v>1.1499999999996362</v>
      </c>
      <c r="H28">
        <v>2457.59</v>
      </c>
      <c r="I28">
        <v>2458.77</v>
      </c>
      <c r="J28">
        <f t="shared" si="4"/>
        <v>1.1799999999998363</v>
      </c>
      <c r="K28">
        <f t="shared" si="5"/>
        <v>8.504900548103192E-2</v>
      </c>
      <c r="M28" s="39"/>
    </row>
    <row r="29" spans="1:13" x14ac:dyDescent="0.25">
      <c r="A29" s="6">
        <v>7.8000000000000007</v>
      </c>
      <c r="B29">
        <v>2511.9499999999998</v>
      </c>
      <c r="C29">
        <v>2513.9</v>
      </c>
      <c r="D29">
        <f t="shared" si="3"/>
        <v>1.9500000000002728</v>
      </c>
      <c r="E29">
        <v>2488.3200000000002</v>
      </c>
      <c r="F29">
        <v>2490.09</v>
      </c>
      <c r="G29">
        <f t="shared" si="2"/>
        <v>1.7699999999999818</v>
      </c>
      <c r="H29">
        <v>2507.63</v>
      </c>
      <c r="I29">
        <v>2509.4699999999998</v>
      </c>
      <c r="J29">
        <f t="shared" si="4"/>
        <v>1.8399999999996908</v>
      </c>
      <c r="K29">
        <f t="shared" si="5"/>
        <v>9.0737717258951078E-2</v>
      </c>
      <c r="M29" s="6"/>
    </row>
    <row r="30" spans="1:13" x14ac:dyDescent="0.25">
      <c r="M30" s="2"/>
    </row>
    <row r="31" spans="1:13" x14ac:dyDescent="0.25">
      <c r="M31" s="2"/>
    </row>
    <row r="32" spans="1:13" x14ac:dyDescent="0.25">
      <c r="M32" s="2"/>
    </row>
    <row r="33" spans="1:13" x14ac:dyDescent="0.25">
      <c r="M33" s="2"/>
    </row>
    <row r="34" spans="1:13" ht="30" x14ac:dyDescent="0.25">
      <c r="A34" s="26" t="s">
        <v>38</v>
      </c>
      <c r="B34" s="27" t="s">
        <v>8</v>
      </c>
      <c r="C34" s="88" t="s">
        <v>28</v>
      </c>
      <c r="D34" s="87"/>
      <c r="E34" s="89"/>
      <c r="F34" s="88" t="s">
        <v>48</v>
      </c>
      <c r="G34" s="87"/>
      <c r="H34" s="89"/>
      <c r="I34" s="27" t="s">
        <v>49</v>
      </c>
      <c r="J34" s="26" t="s">
        <v>50</v>
      </c>
    </row>
    <row r="35" spans="1:13" x14ac:dyDescent="0.25">
      <c r="A35" s="1">
        <v>6.05</v>
      </c>
      <c r="B35" s="28">
        <v>0.627</v>
      </c>
      <c r="C35">
        <v>0.40999999999985448</v>
      </c>
      <c r="D35">
        <v>0.42000000000007276</v>
      </c>
      <c r="E35">
        <v>0.44000000000005457</v>
      </c>
      <c r="F35" s="47">
        <f t="shared" ref="F35:H36" si="6">LOG(C35)</f>
        <v>-0.38721614328041865</v>
      </c>
      <c r="G35" s="40">
        <f t="shared" si="6"/>
        <v>-0.37675070960202428</v>
      </c>
      <c r="H35" s="45">
        <f t="shared" si="6"/>
        <v>-0.35654732351375873</v>
      </c>
      <c r="I35" s="49">
        <f>AVERAGE(F35:H35)</f>
        <v>-0.37350472546540053</v>
      </c>
      <c r="J35" s="40">
        <f>_xlfn.STDEV.S(F35:H35)</f>
        <v>1.5589946639786077E-2</v>
      </c>
    </row>
    <row r="36" spans="1:13" x14ac:dyDescent="0.25">
      <c r="A36" s="1">
        <v>6.55</v>
      </c>
      <c r="B36" s="28">
        <v>1.1080000000000001</v>
      </c>
      <c r="C36">
        <v>0.71000000000003638</v>
      </c>
      <c r="D36">
        <v>0.80999999999994543</v>
      </c>
      <c r="E36">
        <v>0.69000000000005457</v>
      </c>
      <c r="F36" s="47">
        <f t="shared" si="6"/>
        <v>-0.14874165128090247</v>
      </c>
      <c r="G36" s="40">
        <f t="shared" si="6"/>
        <v>-9.1514981121379513E-2</v>
      </c>
      <c r="H36" s="45">
        <f t="shared" si="6"/>
        <v>-0.16115090926271033</v>
      </c>
      <c r="I36" s="49">
        <f>AVERAGE(F36:H36)</f>
        <v>-0.13380251388833078</v>
      </c>
      <c r="J36" s="40">
        <f>_xlfn.STDEV.S(F36:H36)</f>
        <v>3.7143963056622702E-2</v>
      </c>
    </row>
    <row r="37" spans="1:13" x14ac:dyDescent="0.25">
      <c r="A37" s="1">
        <v>6.8</v>
      </c>
      <c r="B37" s="28">
        <v>1.296</v>
      </c>
      <c r="C37">
        <v>0.92999999999983629</v>
      </c>
      <c r="D37">
        <v>1.25</v>
      </c>
      <c r="E37">
        <v>1.4099999999998545</v>
      </c>
      <c r="F37" s="47">
        <f t="shared" ref="F37:H38" si="7">LOG(C37)</f>
        <v>-3.151705144614133E-2</v>
      </c>
      <c r="G37" s="40">
        <f t="shared" si="7"/>
        <v>9.691001300805642E-2</v>
      </c>
      <c r="H37" s="45">
        <f t="shared" si="7"/>
        <v>0.14921911265533508</v>
      </c>
      <c r="I37" s="49">
        <f t="shared" ref="I37:I41" si="8">AVERAGE(F37:H37)</f>
        <v>7.1537358072416721E-2</v>
      </c>
      <c r="J37" s="40">
        <f>_xlfn.STDEV.S(F37:H37)</f>
        <v>9.3001177236587892E-2</v>
      </c>
    </row>
    <row r="38" spans="1:13" x14ac:dyDescent="0.25">
      <c r="A38" s="1">
        <v>7.05</v>
      </c>
      <c r="B38" s="43">
        <v>1.5680000000000001</v>
      </c>
      <c r="C38">
        <v>0.81</v>
      </c>
      <c r="D38">
        <v>0.92000000000007276</v>
      </c>
      <c r="E38">
        <v>1.0799999999999272</v>
      </c>
      <c r="F38" s="47">
        <f t="shared" si="7"/>
        <v>-9.1514981121350217E-2</v>
      </c>
      <c r="G38" s="40">
        <f t="shared" si="7"/>
        <v>-3.6212172654410381E-2</v>
      </c>
      <c r="H38" s="45">
        <f t="shared" si="7"/>
        <v>3.3423755486920441E-2</v>
      </c>
      <c r="I38" s="49">
        <f t="shared" si="8"/>
        <v>-3.1434466096280055E-2</v>
      </c>
      <c r="J38" s="40">
        <f t="shared" ref="J38:J41" si="9">_xlfn.STDEV.S(F38:H38)</f>
        <v>6.2606244387316573E-2</v>
      </c>
    </row>
    <row r="39" spans="1:13" x14ac:dyDescent="0.25">
      <c r="A39" s="1">
        <v>7.3</v>
      </c>
      <c r="B39" s="43">
        <v>2.19</v>
      </c>
      <c r="C39">
        <v>1.1200000000003456</v>
      </c>
      <c r="D39">
        <v>1.3099999999999454</v>
      </c>
      <c r="E39">
        <v>1.0799999999999272</v>
      </c>
      <c r="F39" s="47">
        <f t="shared" ref="F39:F41" si="10">LOG(C39)</f>
        <v>4.9218022670315623E-2</v>
      </c>
      <c r="G39" s="40">
        <f t="shared" ref="G39:G41" si="11">LOG(D39)</f>
        <v>0.11727129565574616</v>
      </c>
      <c r="H39" s="45">
        <f t="shared" ref="H39:H41" si="12">LOG(E39)</f>
        <v>3.3423755486920441E-2</v>
      </c>
      <c r="I39" s="49">
        <f t="shared" si="8"/>
        <v>6.6637691270994073E-2</v>
      </c>
      <c r="J39" s="40">
        <f t="shared" si="9"/>
        <v>4.4555427713229387E-2</v>
      </c>
    </row>
    <row r="40" spans="1:13" x14ac:dyDescent="0.25">
      <c r="A40" s="1">
        <v>7.55</v>
      </c>
      <c r="B40" s="43">
        <v>2.5299999999999998</v>
      </c>
      <c r="C40">
        <v>1.0199999999999818</v>
      </c>
      <c r="D40">
        <v>1.1499999999996362</v>
      </c>
      <c r="E40">
        <v>1.1799999999998363</v>
      </c>
      <c r="F40" s="47">
        <f>LOG(C40)</f>
        <v>8.6001717619098167E-3</v>
      </c>
      <c r="G40" s="40">
        <f>LOG(D40)</f>
        <v>6.0697840353474294E-2</v>
      </c>
      <c r="H40" s="45">
        <f>LOG(E40)</f>
        <v>7.1882007306065129E-2</v>
      </c>
      <c r="I40" s="49">
        <f t="shared" si="8"/>
        <v>4.7060006473816418E-2</v>
      </c>
      <c r="J40" s="40">
        <f t="shared" si="9"/>
        <v>3.3773370606977285E-2</v>
      </c>
    </row>
    <row r="41" spans="1:13" x14ac:dyDescent="0.25">
      <c r="A41" s="23">
        <v>7.8</v>
      </c>
      <c r="B41" s="44">
        <v>3.4</v>
      </c>
      <c r="C41" s="24">
        <v>1.9500000000002728</v>
      </c>
      <c r="D41" s="24">
        <v>1.7699999999999818</v>
      </c>
      <c r="E41" s="24">
        <v>1.8399999999996908</v>
      </c>
      <c r="F41" s="48">
        <f t="shared" si="10"/>
        <v>0.2900346113625788</v>
      </c>
      <c r="G41" s="42">
        <f t="shared" si="11"/>
        <v>0.24797326636180217</v>
      </c>
      <c r="H41" s="46">
        <f t="shared" si="12"/>
        <v>0.26481782300946349</v>
      </c>
      <c r="I41" s="50">
        <f t="shared" si="8"/>
        <v>0.26760856691128149</v>
      </c>
      <c r="J41" s="42">
        <f t="shared" si="9"/>
        <v>2.1169090071676201E-2</v>
      </c>
    </row>
    <row r="44" spans="1:13" x14ac:dyDescent="0.25">
      <c r="A44" t="s">
        <v>104</v>
      </c>
    </row>
    <row r="45" spans="1:13" x14ac:dyDescent="0.25">
      <c r="A45" t="s">
        <v>105</v>
      </c>
      <c r="B45">
        <v>0.30309999999999998</v>
      </c>
      <c r="C45" t="s">
        <v>106</v>
      </c>
      <c r="D45">
        <v>2.1383999999999999</v>
      </c>
    </row>
    <row r="47" spans="1:13" x14ac:dyDescent="0.25">
      <c r="A47" t="s">
        <v>101</v>
      </c>
      <c r="B47" t="s">
        <v>102</v>
      </c>
      <c r="C47" t="s">
        <v>103</v>
      </c>
    </row>
    <row r="48" spans="1:13" x14ac:dyDescent="0.25">
      <c r="A48" s="1">
        <v>7.66</v>
      </c>
      <c r="B48" s="54">
        <f>($B$45*A48)-$D$45</f>
        <v>0.18334600000000023</v>
      </c>
      <c r="C48" s="1">
        <f>10^B48</f>
        <v>1.52526744195923</v>
      </c>
    </row>
    <row r="49" spans="1:3" x14ac:dyDescent="0.25">
      <c r="A49" s="1">
        <v>7.6227777777777792</v>
      </c>
      <c r="B49" s="54">
        <f>($B$45*A49)-$D$45</f>
        <v>0.17206394444444495</v>
      </c>
      <c r="C49" s="1">
        <f t="shared" ref="C49:C57" si="13">10^B49</f>
        <v>1.4861544438801382</v>
      </c>
    </row>
    <row r="50" spans="1:3" x14ac:dyDescent="0.25">
      <c r="A50" s="1">
        <v>7.5924999999999994</v>
      </c>
      <c r="B50" s="54">
        <f>($B$45*A50)-$D$45</f>
        <v>0.16288674999999975</v>
      </c>
      <c r="C50" s="1">
        <f t="shared" si="13"/>
        <v>1.4550795932563378</v>
      </c>
    </row>
    <row r="51" spans="1:3" x14ac:dyDescent="0.25">
      <c r="A51" s="1">
        <v>7.5602777777777757</v>
      </c>
      <c r="B51" s="54">
        <f>($B$45*A51)-$D$45</f>
        <v>0.15312019444444358</v>
      </c>
      <c r="C51" s="1">
        <f t="shared" si="13"/>
        <v>1.4227224823789395</v>
      </c>
    </row>
    <row r="52" spans="1:3" x14ac:dyDescent="0.25">
      <c r="A52" s="1">
        <v>7.5297222222222207</v>
      </c>
      <c r="B52" s="54">
        <f>($B$45*A52)-$D$45</f>
        <v>0.14385880555555497</v>
      </c>
      <c r="C52" s="1">
        <f t="shared" si="13"/>
        <v>1.3927039442590561</v>
      </c>
    </row>
    <row r="53" spans="1:3" x14ac:dyDescent="0.25">
      <c r="A53" s="1">
        <v>7.4975000000000005</v>
      </c>
      <c r="B53" s="54">
        <f>($B$45*A53)-$D$45</f>
        <v>0.13409225000000013</v>
      </c>
      <c r="C53" s="1">
        <f t="shared" si="13"/>
        <v>1.3617339023777559</v>
      </c>
    </row>
    <row r="54" spans="1:3" x14ac:dyDescent="0.25">
      <c r="A54" s="1">
        <v>7.4672222222222207</v>
      </c>
      <c r="B54" s="54">
        <f>($B$45*A54)-$D$45</f>
        <v>0.12491505555555493</v>
      </c>
      <c r="C54" s="1">
        <f t="shared" si="13"/>
        <v>1.3332606317967568</v>
      </c>
    </row>
    <row r="55" spans="1:3" x14ac:dyDescent="0.25">
      <c r="A55" s="1">
        <v>7.4347222222222218</v>
      </c>
      <c r="B55" s="54">
        <f>($B$45*A55)-$D$45</f>
        <v>0.11506430555555536</v>
      </c>
      <c r="C55" s="1">
        <f t="shared" si="13"/>
        <v>1.3033597513580666</v>
      </c>
    </row>
    <row r="56" spans="1:3" x14ac:dyDescent="0.25">
      <c r="A56" s="1">
        <v>7.4041666666666668</v>
      </c>
      <c r="B56" s="54">
        <f>($B$45*A56)-$D$45</f>
        <v>0.10580291666666675</v>
      </c>
      <c r="C56" s="1">
        <f t="shared" si="13"/>
        <v>1.2758596908299986</v>
      </c>
    </row>
    <row r="57" spans="1:3" x14ac:dyDescent="0.25">
      <c r="A57" s="1">
        <v>7.3719444444444431</v>
      </c>
      <c r="B57" s="54">
        <f>($B$45*A57)-$D$45</f>
        <v>9.603636111111058E-2</v>
      </c>
      <c r="C57" s="1">
        <f t="shared" si="13"/>
        <v>1.2474879552414311</v>
      </c>
    </row>
  </sheetData>
  <sortState xmlns:xlrd2="http://schemas.microsoft.com/office/spreadsheetml/2017/richdata2" ref="A48:A57">
    <sortCondition descending="1" ref="A48:A57"/>
  </sortState>
  <mergeCells count="2">
    <mergeCell ref="C34:E34"/>
    <mergeCell ref="F34:H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E3E8B-C050-4814-B650-D202FE6333D7}">
  <dimension ref="A1:K56"/>
  <sheetViews>
    <sheetView topLeftCell="A8" zoomScale="90" zoomScaleNormal="90" workbookViewId="0">
      <selection activeCell="J36" sqref="J36"/>
    </sheetView>
  </sheetViews>
  <sheetFormatPr defaultColWidth="11.42578125" defaultRowHeight="15" x14ac:dyDescent="0.25"/>
  <cols>
    <col min="1" max="1" width="11.5703125" bestFit="1" customWidth="1"/>
    <col min="2" max="3" width="12.5703125" bestFit="1" customWidth="1"/>
    <col min="4" max="4" width="11.5703125" bestFit="1" customWidth="1"/>
    <col min="5" max="6" width="12.5703125" bestFit="1" customWidth="1"/>
    <col min="7" max="7" width="11.5703125" bestFit="1" customWidth="1"/>
    <col min="8" max="9" width="12.5703125" bestFit="1" customWidth="1"/>
    <col min="10" max="11" width="11.5703125" bestFit="1" customWidth="1"/>
  </cols>
  <sheetData>
    <row r="1" spans="1:11" x14ac:dyDescent="0.25">
      <c r="A1" t="s">
        <v>113</v>
      </c>
      <c r="B1" s="4">
        <v>0.37638888888888888</v>
      </c>
    </row>
    <row r="2" spans="1:11" x14ac:dyDescent="0.25">
      <c r="A2" t="s">
        <v>107</v>
      </c>
      <c r="B2">
        <f>9 + (2/60)</f>
        <v>9.0333333333333332</v>
      </c>
    </row>
    <row r="4" spans="1:11" ht="45" x14ac:dyDescent="0.25">
      <c r="A4" s="26" t="s">
        <v>5</v>
      </c>
      <c r="B4" s="26" t="s">
        <v>6</v>
      </c>
      <c r="C4" s="26" t="s">
        <v>7</v>
      </c>
      <c r="D4" s="26" t="s">
        <v>8</v>
      </c>
      <c r="E4" s="26" t="s">
        <v>9</v>
      </c>
      <c r="F4" s="26" t="s">
        <v>10</v>
      </c>
      <c r="G4" s="26" t="s">
        <v>11</v>
      </c>
      <c r="H4" s="26" t="s">
        <v>12</v>
      </c>
      <c r="I4" s="26" t="s">
        <v>13</v>
      </c>
      <c r="J4" s="26" t="s">
        <v>14</v>
      </c>
      <c r="K4" s="26" t="s">
        <v>15</v>
      </c>
    </row>
    <row r="5" spans="1:11" x14ac:dyDescent="0.25">
      <c r="A5" s="69" t="s">
        <v>74</v>
      </c>
      <c r="B5" s="69" t="s">
        <v>96</v>
      </c>
      <c r="C5" s="5">
        <f t="shared" ref="C5:C19" si="0">A5+(B5/60)-$B$2</f>
        <v>0</v>
      </c>
      <c r="D5" s="6">
        <v>0.10199999999999999</v>
      </c>
      <c r="E5" s="6"/>
      <c r="F5" s="6" t="s">
        <v>17</v>
      </c>
      <c r="G5" s="6">
        <v>0</v>
      </c>
      <c r="H5" s="6">
        <v>4</v>
      </c>
      <c r="I5" s="6">
        <f>1500-H5+G5</f>
        <v>1496</v>
      </c>
      <c r="J5" s="6"/>
      <c r="K5" s="6"/>
    </row>
    <row r="6" spans="1:11" x14ac:dyDescent="0.25">
      <c r="A6" s="69" t="s">
        <v>76</v>
      </c>
      <c r="B6" s="69" t="s">
        <v>96</v>
      </c>
      <c r="C6" s="5">
        <f t="shared" si="0"/>
        <v>1</v>
      </c>
      <c r="D6" s="6">
        <v>0.11600000000000001</v>
      </c>
      <c r="E6" s="6"/>
      <c r="F6" s="6"/>
      <c r="G6" s="6">
        <v>0</v>
      </c>
      <c r="H6" s="6">
        <v>1</v>
      </c>
      <c r="I6" s="6">
        <f>I5-H6+G6</f>
        <v>1495</v>
      </c>
      <c r="J6" s="6"/>
      <c r="K6" s="6"/>
    </row>
    <row r="7" spans="1:11" x14ac:dyDescent="0.25">
      <c r="A7" s="69" t="s">
        <v>78</v>
      </c>
      <c r="B7" s="69" t="s">
        <v>73</v>
      </c>
      <c r="C7" s="5">
        <f t="shared" si="0"/>
        <v>1.9666666666666668</v>
      </c>
      <c r="D7" s="6">
        <v>0.18099999999999999</v>
      </c>
      <c r="E7" s="6"/>
      <c r="F7" s="6"/>
      <c r="G7" s="6">
        <v>0</v>
      </c>
      <c r="H7" s="6">
        <v>1</v>
      </c>
      <c r="I7" s="6">
        <f>I6-H7+G7</f>
        <v>1494</v>
      </c>
      <c r="J7" s="6"/>
      <c r="K7" s="6"/>
    </row>
    <row r="8" spans="1:11" x14ac:dyDescent="0.25">
      <c r="A8" s="69" t="s">
        <v>79</v>
      </c>
      <c r="B8" s="69" t="s">
        <v>73</v>
      </c>
      <c r="C8" s="5">
        <f t="shared" si="0"/>
        <v>2.9666666666666668</v>
      </c>
      <c r="D8" s="6">
        <v>0.28000000000000003</v>
      </c>
      <c r="E8" s="6">
        <v>-0.37682106917942537</v>
      </c>
      <c r="F8" s="6" t="s">
        <v>18</v>
      </c>
      <c r="G8" s="6">
        <v>6</v>
      </c>
      <c r="H8" s="6">
        <v>4</v>
      </c>
      <c r="I8" s="6">
        <f t="shared" ref="I8:I18" si="1">I7-H8+G8</f>
        <v>1496</v>
      </c>
      <c r="J8" s="6"/>
      <c r="K8" s="6"/>
    </row>
    <row r="9" spans="1:11" x14ac:dyDescent="0.25">
      <c r="A9" s="69" t="s">
        <v>81</v>
      </c>
      <c r="B9" s="69" t="s">
        <v>73</v>
      </c>
      <c r="C9" s="5">
        <f t="shared" si="0"/>
        <v>3.9666666666666668</v>
      </c>
      <c r="D9" s="6">
        <v>0.52200000000000002</v>
      </c>
      <c r="E9" s="6"/>
      <c r="F9" s="6" t="s">
        <v>19</v>
      </c>
      <c r="G9" s="6">
        <v>0</v>
      </c>
      <c r="H9" s="6">
        <v>4</v>
      </c>
      <c r="I9" s="6">
        <f t="shared" si="1"/>
        <v>1492</v>
      </c>
      <c r="J9" s="6"/>
      <c r="K9" s="6"/>
    </row>
    <row r="10" spans="1:11" x14ac:dyDescent="0.25">
      <c r="A10" s="69" t="s">
        <v>81</v>
      </c>
      <c r="B10" s="69" t="s">
        <v>85</v>
      </c>
      <c r="C10" s="5">
        <f t="shared" si="0"/>
        <v>4.4666666666666668</v>
      </c>
      <c r="D10" s="6">
        <v>0.61699999999999999</v>
      </c>
      <c r="E10" s="6"/>
      <c r="F10" s="6"/>
      <c r="G10" s="6">
        <v>0</v>
      </c>
      <c r="H10" s="6">
        <v>1</v>
      </c>
      <c r="I10" s="6">
        <f t="shared" si="1"/>
        <v>1491</v>
      </c>
      <c r="J10" s="6"/>
      <c r="K10" s="6"/>
    </row>
    <row r="11" spans="1:11" x14ac:dyDescent="0.25">
      <c r="A11" s="69" t="s">
        <v>77</v>
      </c>
      <c r="B11" s="69" t="s">
        <v>73</v>
      </c>
      <c r="C11" s="5">
        <f t="shared" si="0"/>
        <v>4.9666666666666668</v>
      </c>
      <c r="D11" s="6">
        <v>0.81399999999999995</v>
      </c>
      <c r="E11" s="6">
        <v>-8.6165083913968179E-3</v>
      </c>
      <c r="F11" s="6" t="s">
        <v>20</v>
      </c>
      <c r="G11" s="6">
        <v>0</v>
      </c>
      <c r="H11" s="6">
        <v>4</v>
      </c>
      <c r="I11" s="6">
        <f t="shared" si="1"/>
        <v>1487</v>
      </c>
      <c r="J11" s="6"/>
      <c r="K11" s="6">
        <v>100</v>
      </c>
    </row>
    <row r="12" spans="1:11" x14ac:dyDescent="0.25">
      <c r="A12" s="69" t="s">
        <v>77</v>
      </c>
      <c r="B12" s="69" t="s">
        <v>85</v>
      </c>
      <c r="C12" s="5">
        <f t="shared" si="0"/>
        <v>5.4666666666666668</v>
      </c>
      <c r="D12" s="6">
        <v>1.2</v>
      </c>
      <c r="E12" s="6"/>
      <c r="F12" s="6" t="s">
        <v>21</v>
      </c>
      <c r="G12" s="6">
        <v>0</v>
      </c>
      <c r="H12" s="6">
        <v>4</v>
      </c>
      <c r="I12" s="6">
        <f t="shared" si="1"/>
        <v>1483</v>
      </c>
      <c r="J12" s="6"/>
      <c r="K12" s="6"/>
    </row>
    <row r="13" spans="1:11" x14ac:dyDescent="0.25">
      <c r="A13" s="69" t="s">
        <v>80</v>
      </c>
      <c r="B13" s="69" t="s">
        <v>73</v>
      </c>
      <c r="C13" s="5">
        <f t="shared" si="0"/>
        <v>5.9666666666666668</v>
      </c>
      <c r="D13" s="6">
        <v>1.23</v>
      </c>
      <c r="E13" s="6">
        <v>-2.1891767100651747E-2</v>
      </c>
      <c r="F13" s="6" t="s">
        <v>51</v>
      </c>
      <c r="G13" s="6">
        <v>0.5</v>
      </c>
      <c r="H13" s="6">
        <v>4</v>
      </c>
      <c r="I13" s="6">
        <f t="shared" si="1"/>
        <v>1479.5</v>
      </c>
      <c r="J13" s="6"/>
      <c r="K13" s="6"/>
    </row>
    <row r="14" spans="1:11" x14ac:dyDescent="0.25">
      <c r="A14" s="69" t="s">
        <v>80</v>
      </c>
      <c r="B14" s="69" t="s">
        <v>85</v>
      </c>
      <c r="C14" s="5">
        <f t="shared" si="0"/>
        <v>6.4666666666666668</v>
      </c>
      <c r="D14" s="6">
        <v>1.456</v>
      </c>
      <c r="E14" s="6"/>
      <c r="F14" s="6"/>
      <c r="G14" s="6">
        <v>0</v>
      </c>
      <c r="H14" s="6">
        <v>1</v>
      </c>
      <c r="I14" s="6">
        <f t="shared" si="1"/>
        <v>1478.5</v>
      </c>
      <c r="J14" s="6"/>
      <c r="K14" s="6"/>
    </row>
    <row r="15" spans="1:11" x14ac:dyDescent="0.25">
      <c r="A15" s="69" t="s">
        <v>84</v>
      </c>
      <c r="B15" s="69" t="s">
        <v>73</v>
      </c>
      <c r="C15" s="5">
        <f t="shared" si="0"/>
        <v>6.9666666666666668</v>
      </c>
      <c r="D15" s="6">
        <v>1.716</v>
      </c>
      <c r="E15" s="6">
        <v>-1.8221460837178644E-2</v>
      </c>
      <c r="F15" s="6" t="s">
        <v>23</v>
      </c>
      <c r="G15" s="6">
        <v>0</v>
      </c>
      <c r="H15" s="6">
        <v>4</v>
      </c>
      <c r="I15" s="6">
        <f t="shared" si="1"/>
        <v>1474.5</v>
      </c>
      <c r="J15" s="6"/>
      <c r="K15" s="6"/>
    </row>
    <row r="16" spans="1:11" x14ac:dyDescent="0.25">
      <c r="A16" s="69" t="s">
        <v>84</v>
      </c>
      <c r="B16" s="69" t="s">
        <v>85</v>
      </c>
      <c r="C16" s="5">
        <f t="shared" si="0"/>
        <v>7.4666666666666668</v>
      </c>
      <c r="D16" s="6">
        <v>2.1800000000000002</v>
      </c>
      <c r="E16" s="6">
        <v>0.15486720299012022</v>
      </c>
      <c r="F16" s="6" t="s">
        <v>24</v>
      </c>
      <c r="G16" s="6">
        <v>0</v>
      </c>
      <c r="H16" s="6">
        <v>7</v>
      </c>
      <c r="I16" s="6">
        <f t="shared" si="1"/>
        <v>1467.5</v>
      </c>
      <c r="J16" s="6" t="s">
        <v>22</v>
      </c>
      <c r="K16" s="6"/>
    </row>
    <row r="17" spans="1:11" x14ac:dyDescent="0.25">
      <c r="A17" s="69" t="s">
        <v>84</v>
      </c>
      <c r="B17" s="69" t="s">
        <v>83</v>
      </c>
      <c r="C17" s="5">
        <f t="shared" si="0"/>
        <v>7.7166666666666668</v>
      </c>
      <c r="D17" s="6">
        <v>2.35</v>
      </c>
      <c r="E17" s="6">
        <v>8.9070231927119034E-2</v>
      </c>
      <c r="F17" s="6" t="s">
        <v>37</v>
      </c>
      <c r="G17" s="6">
        <v>0</v>
      </c>
      <c r="H17" s="6">
        <v>4</v>
      </c>
      <c r="I17" s="6">
        <f t="shared" si="1"/>
        <v>1463.5</v>
      </c>
      <c r="J17" s="6"/>
      <c r="K17" s="6"/>
    </row>
    <row r="18" spans="1:11" x14ac:dyDescent="0.25">
      <c r="A18" s="69" t="s">
        <v>75</v>
      </c>
      <c r="B18" s="69" t="s">
        <v>109</v>
      </c>
      <c r="C18" s="5">
        <f t="shared" si="0"/>
        <v>8.0499999999999989</v>
      </c>
      <c r="D18" s="6">
        <v>2.7</v>
      </c>
      <c r="E18" s="6">
        <v>0.10181660901139905</v>
      </c>
      <c r="F18" s="6" t="s">
        <v>47</v>
      </c>
      <c r="G18" s="6">
        <v>0</v>
      </c>
      <c r="H18" s="6">
        <v>4</v>
      </c>
      <c r="I18" s="6">
        <f t="shared" si="1"/>
        <v>1459.5</v>
      </c>
      <c r="J18" s="6"/>
      <c r="K18" s="6"/>
    </row>
    <row r="19" spans="1:11" x14ac:dyDescent="0.25">
      <c r="A19" s="70" t="s">
        <v>75</v>
      </c>
      <c r="B19" s="70" t="s">
        <v>89</v>
      </c>
      <c r="C19" s="33">
        <f t="shared" si="0"/>
        <v>8.3833333333333346</v>
      </c>
      <c r="D19" s="20">
        <v>3</v>
      </c>
      <c r="E19" s="20"/>
      <c r="F19" s="20"/>
      <c r="G19" s="20"/>
      <c r="H19" s="20"/>
      <c r="I19" s="20"/>
      <c r="J19" s="20"/>
      <c r="K19" s="20"/>
    </row>
    <row r="22" spans="1:11" ht="30" x14ac:dyDescent="0.25">
      <c r="A22" s="65" t="s">
        <v>62</v>
      </c>
      <c r="B22" s="64" t="s">
        <v>114</v>
      </c>
      <c r="C22" s="64" t="s">
        <v>115</v>
      </c>
      <c r="D22" s="64" t="s">
        <v>116</v>
      </c>
      <c r="E22" s="64" t="s">
        <v>114</v>
      </c>
      <c r="F22" s="64" t="s">
        <v>115</v>
      </c>
      <c r="G22" s="64" t="s">
        <v>116</v>
      </c>
      <c r="H22" s="64" t="s">
        <v>114</v>
      </c>
      <c r="I22" s="64" t="s">
        <v>115</v>
      </c>
      <c r="J22" s="64" t="s">
        <v>116</v>
      </c>
      <c r="K22" s="64" t="s">
        <v>66</v>
      </c>
    </row>
    <row r="23" spans="1:11" x14ac:dyDescent="0.25">
      <c r="A23" s="67">
        <v>2.9666666666666668</v>
      </c>
      <c r="B23" s="1">
        <v>2447.5700000000002</v>
      </c>
      <c r="C23" s="1">
        <v>2447.91</v>
      </c>
      <c r="D23" s="1">
        <f>C23-B23</f>
        <v>0.33999999999969077</v>
      </c>
      <c r="E23" s="1">
        <v>2498.69</v>
      </c>
      <c r="F23" s="1">
        <v>2499.02</v>
      </c>
      <c r="G23" s="1">
        <f>F23-E23</f>
        <v>0.32999999999992724</v>
      </c>
      <c r="H23" s="1">
        <v>2472.85</v>
      </c>
      <c r="I23" s="1">
        <v>2473.5100000000002</v>
      </c>
      <c r="J23" s="1">
        <f>I23-H23</f>
        <v>0.66000000000030923</v>
      </c>
      <c r="K23" s="1">
        <f>_xlfn.STDEV.S(J23,G23,D23)</f>
        <v>0.18770544300430003</v>
      </c>
    </row>
    <row r="24" spans="1:11" x14ac:dyDescent="0.25">
      <c r="A24" s="5">
        <v>4.9666666666666668</v>
      </c>
      <c r="B24" s="1">
        <v>2418.9299999999998</v>
      </c>
      <c r="C24" s="1">
        <v>2419.79</v>
      </c>
      <c r="D24" s="1">
        <f t="shared" ref="D24:D29" si="2">C24-B24</f>
        <v>0.86000000000012733</v>
      </c>
      <c r="E24" s="1">
        <v>2459.6999999999998</v>
      </c>
      <c r="F24" s="1">
        <v>2460.5300000000002</v>
      </c>
      <c r="G24" s="1">
        <f t="shared" ref="G24:G29" si="3">F24-E24</f>
        <v>0.83000000000038199</v>
      </c>
      <c r="H24" s="1">
        <v>2449.87</v>
      </c>
      <c r="I24" s="1">
        <v>2450.73</v>
      </c>
      <c r="J24" s="1">
        <f t="shared" ref="J24:J29" si="4">I24-H24</f>
        <v>0.86000000000012733</v>
      </c>
      <c r="K24" s="1">
        <f t="shared" ref="K24:K29" si="5">_xlfn.STDEV.S(J24,G24,D24)</f>
        <v>1.7320508075541745E-2</v>
      </c>
    </row>
    <row r="25" spans="1:11" x14ac:dyDescent="0.25">
      <c r="A25" s="5">
        <v>5.9666666666666668</v>
      </c>
      <c r="B25" s="1">
        <v>2440.63</v>
      </c>
      <c r="C25" s="1">
        <v>2441.61</v>
      </c>
      <c r="D25" s="1">
        <f t="shared" si="2"/>
        <v>0.98000000000001819</v>
      </c>
      <c r="E25" s="1">
        <v>2442</v>
      </c>
      <c r="F25" s="1">
        <v>2443.02</v>
      </c>
      <c r="G25" s="1">
        <f t="shared" si="3"/>
        <v>1.0199999999999818</v>
      </c>
      <c r="H25" s="1">
        <v>2461.75</v>
      </c>
      <c r="I25" s="1">
        <v>2463.0700000000002</v>
      </c>
      <c r="J25" s="1">
        <f t="shared" si="4"/>
        <v>1.3200000000001637</v>
      </c>
      <c r="K25" s="1">
        <f t="shared" si="5"/>
        <v>0.18583146486364333</v>
      </c>
    </row>
    <row r="26" spans="1:11" x14ac:dyDescent="0.25">
      <c r="A26" s="5">
        <v>6.9666666666666668</v>
      </c>
      <c r="B26" s="1">
        <v>2386.7199999999998</v>
      </c>
      <c r="C26" s="1">
        <v>2387.73</v>
      </c>
      <c r="D26" s="1">
        <f t="shared" si="2"/>
        <v>1.0100000000002183</v>
      </c>
      <c r="E26" s="1">
        <v>2476.63</v>
      </c>
      <c r="F26" s="1">
        <v>2477.5300000000002</v>
      </c>
      <c r="G26" s="1">
        <f t="shared" si="3"/>
        <v>0.90000000000009095</v>
      </c>
      <c r="H26" s="1">
        <v>2483.91</v>
      </c>
      <c r="I26" s="1">
        <v>2484.88</v>
      </c>
      <c r="J26" s="1">
        <f t="shared" si="4"/>
        <v>0.97000000000025466</v>
      </c>
      <c r="K26" s="1">
        <f t="shared" si="5"/>
        <v>5.5677643628372089E-2</v>
      </c>
    </row>
    <row r="27" spans="1:11" x14ac:dyDescent="0.25">
      <c r="A27" s="5">
        <v>7.4666666666666668</v>
      </c>
      <c r="B27" s="1">
        <v>2477.2199999999998</v>
      </c>
      <c r="C27" s="1">
        <v>2478.7399999999998</v>
      </c>
      <c r="D27" s="1">
        <f t="shared" si="2"/>
        <v>1.5199999999999818</v>
      </c>
      <c r="E27" s="1">
        <v>2505.15</v>
      </c>
      <c r="F27" s="1">
        <v>2506.5100000000002</v>
      </c>
      <c r="G27" s="1">
        <f t="shared" si="3"/>
        <v>1.3600000000001273</v>
      </c>
      <c r="H27" s="1">
        <v>2496.02</v>
      </c>
      <c r="I27" s="1">
        <v>2497.4299999999998</v>
      </c>
      <c r="J27" s="1">
        <f t="shared" si="4"/>
        <v>1.4099999999998545</v>
      </c>
      <c r="K27" s="1">
        <f t="shared" si="5"/>
        <v>8.1853527718677835E-2</v>
      </c>
    </row>
    <row r="28" spans="1:11" x14ac:dyDescent="0.25">
      <c r="A28" s="5">
        <v>7.7166666666666668</v>
      </c>
      <c r="B28" s="1">
        <v>2506.31</v>
      </c>
      <c r="C28" s="1">
        <v>2507.54</v>
      </c>
      <c r="D28" s="1">
        <f t="shared" si="2"/>
        <v>1.2300000000000182</v>
      </c>
      <c r="E28" s="1">
        <v>2470.27</v>
      </c>
      <c r="F28" s="1">
        <v>2471.65</v>
      </c>
      <c r="G28" s="1">
        <f t="shared" si="3"/>
        <v>1.3800000000001091</v>
      </c>
      <c r="H28" s="1">
        <v>2515.9299999999998</v>
      </c>
      <c r="I28" s="1">
        <v>2517.02</v>
      </c>
      <c r="J28" s="1">
        <f t="shared" si="4"/>
        <v>1.0900000000001455</v>
      </c>
      <c r="K28" s="1">
        <f t="shared" si="5"/>
        <v>0.14502873278536368</v>
      </c>
    </row>
    <row r="29" spans="1:11" x14ac:dyDescent="0.25">
      <c r="A29" s="5">
        <v>8.0500000000000007</v>
      </c>
      <c r="B29" s="1">
        <v>2449.8200000000002</v>
      </c>
      <c r="C29" s="1">
        <v>2451.0300000000002</v>
      </c>
      <c r="D29" s="1">
        <f t="shared" si="2"/>
        <v>1.2100000000000364</v>
      </c>
      <c r="E29" s="1">
        <v>2477.92</v>
      </c>
      <c r="F29" s="1">
        <v>2479.3000000000002</v>
      </c>
      <c r="G29" s="1">
        <f t="shared" si="3"/>
        <v>1.3800000000001091</v>
      </c>
      <c r="H29" s="1">
        <v>2503.65</v>
      </c>
      <c r="I29" s="1">
        <v>2504.86</v>
      </c>
      <c r="J29" s="1">
        <f t="shared" si="4"/>
        <v>1.2100000000000364</v>
      </c>
      <c r="K29" s="1">
        <f t="shared" si="5"/>
        <v>9.8149545762278398E-2</v>
      </c>
    </row>
    <row r="32" spans="1:11" x14ac:dyDescent="0.25">
      <c r="A32" t="s">
        <v>26</v>
      </c>
    </row>
    <row r="33" spans="1:10" x14ac:dyDescent="0.25">
      <c r="A33" s="8" t="s">
        <v>27</v>
      </c>
      <c r="B33" s="83" t="s">
        <v>28</v>
      </c>
      <c r="C33" s="84"/>
      <c r="D33" s="85"/>
      <c r="E33" s="83" t="s">
        <v>29</v>
      </c>
      <c r="F33" s="84"/>
      <c r="G33" s="85"/>
      <c r="H33" s="9" t="s">
        <v>30</v>
      </c>
      <c r="I33" s="8" t="s">
        <v>31</v>
      </c>
      <c r="J33" s="8" t="s">
        <v>61</v>
      </c>
    </row>
    <row r="34" spans="1:10" x14ac:dyDescent="0.25">
      <c r="A34" s="74">
        <v>2.9666666666666668</v>
      </c>
      <c r="B34" s="6">
        <v>0.33999999999969099</v>
      </c>
      <c r="C34" s="6">
        <v>0.32999999999992724</v>
      </c>
      <c r="D34" s="29">
        <v>0.66000000000030923</v>
      </c>
      <c r="E34" s="30">
        <f t="shared" ref="E34:G34" si="6">LOG(B34)</f>
        <v>-0.4685210829581396</v>
      </c>
      <c r="F34" s="31">
        <f t="shared" si="6"/>
        <v>-0.48148606012220829</v>
      </c>
      <c r="G34" s="32">
        <f t="shared" si="6"/>
        <v>-0.18045606445792786</v>
      </c>
      <c r="H34" s="52">
        <f>AVERAGE(E34:G34)</f>
        <v>-0.37682106917942521</v>
      </c>
      <c r="I34" s="31">
        <f>_xlfn.STDEV.S(E34:G34)</f>
        <v>0.17018059221800677</v>
      </c>
      <c r="J34">
        <v>9.11E-2</v>
      </c>
    </row>
    <row r="35" spans="1:10" x14ac:dyDescent="0.25">
      <c r="A35" s="63">
        <v>4.9666666666666668</v>
      </c>
      <c r="B35" s="6">
        <v>0.86000000000012733</v>
      </c>
      <c r="C35" s="6">
        <v>0.83000000000038199</v>
      </c>
      <c r="D35" s="75">
        <v>0.86000000000012733</v>
      </c>
      <c r="E35" s="30">
        <f t="shared" ref="E35:E40" si="7">LOG(B35)</f>
        <v>-6.5501548756367975E-2</v>
      </c>
      <c r="F35" s="31">
        <f t="shared" ref="F35:F40" si="8">LOG(C35)</f>
        <v>-8.0921907623726225E-2</v>
      </c>
      <c r="G35" s="32">
        <f t="shared" ref="G35:G40" si="9">LOG(D35)</f>
        <v>-6.5501548756367975E-2</v>
      </c>
      <c r="H35" s="52">
        <f t="shared" ref="H35:H40" si="10">AVERAGE(E35:G35)</f>
        <v>-7.0641668378820729E-2</v>
      </c>
      <c r="I35" s="31">
        <f t="shared" ref="I35:I40" si="11">_xlfn.STDEV.S(E35:G35)</f>
        <v>8.9029483430699066E-3</v>
      </c>
    </row>
    <row r="36" spans="1:10" x14ac:dyDescent="0.25">
      <c r="A36" s="63">
        <v>5.9666666666666668</v>
      </c>
      <c r="B36" s="6">
        <v>0.98000000000001819</v>
      </c>
      <c r="C36" s="6">
        <v>1.0199999999999818</v>
      </c>
      <c r="D36" s="29">
        <v>1.3200000000001637</v>
      </c>
      <c r="E36" s="30">
        <f t="shared" si="7"/>
        <v>-8.7739243074970823E-3</v>
      </c>
      <c r="F36" s="31">
        <f t="shared" si="8"/>
        <v>8.6001717619098167E-3</v>
      </c>
      <c r="G36" s="32">
        <f>LOG(D36)</f>
        <v>0.12057393120590373</v>
      </c>
      <c r="H36" s="52">
        <f>AVERAGE(E36:G36)</f>
        <v>4.0133392886772153E-2</v>
      </c>
      <c r="I36" s="31">
        <f>_xlfn.STDEV.S(E36:G36)</f>
        <v>7.0203097918546314E-2</v>
      </c>
    </row>
    <row r="37" spans="1:10" x14ac:dyDescent="0.25">
      <c r="A37" s="63">
        <v>6.9666666666666668</v>
      </c>
      <c r="B37" s="6">
        <v>1.0100000000002183</v>
      </c>
      <c r="C37" s="6">
        <v>0.90000000000009095</v>
      </c>
      <c r="D37" s="29">
        <v>0.97000000000025466</v>
      </c>
      <c r="E37" s="30">
        <f t="shared" si="7"/>
        <v>4.3213737827364328E-3</v>
      </c>
      <c r="F37" s="31">
        <f t="shared" si="8"/>
        <v>-4.5757490560631241E-2</v>
      </c>
      <c r="G37" s="32">
        <f>LOG(D37)</f>
        <v>-1.3228265733641132E-2</v>
      </c>
      <c r="H37" s="52">
        <f>AVERAGE(E37:G37)</f>
        <v>-1.8221460837178644E-2</v>
      </c>
      <c r="I37" s="31">
        <f>_xlfn.STDEV.S(E37:G37)</f>
        <v>2.5410079918938643E-2</v>
      </c>
    </row>
    <row r="38" spans="1:10" x14ac:dyDescent="0.25">
      <c r="A38" s="63">
        <v>7.4666666666666668</v>
      </c>
      <c r="B38" s="6">
        <v>1.5199999999999818</v>
      </c>
      <c r="C38" s="6">
        <v>1.3600000000001273</v>
      </c>
      <c r="D38" s="29">
        <v>1.4099999999998545</v>
      </c>
      <c r="E38" s="30">
        <f t="shared" si="7"/>
        <v>0.18184358794476735</v>
      </c>
      <c r="F38" s="31">
        <f t="shared" si="8"/>
        <v>0.13353890837025817</v>
      </c>
      <c r="G38" s="32">
        <f t="shared" si="9"/>
        <v>0.14921911265533508</v>
      </c>
      <c r="H38" s="52">
        <f t="shared" si="10"/>
        <v>0.15486720299012022</v>
      </c>
      <c r="I38" s="31">
        <f t="shared" si="11"/>
        <v>2.4642670523330554E-2</v>
      </c>
    </row>
    <row r="39" spans="1:10" x14ac:dyDescent="0.25">
      <c r="A39" s="63">
        <v>7.7166666666666668</v>
      </c>
      <c r="B39" s="6">
        <v>1.2300000000000182</v>
      </c>
      <c r="C39" s="6">
        <v>1.38000000000011</v>
      </c>
      <c r="D39" s="6">
        <v>1.0900000000001455</v>
      </c>
      <c r="E39" s="30">
        <f t="shared" si="7"/>
        <v>8.9905111439404356E-2</v>
      </c>
      <c r="F39" s="31">
        <f t="shared" si="8"/>
        <v>0.13987908640127114</v>
      </c>
      <c r="G39" s="32">
        <f t="shared" si="9"/>
        <v>3.7426497940681612E-2</v>
      </c>
      <c r="H39" s="52">
        <f t="shared" si="10"/>
        <v>8.9070231927119034E-2</v>
      </c>
      <c r="I39" s="31">
        <f t="shared" si="11"/>
        <v>5.1231396510526238E-2</v>
      </c>
    </row>
    <row r="40" spans="1:10" x14ac:dyDescent="0.25">
      <c r="A40" s="29">
        <v>8.0500000000000007</v>
      </c>
      <c r="B40" s="6">
        <v>1.2100000000000364</v>
      </c>
      <c r="C40" s="6">
        <v>1.3800000000001091</v>
      </c>
      <c r="D40" s="6">
        <v>1.2100000000000364</v>
      </c>
      <c r="E40" s="30">
        <f t="shared" si="7"/>
        <v>8.2785370316463144E-2</v>
      </c>
      <c r="F40" s="31">
        <f t="shared" si="8"/>
        <v>0.13987908640127086</v>
      </c>
      <c r="G40" s="32">
        <f t="shared" si="9"/>
        <v>8.2785370316463144E-2</v>
      </c>
      <c r="H40" s="52">
        <f t="shared" si="10"/>
        <v>0.10181660901139905</v>
      </c>
      <c r="I40" s="31">
        <f t="shared" si="11"/>
        <v>3.2963072350599816E-2</v>
      </c>
    </row>
    <row r="43" spans="1:10" x14ac:dyDescent="0.25">
      <c r="A43" t="s">
        <v>98</v>
      </c>
    </row>
    <row r="44" spans="1:10" x14ac:dyDescent="0.25">
      <c r="A44" t="s">
        <v>99</v>
      </c>
      <c r="B44" s="6">
        <v>9.11E-2</v>
      </c>
      <c r="C44" t="s">
        <v>100</v>
      </c>
      <c r="D44" s="6">
        <v>0.58509999999999995</v>
      </c>
    </row>
    <row r="46" spans="1:10" x14ac:dyDescent="0.25">
      <c r="A46" t="s">
        <v>101</v>
      </c>
      <c r="B46" t="s">
        <v>102</v>
      </c>
      <c r="C46" t="s">
        <v>103</v>
      </c>
    </row>
    <row r="47" spans="1:10" x14ac:dyDescent="0.25">
      <c r="A47" s="53">
        <v>8.3752777777777769</v>
      </c>
      <c r="B47" s="54">
        <f>($B$44*A47)-$D$44</f>
        <v>0.1778878055555555</v>
      </c>
      <c r="C47" s="53">
        <f>10^B47</f>
        <v>1.5062179037222017</v>
      </c>
    </row>
    <row r="48" spans="1:10" x14ac:dyDescent="0.25">
      <c r="A48" s="53">
        <v>8.3450000000000006</v>
      </c>
      <c r="B48" s="54">
        <f>($B$44*A48)-$D$44</f>
        <v>0.17512950000000016</v>
      </c>
      <c r="C48" s="53">
        <f t="shared" ref="C48:C56" si="12">10^B48</f>
        <v>1.4966818773036061</v>
      </c>
    </row>
    <row r="49" spans="1:3" x14ac:dyDescent="0.25">
      <c r="A49" s="53">
        <v>8.3127777777777769</v>
      </c>
      <c r="B49" s="54">
        <f>($B$44*A49)-$D$44</f>
        <v>0.17219405555555556</v>
      </c>
      <c r="C49" s="53">
        <f t="shared" si="12"/>
        <v>1.4865997504227073</v>
      </c>
    </row>
    <row r="50" spans="1:3" x14ac:dyDescent="0.25">
      <c r="A50" s="53">
        <v>8.2822222222222219</v>
      </c>
      <c r="B50" s="54">
        <f>($B$44*A50)-$D$44</f>
        <v>0.16941044444444442</v>
      </c>
      <c r="C50" s="53">
        <f t="shared" si="12"/>
        <v>1.4771018580612951</v>
      </c>
    </row>
    <row r="51" spans="1:3" x14ac:dyDescent="0.25">
      <c r="A51" s="53">
        <v>8.2497222222222231</v>
      </c>
      <c r="B51" s="54">
        <f>($B$44*A51)-$D$44</f>
        <v>0.16644969444444457</v>
      </c>
      <c r="C51" s="53">
        <f t="shared" si="12"/>
        <v>1.4670661426535521</v>
      </c>
    </row>
    <row r="52" spans="1:3" x14ac:dyDescent="0.25">
      <c r="A52" s="53">
        <v>8.2194444444444432</v>
      </c>
      <c r="B52" s="54">
        <f>($B$44*A52)-$D$44</f>
        <v>0.16369138888888879</v>
      </c>
      <c r="C52" s="53">
        <f t="shared" si="12"/>
        <v>1.4577779902158461</v>
      </c>
    </row>
    <row r="53" spans="1:3" x14ac:dyDescent="0.25">
      <c r="A53" s="53">
        <v>8.1872222222222231</v>
      </c>
      <c r="B53" s="54">
        <f>($B$44*A53)-$D$44</f>
        <v>0.16075594444444452</v>
      </c>
      <c r="C53" s="53">
        <f t="shared" si="12"/>
        <v>1.4479579323368701</v>
      </c>
    </row>
    <row r="54" spans="1:3" x14ac:dyDescent="0.25">
      <c r="A54" s="53">
        <v>8.1566666666666645</v>
      </c>
      <c r="B54" s="54">
        <f>($B$44*A54)-$D$44</f>
        <v>0.15797233333333316</v>
      </c>
      <c r="C54" s="53">
        <f t="shared" si="12"/>
        <v>1.4387069227216194</v>
      </c>
    </row>
    <row r="55" spans="1:3" x14ac:dyDescent="0.25">
      <c r="A55" s="53">
        <v>8.1244444444444444</v>
      </c>
      <c r="B55" s="54">
        <f>($B$44*A55)-$D$44</f>
        <v>0.15503688888888889</v>
      </c>
      <c r="C55" s="53">
        <f t="shared" si="12"/>
        <v>1.4290153336409541</v>
      </c>
    </row>
    <row r="56" spans="1:3" x14ac:dyDescent="0.25">
      <c r="A56" s="53">
        <v>8.0938888888888894</v>
      </c>
      <c r="B56" s="54">
        <f>($B$44*A56)-$D$44</f>
        <v>0.15225327777777786</v>
      </c>
      <c r="C56" s="53">
        <f t="shared" si="12"/>
        <v>1.4198853483723102</v>
      </c>
    </row>
  </sheetData>
  <mergeCells count="2">
    <mergeCell ref="B33:D33"/>
    <mergeCell ref="E33:G3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A48AE-02F6-40FE-A435-D8CC65F15923}">
  <dimension ref="A1:L54"/>
  <sheetViews>
    <sheetView topLeftCell="A4" zoomScale="106" zoomScaleNormal="106" workbookViewId="0">
      <selection activeCell="U16" sqref="U16"/>
    </sheetView>
  </sheetViews>
  <sheetFormatPr defaultColWidth="11.42578125" defaultRowHeight="15" x14ac:dyDescent="0.25"/>
  <cols>
    <col min="12" max="12" width="12.85546875" customWidth="1"/>
  </cols>
  <sheetData>
    <row r="1" spans="1:12" x14ac:dyDescent="0.25">
      <c r="A1" t="s">
        <v>113</v>
      </c>
      <c r="B1" s="4">
        <v>0.37152777777777773</v>
      </c>
    </row>
    <row r="2" spans="1:12" x14ac:dyDescent="0.25">
      <c r="A2" t="s">
        <v>107</v>
      </c>
      <c r="B2" s="1">
        <f>(55/60) + 8</f>
        <v>8.9166666666666661</v>
      </c>
    </row>
    <row r="4" spans="1:12" ht="30" x14ac:dyDescent="0.25">
      <c r="A4" s="26" t="s">
        <v>5</v>
      </c>
      <c r="B4" s="68"/>
      <c r="C4" s="26" t="s">
        <v>7</v>
      </c>
      <c r="D4" s="26" t="s">
        <v>8</v>
      </c>
      <c r="E4" s="26" t="s">
        <v>32</v>
      </c>
      <c r="F4" s="26" t="s">
        <v>33</v>
      </c>
      <c r="G4" s="26" t="s">
        <v>10</v>
      </c>
      <c r="H4" s="26" t="s">
        <v>11</v>
      </c>
      <c r="I4" s="26" t="s">
        <v>12</v>
      </c>
      <c r="J4" s="26" t="s">
        <v>13</v>
      </c>
      <c r="K4" s="26" t="s">
        <v>14</v>
      </c>
      <c r="L4" s="26" t="s">
        <v>15</v>
      </c>
    </row>
    <row r="5" spans="1:12" x14ac:dyDescent="0.25">
      <c r="A5" s="62" t="s">
        <v>72</v>
      </c>
      <c r="B5" s="62" t="s">
        <v>93</v>
      </c>
      <c r="C5" s="1">
        <f t="shared" ref="C5:C17" si="0">(B5/60)+A5-$B$2</f>
        <v>5.0000000000000711E-2</v>
      </c>
      <c r="H5">
        <v>4</v>
      </c>
      <c r="I5">
        <v>0</v>
      </c>
      <c r="J5">
        <f>1500-I5+H5</f>
        <v>1504</v>
      </c>
    </row>
    <row r="6" spans="1:12" x14ac:dyDescent="0.25">
      <c r="A6" s="62" t="s">
        <v>74</v>
      </c>
      <c r="B6" s="62" t="s">
        <v>89</v>
      </c>
      <c r="C6" s="1">
        <f t="shared" si="0"/>
        <v>0.5</v>
      </c>
      <c r="D6">
        <v>0.28399999999999997</v>
      </c>
      <c r="H6">
        <v>0</v>
      </c>
      <c r="I6">
        <v>1</v>
      </c>
      <c r="J6">
        <f t="shared" ref="J6:J12" si="1">J5-I6+H6</f>
        <v>1503</v>
      </c>
    </row>
    <row r="7" spans="1:12" x14ac:dyDescent="0.25">
      <c r="A7" s="62" t="s">
        <v>76</v>
      </c>
      <c r="B7" s="62" t="s">
        <v>76</v>
      </c>
      <c r="C7" s="1">
        <f t="shared" si="0"/>
        <v>1.25</v>
      </c>
      <c r="D7">
        <v>0.34</v>
      </c>
      <c r="G7" t="s">
        <v>17</v>
      </c>
      <c r="H7">
        <v>0</v>
      </c>
      <c r="I7">
        <v>10</v>
      </c>
      <c r="J7">
        <f t="shared" si="1"/>
        <v>1493</v>
      </c>
    </row>
    <row r="8" spans="1:12" x14ac:dyDescent="0.25">
      <c r="A8" s="62" t="s">
        <v>76</v>
      </c>
      <c r="B8" s="62" t="s">
        <v>90</v>
      </c>
      <c r="C8" s="1">
        <f t="shared" si="0"/>
        <v>1.9166666666666679</v>
      </c>
      <c r="D8">
        <v>0.46700000000000003</v>
      </c>
      <c r="H8">
        <v>1</v>
      </c>
      <c r="I8">
        <v>1</v>
      </c>
      <c r="J8">
        <f t="shared" si="1"/>
        <v>1493</v>
      </c>
    </row>
    <row r="9" spans="1:12" x14ac:dyDescent="0.25">
      <c r="A9" s="62" t="s">
        <v>78</v>
      </c>
      <c r="B9" s="62" t="s">
        <v>91</v>
      </c>
      <c r="C9" s="1">
        <f t="shared" si="0"/>
        <v>2.7333333333333343</v>
      </c>
      <c r="D9">
        <v>0.90200000000000002</v>
      </c>
      <c r="E9">
        <v>1.0532999999999999</v>
      </c>
      <c r="F9">
        <v>2.4899999999999999E-2</v>
      </c>
      <c r="G9" t="s">
        <v>18</v>
      </c>
      <c r="H9">
        <v>0</v>
      </c>
      <c r="I9">
        <v>7</v>
      </c>
      <c r="J9">
        <f t="shared" si="1"/>
        <v>1486</v>
      </c>
    </row>
    <row r="10" spans="1:12" x14ac:dyDescent="0.25">
      <c r="A10" s="62" t="s">
        <v>79</v>
      </c>
      <c r="B10" s="62" t="s">
        <v>73</v>
      </c>
      <c r="C10" s="1">
        <f t="shared" si="0"/>
        <v>3.0833333333333339</v>
      </c>
      <c r="D10">
        <v>1.284</v>
      </c>
      <c r="G10" t="s">
        <v>19</v>
      </c>
      <c r="H10">
        <v>1</v>
      </c>
      <c r="I10">
        <v>4</v>
      </c>
      <c r="J10">
        <f t="shared" si="1"/>
        <v>1483</v>
      </c>
    </row>
    <row r="11" spans="1:12" x14ac:dyDescent="0.25">
      <c r="A11" s="62" t="s">
        <v>79</v>
      </c>
      <c r="B11" s="62" t="s">
        <v>76</v>
      </c>
      <c r="C11" s="1">
        <f t="shared" si="0"/>
        <v>3.25</v>
      </c>
      <c r="D11">
        <v>1.4359999999999999</v>
      </c>
      <c r="E11">
        <v>1.29</v>
      </c>
      <c r="F11">
        <v>0.15297058540761496</v>
      </c>
      <c r="G11" t="s">
        <v>20</v>
      </c>
      <c r="H11">
        <v>0</v>
      </c>
      <c r="I11">
        <v>7</v>
      </c>
      <c r="J11">
        <f t="shared" si="1"/>
        <v>1476</v>
      </c>
    </row>
    <row r="12" spans="1:12" x14ac:dyDescent="0.25">
      <c r="A12" s="62" t="s">
        <v>79</v>
      </c>
      <c r="B12" s="62" t="s">
        <v>89</v>
      </c>
      <c r="C12" s="1">
        <f t="shared" si="0"/>
        <v>3.5</v>
      </c>
      <c r="D12">
        <v>1.72</v>
      </c>
      <c r="E12">
        <v>1.62</v>
      </c>
      <c r="F12">
        <v>5.3124591501744221E-2</v>
      </c>
      <c r="G12" t="s">
        <v>21</v>
      </c>
      <c r="H12">
        <v>1</v>
      </c>
      <c r="I12">
        <v>7</v>
      </c>
      <c r="J12">
        <f t="shared" si="1"/>
        <v>1470</v>
      </c>
    </row>
    <row r="13" spans="1:12" x14ac:dyDescent="0.25">
      <c r="A13" s="62" t="s">
        <v>79</v>
      </c>
      <c r="B13" s="62" t="s">
        <v>92</v>
      </c>
      <c r="C13" s="1">
        <f t="shared" si="0"/>
        <v>3.7833333333333332</v>
      </c>
      <c r="D13">
        <v>2.4700000000000002</v>
      </c>
      <c r="E13">
        <v>2.5099999999999998</v>
      </c>
      <c r="F13">
        <v>0.14613540144530127</v>
      </c>
      <c r="G13" t="s">
        <v>23</v>
      </c>
      <c r="H13">
        <v>1</v>
      </c>
      <c r="I13">
        <v>7</v>
      </c>
      <c r="J13">
        <f>J12-I13+H13</f>
        <v>1464</v>
      </c>
      <c r="L13">
        <v>100</v>
      </c>
    </row>
    <row r="14" spans="1:12" x14ac:dyDescent="0.25">
      <c r="A14" s="62" t="s">
        <v>79</v>
      </c>
      <c r="B14" s="62" t="s">
        <v>93</v>
      </c>
      <c r="C14" s="1">
        <f t="shared" si="0"/>
        <v>4.0500000000000007</v>
      </c>
      <c r="D14">
        <v>3.16</v>
      </c>
      <c r="E14">
        <v>2.64</v>
      </c>
      <c r="F14">
        <v>0.11585431464661214</v>
      </c>
      <c r="G14" t="s">
        <v>24</v>
      </c>
      <c r="H14">
        <v>0</v>
      </c>
      <c r="I14">
        <v>7</v>
      </c>
      <c r="J14">
        <f>J17-I14+H14+(L13/1000)</f>
        <v>1454.1</v>
      </c>
    </row>
    <row r="15" spans="1:12" x14ac:dyDescent="0.25">
      <c r="A15" s="62" t="s">
        <v>81</v>
      </c>
      <c r="B15" s="62" t="s">
        <v>76</v>
      </c>
      <c r="C15" s="1">
        <f t="shared" si="0"/>
        <v>4.25</v>
      </c>
      <c r="D15">
        <v>3.7</v>
      </c>
      <c r="E15">
        <v>3.35</v>
      </c>
      <c r="F15">
        <v>8.7305339024726925E-2</v>
      </c>
      <c r="G15" t="s">
        <v>37</v>
      </c>
      <c r="H15">
        <v>1</v>
      </c>
      <c r="I15">
        <v>7</v>
      </c>
      <c r="J15">
        <f>J14-I15+H15</f>
        <v>1448.1</v>
      </c>
    </row>
    <row r="16" spans="1:12" x14ac:dyDescent="0.25">
      <c r="A16" s="62" t="s">
        <v>81</v>
      </c>
      <c r="B16" s="62" t="s">
        <v>108</v>
      </c>
      <c r="C16" s="1">
        <f t="shared" si="0"/>
        <v>4.4833333333333343</v>
      </c>
      <c r="D16" t="s">
        <v>25</v>
      </c>
    </row>
    <row r="17" spans="1:12" x14ac:dyDescent="0.25">
      <c r="A17" s="23">
        <v>12</v>
      </c>
      <c r="B17" s="24">
        <v>51</v>
      </c>
      <c r="C17" s="23">
        <f t="shared" si="0"/>
        <v>3.9333333333333336</v>
      </c>
      <c r="D17" s="24"/>
      <c r="E17" s="24"/>
      <c r="F17" s="24"/>
      <c r="G17" s="24"/>
      <c r="H17" s="24">
        <v>0</v>
      </c>
      <c r="I17" s="24">
        <v>3</v>
      </c>
      <c r="J17" s="24">
        <f>J13-I17+H17</f>
        <v>1461</v>
      </c>
      <c r="K17" s="24" t="s">
        <v>22</v>
      </c>
      <c r="L17" s="24"/>
    </row>
    <row r="19" spans="1:12" x14ac:dyDescent="0.25">
      <c r="A19" t="s">
        <v>34</v>
      </c>
    </row>
    <row r="20" spans="1:12" x14ac:dyDescent="0.25">
      <c r="A20" s="4">
        <v>0.4236111111111111</v>
      </c>
      <c r="B20" t="s">
        <v>35</v>
      </c>
    </row>
    <row r="21" spans="1:12" x14ac:dyDescent="0.25">
      <c r="B21" t="s">
        <v>36</v>
      </c>
    </row>
    <row r="23" spans="1:12" ht="30" x14ac:dyDescent="0.25">
      <c r="A23" s="65" t="s">
        <v>62</v>
      </c>
      <c r="B23" s="64" t="s">
        <v>114</v>
      </c>
      <c r="C23" s="64" t="s">
        <v>115</v>
      </c>
      <c r="D23" s="64" t="s">
        <v>116</v>
      </c>
      <c r="E23" s="64" t="s">
        <v>114</v>
      </c>
      <c r="F23" s="64" t="s">
        <v>115</v>
      </c>
      <c r="G23" s="64" t="s">
        <v>116</v>
      </c>
      <c r="H23" s="64" t="s">
        <v>114</v>
      </c>
      <c r="I23" s="64" t="s">
        <v>115</v>
      </c>
      <c r="J23" s="64" t="s">
        <v>116</v>
      </c>
      <c r="K23" s="64" t="s">
        <v>66</v>
      </c>
    </row>
    <row r="24" spans="1:12" x14ac:dyDescent="0.25">
      <c r="A24" s="67">
        <v>2.7333333333333343</v>
      </c>
      <c r="B24" s="1">
        <v>2500.9699999999998</v>
      </c>
      <c r="C24" s="1">
        <v>2502.0300000000002</v>
      </c>
      <c r="D24" s="1">
        <f>C24-B24</f>
        <v>1.0600000000004002</v>
      </c>
      <c r="E24" s="1">
        <v>2473.08</v>
      </c>
      <c r="F24" s="1">
        <v>2474.16</v>
      </c>
      <c r="G24" s="1">
        <f>F24-E24</f>
        <v>1.0799999999999272</v>
      </c>
      <c r="H24" s="1">
        <v>2477.1799999999998</v>
      </c>
      <c r="I24" s="1">
        <v>2478.1999999999998</v>
      </c>
      <c r="J24" s="1">
        <f>I24-H24</f>
        <v>1.0199999999999818</v>
      </c>
      <c r="K24" s="1">
        <f>_xlfn.STDEV.S(J24,G24,D24)</f>
        <v>3.0550504633060763E-2</v>
      </c>
    </row>
    <row r="25" spans="1:12" x14ac:dyDescent="0.25">
      <c r="A25" s="5">
        <v>3.25</v>
      </c>
      <c r="B25" s="1">
        <v>2492.96</v>
      </c>
      <c r="C25" s="1">
        <v>2494.31</v>
      </c>
      <c r="D25" s="1">
        <f t="shared" ref="D25:D29" si="2">C25-B25</f>
        <v>1.3499999999999091</v>
      </c>
      <c r="E25" s="1">
        <v>2481.69</v>
      </c>
      <c r="F25" s="1">
        <v>2483.13</v>
      </c>
      <c r="G25" s="1">
        <f t="shared" ref="G25:G29" si="3">F25-E25</f>
        <v>1.4400000000000546</v>
      </c>
      <c r="H25" s="1">
        <v>2492.4299999999998</v>
      </c>
      <c r="I25" s="1">
        <v>2493.5100000000002</v>
      </c>
      <c r="J25" s="1">
        <f t="shared" ref="J25:J29" si="4">I25-H25</f>
        <v>1.080000000000382</v>
      </c>
      <c r="K25" s="1">
        <f t="shared" ref="K25:K29" si="5">_xlfn.STDEV.S(J25,G25,D25)</f>
        <v>0.18734993995174429</v>
      </c>
    </row>
    <row r="26" spans="1:12" x14ac:dyDescent="0.25">
      <c r="A26" s="5">
        <v>3.5</v>
      </c>
      <c r="B26" s="1">
        <v>2465.73</v>
      </c>
      <c r="C26" s="1">
        <v>2467.42</v>
      </c>
      <c r="D26" s="1">
        <f t="shared" si="2"/>
        <v>1.6900000000000546</v>
      </c>
      <c r="E26" s="1">
        <v>2451.59</v>
      </c>
      <c r="F26" s="1">
        <v>2453.21</v>
      </c>
      <c r="G26" s="1">
        <f t="shared" si="3"/>
        <v>1.6199999999998909</v>
      </c>
      <c r="H26" s="1">
        <v>2455.2600000000002</v>
      </c>
      <c r="I26" s="1">
        <v>2456.8200000000002</v>
      </c>
      <c r="J26" s="1">
        <f t="shared" si="4"/>
        <v>1.5599999999999454</v>
      </c>
      <c r="K26" s="1">
        <f t="shared" si="5"/>
        <v>6.5064070986534425E-2</v>
      </c>
    </row>
    <row r="27" spans="1:12" x14ac:dyDescent="0.25">
      <c r="A27" s="5">
        <v>3.7833333333333332</v>
      </c>
      <c r="B27" s="1">
        <v>2475.2399999999998</v>
      </c>
      <c r="C27" s="1">
        <v>2477.85</v>
      </c>
      <c r="D27" s="1">
        <f t="shared" si="2"/>
        <v>2.6100000000001273</v>
      </c>
      <c r="E27" s="1">
        <v>2479.7800000000002</v>
      </c>
      <c r="F27" s="1">
        <v>2482.39</v>
      </c>
      <c r="G27" s="1">
        <f t="shared" si="3"/>
        <v>2.6099999999996726</v>
      </c>
      <c r="H27" s="1">
        <v>2466.5100000000002</v>
      </c>
      <c r="I27" s="1">
        <v>2468.81</v>
      </c>
      <c r="J27" s="1">
        <f t="shared" si="4"/>
        <v>2.2999999999997272</v>
      </c>
      <c r="K27" s="1">
        <f t="shared" si="5"/>
        <v>0.17897858344888376</v>
      </c>
    </row>
    <row r="28" spans="1:12" x14ac:dyDescent="0.25">
      <c r="A28" s="5">
        <v>4.0500000000000007</v>
      </c>
      <c r="B28" s="1">
        <v>2463.6999999999998</v>
      </c>
      <c r="C28" s="1">
        <v>2466.31</v>
      </c>
      <c r="D28" s="1">
        <f t="shared" si="2"/>
        <v>2.6100000000001273</v>
      </c>
      <c r="E28" s="1">
        <v>2501.2600000000002</v>
      </c>
      <c r="F28" s="1">
        <v>2503.77</v>
      </c>
      <c r="G28" s="1">
        <f t="shared" si="3"/>
        <v>2.5099999999997635</v>
      </c>
      <c r="H28" s="1">
        <v>2464.3200000000002</v>
      </c>
      <c r="I28" s="1">
        <v>2467.11</v>
      </c>
      <c r="J28" s="1">
        <f t="shared" si="4"/>
        <v>2.7899999999999636</v>
      </c>
      <c r="K28" s="1">
        <f t="shared" si="5"/>
        <v>0.14189197769202569</v>
      </c>
    </row>
    <row r="29" spans="1:12" x14ac:dyDescent="0.25">
      <c r="A29" s="33">
        <v>4.25</v>
      </c>
      <c r="B29" s="23">
        <v>2480.9499999999998</v>
      </c>
      <c r="C29" s="23">
        <v>2484.39</v>
      </c>
      <c r="D29" s="23">
        <f t="shared" si="2"/>
        <v>3.4400000000000546</v>
      </c>
      <c r="E29" s="23">
        <v>2510.14</v>
      </c>
      <c r="F29" s="23">
        <v>2513.37</v>
      </c>
      <c r="G29" s="23">
        <f t="shared" si="3"/>
        <v>3.2300000000000182</v>
      </c>
      <c r="H29" s="23">
        <v>2469.5500000000002</v>
      </c>
      <c r="I29" s="23">
        <v>2472.92</v>
      </c>
      <c r="J29" s="23">
        <f t="shared" si="4"/>
        <v>3.3699999999998909</v>
      </c>
      <c r="K29" s="23">
        <f t="shared" si="5"/>
        <v>0.10692676621563825</v>
      </c>
    </row>
    <row r="30" spans="1:12" x14ac:dyDescent="0.25">
      <c r="A30" s="5"/>
      <c r="B30" s="1"/>
      <c r="C30" s="1"/>
      <c r="D30" s="1"/>
      <c r="E30" s="1"/>
      <c r="F30" s="1"/>
      <c r="G30" s="1"/>
      <c r="H30" s="1"/>
      <c r="I30" s="1"/>
      <c r="J30" s="1"/>
      <c r="K30" s="1"/>
    </row>
    <row r="32" spans="1:12" ht="30" x14ac:dyDescent="0.25">
      <c r="A32" s="26" t="s">
        <v>38</v>
      </c>
      <c r="B32" s="27" t="s">
        <v>8</v>
      </c>
      <c r="C32" s="25" t="s">
        <v>28</v>
      </c>
      <c r="D32" s="26"/>
      <c r="E32" s="60"/>
      <c r="F32" s="25" t="s">
        <v>39</v>
      </c>
      <c r="G32" s="26"/>
      <c r="H32" s="60"/>
      <c r="I32" s="26" t="s">
        <v>40</v>
      </c>
      <c r="J32" s="25" t="s">
        <v>41</v>
      </c>
    </row>
    <row r="33" spans="1:10" x14ac:dyDescent="0.25">
      <c r="A33" s="5">
        <v>2.7333333333333343</v>
      </c>
      <c r="B33" s="28">
        <v>0.90200000000000002</v>
      </c>
      <c r="C33" s="17">
        <v>1.0600000000004002</v>
      </c>
      <c r="D33" s="6">
        <v>1.0799999999999272</v>
      </c>
      <c r="E33" s="29">
        <v>1.0199999999999818</v>
      </c>
      <c r="F33" s="30">
        <f>LOG(C33)</f>
        <v>2.53058652649342E-2</v>
      </c>
      <c r="G33" s="31">
        <f>LOG(D33)</f>
        <v>3.3423755486920441E-2</v>
      </c>
      <c r="H33" s="32">
        <f>LOG(E33)</f>
        <v>8.6001717619098167E-3</v>
      </c>
      <c r="I33" s="31">
        <f t="shared" ref="I33:I38" si="6">AVERAGE(F33:H33)</f>
        <v>2.244326417125482E-2</v>
      </c>
      <c r="J33" s="30">
        <f t="shared" ref="J33:J38" si="7">_xlfn.STDEV.S(F33:H33)</f>
        <v>1.2656952279451151E-2</v>
      </c>
    </row>
    <row r="34" spans="1:10" x14ac:dyDescent="0.25">
      <c r="A34" s="5">
        <v>3.25</v>
      </c>
      <c r="B34" s="28">
        <v>1.4359999999999999</v>
      </c>
      <c r="C34" s="17">
        <v>1.3499999999999091</v>
      </c>
      <c r="D34" s="6">
        <v>1.4400000000000546</v>
      </c>
      <c r="E34" s="29">
        <v>1.080000000000382</v>
      </c>
      <c r="F34" s="30">
        <f t="shared" ref="F34:F38" si="8">LOG(C34)</f>
        <v>0.13033376849497685</v>
      </c>
      <c r="G34" s="31">
        <f t="shared" ref="G34:G38" si="9">LOG(D34)</f>
        <v>0.15836249209526612</v>
      </c>
      <c r="H34" s="32">
        <f t="shared" ref="H34:H38" si="10">LOG(E34)</f>
        <v>3.3423755487103309E-2</v>
      </c>
      <c r="I34" s="31">
        <f t="shared" si="6"/>
        <v>0.10737333869244876</v>
      </c>
      <c r="J34" s="30">
        <f t="shared" si="7"/>
        <v>6.5557669107806041E-2</v>
      </c>
    </row>
    <row r="35" spans="1:10" x14ac:dyDescent="0.25">
      <c r="A35" s="5">
        <v>3.5</v>
      </c>
      <c r="B35" s="28">
        <v>1.72</v>
      </c>
      <c r="C35" s="17">
        <v>1.6900000000000546</v>
      </c>
      <c r="D35" s="6">
        <v>1.6199999999998909</v>
      </c>
      <c r="E35" s="29">
        <v>1.5599999999999454</v>
      </c>
      <c r="F35" s="30">
        <f t="shared" si="8"/>
        <v>0.22788670461368757</v>
      </c>
      <c r="G35" s="31">
        <f t="shared" si="9"/>
        <v>0.20951501454260169</v>
      </c>
      <c r="H35" s="32">
        <f t="shared" si="10"/>
        <v>0.1931245983544464</v>
      </c>
      <c r="I35" s="31">
        <f t="shared" si="6"/>
        <v>0.2101754391702452</v>
      </c>
      <c r="J35" s="30">
        <f t="shared" si="7"/>
        <v>1.7390460845282167E-2</v>
      </c>
    </row>
    <row r="36" spans="1:10" x14ac:dyDescent="0.25">
      <c r="A36" s="5">
        <v>3.7833333333333332</v>
      </c>
      <c r="B36" s="28">
        <v>2.4700000000000002</v>
      </c>
      <c r="C36" s="17">
        <v>2.6100000000001273</v>
      </c>
      <c r="D36" s="6">
        <v>2.6099999999996726</v>
      </c>
      <c r="E36" s="29">
        <v>2.2999999999997272</v>
      </c>
      <c r="F36" s="30">
        <f t="shared" si="8"/>
        <v>0.41664050733830216</v>
      </c>
      <c r="G36" s="31">
        <f t="shared" si="9"/>
        <v>0.4166405073382265</v>
      </c>
      <c r="H36" s="32">
        <f t="shared" si="10"/>
        <v>0.36172783601754138</v>
      </c>
      <c r="I36" s="31">
        <f t="shared" si="6"/>
        <v>0.39833628356468997</v>
      </c>
      <c r="J36" s="30">
        <f t="shared" si="7"/>
        <v>3.170384556894084E-2</v>
      </c>
    </row>
    <row r="37" spans="1:10" x14ac:dyDescent="0.25">
      <c r="A37" s="5">
        <v>4.0500000000000007</v>
      </c>
      <c r="B37" s="28">
        <v>3.16</v>
      </c>
      <c r="C37" s="17">
        <v>2.6100000000001273</v>
      </c>
      <c r="D37" s="6">
        <v>2.5099999999997635</v>
      </c>
      <c r="E37" s="29">
        <v>2.7899999999999636</v>
      </c>
      <c r="F37" s="30">
        <f t="shared" si="8"/>
        <v>0.41664050733830216</v>
      </c>
      <c r="G37" s="31">
        <f t="shared" si="9"/>
        <v>0.39967372148099722</v>
      </c>
      <c r="H37" s="32">
        <f t="shared" si="10"/>
        <v>0.4456042032735919</v>
      </c>
      <c r="I37" s="31">
        <f t="shared" si="6"/>
        <v>0.42063947736429713</v>
      </c>
      <c r="J37" s="30">
        <f t="shared" si="7"/>
        <v>2.3224902806611967E-2</v>
      </c>
    </row>
    <row r="38" spans="1:10" x14ac:dyDescent="0.25">
      <c r="A38" s="33">
        <v>4.25</v>
      </c>
      <c r="B38" s="34">
        <v>3.7</v>
      </c>
      <c r="C38" s="19">
        <v>3.4400000000000546</v>
      </c>
      <c r="D38" s="20">
        <v>3.2300000000000182</v>
      </c>
      <c r="E38" s="35">
        <v>3.3699999999998909</v>
      </c>
      <c r="F38" s="36">
        <f t="shared" si="8"/>
        <v>0.53655844257153695</v>
      </c>
      <c r="G38" s="37">
        <f t="shared" si="9"/>
        <v>0.5092025223311053</v>
      </c>
      <c r="H38" s="38">
        <f t="shared" si="10"/>
        <v>0.52762990087132455</v>
      </c>
      <c r="I38" s="37">
        <f t="shared" si="6"/>
        <v>0.52446362192465557</v>
      </c>
      <c r="J38" s="36">
        <f t="shared" si="7"/>
        <v>1.395011056681286E-2</v>
      </c>
    </row>
    <row r="41" spans="1:10" x14ac:dyDescent="0.25">
      <c r="A41" t="s">
        <v>68</v>
      </c>
      <c r="B41">
        <v>0.41060000000000002</v>
      </c>
      <c r="C41" t="s">
        <v>69</v>
      </c>
      <c r="D41">
        <v>1.2142999999999999</v>
      </c>
    </row>
    <row r="43" spans="1:10" x14ac:dyDescent="0.25">
      <c r="A43" t="s">
        <v>67</v>
      </c>
      <c r="B43" t="s">
        <v>70</v>
      </c>
      <c r="C43" t="s">
        <v>71</v>
      </c>
    </row>
    <row r="44" spans="1:10" x14ac:dyDescent="0.25">
      <c r="A44" s="1">
        <v>4.42</v>
      </c>
      <c r="B44">
        <f>(A44*$B$41) -$D$41</f>
        <v>0.6005520000000002</v>
      </c>
      <c r="C44" s="1">
        <f>10^B44</f>
        <v>3.9861349721400816</v>
      </c>
    </row>
    <row r="45" spans="1:10" x14ac:dyDescent="0.25">
      <c r="A45" s="1">
        <v>4.4000000000000004</v>
      </c>
      <c r="B45">
        <f>(A45*$B$41) -$D$41</f>
        <v>0.59234000000000031</v>
      </c>
      <c r="C45" s="1">
        <f t="shared" ref="C45:C53" si="11">10^B45</f>
        <v>3.9114699669967448</v>
      </c>
    </row>
    <row r="46" spans="1:10" x14ac:dyDescent="0.25">
      <c r="A46" s="1">
        <v>4.37</v>
      </c>
      <c r="B46">
        <f>(A46*$B$41) -$D$41</f>
        <v>0.58002200000000026</v>
      </c>
      <c r="C46" s="1">
        <f t="shared" si="11"/>
        <v>3.8020865601397791</v>
      </c>
      <c r="E46" s="1"/>
      <c r="F46" s="1"/>
      <c r="G46" s="1"/>
    </row>
    <row r="47" spans="1:10" x14ac:dyDescent="0.25">
      <c r="A47" s="1">
        <v>4.3499999999999996</v>
      </c>
      <c r="B47">
        <f>(A47*$B$41) -$D$41</f>
        <v>0.57180999999999993</v>
      </c>
      <c r="C47" s="1">
        <f t="shared" si="11"/>
        <v>3.7308689986290973</v>
      </c>
    </row>
    <row r="48" spans="1:10" x14ac:dyDescent="0.25">
      <c r="A48" s="1">
        <v>4.33</v>
      </c>
      <c r="B48">
        <f>(A48*$B$41) -$D$41</f>
        <v>0.56359800000000027</v>
      </c>
      <c r="C48" s="1">
        <f>10^B48</f>
        <v>3.6609854259656762</v>
      </c>
    </row>
    <row r="49" spans="1:4" x14ac:dyDescent="0.25">
      <c r="A49" s="1">
        <v>4.3</v>
      </c>
      <c r="B49">
        <f>(A49*$B$41) -$D$41</f>
        <v>0.55127999999999999</v>
      </c>
      <c r="C49" s="1">
        <f t="shared" si="11"/>
        <v>3.5586067648166297</v>
      </c>
    </row>
    <row r="50" spans="1:4" x14ac:dyDescent="0.25">
      <c r="A50" s="1">
        <v>4.28</v>
      </c>
      <c r="B50">
        <f>(A50*$B$41) -$D$41</f>
        <v>0.54306800000000033</v>
      </c>
      <c r="C50" s="1">
        <f t="shared" si="11"/>
        <v>3.4919498667800108</v>
      </c>
    </row>
    <row r="51" spans="1:4" x14ac:dyDescent="0.25">
      <c r="A51" s="1">
        <v>4.25</v>
      </c>
      <c r="B51">
        <f>(A51*$B$41) -$D$41</f>
        <v>0.53075000000000006</v>
      </c>
      <c r="C51" s="1">
        <f t="shared" si="11"/>
        <v>3.3942982482772606</v>
      </c>
    </row>
    <row r="52" spans="1:4" x14ac:dyDescent="0.25">
      <c r="A52" s="1">
        <v>4.2300000000000004</v>
      </c>
      <c r="B52">
        <f>(A52*$B$41) -$D$41</f>
        <v>0.52253800000000039</v>
      </c>
      <c r="C52" s="1">
        <f t="shared" si="11"/>
        <v>3.3307190423705491</v>
      </c>
    </row>
    <row r="53" spans="1:4" x14ac:dyDescent="0.25">
      <c r="A53" s="1">
        <v>4.21</v>
      </c>
      <c r="B53">
        <f>(A53*$B$41) -$D$41</f>
        <v>0.51432600000000006</v>
      </c>
      <c r="C53" s="1">
        <f t="shared" si="11"/>
        <v>3.2683307499098686</v>
      </c>
    </row>
    <row r="54" spans="1:4" x14ac:dyDescent="0.25">
      <c r="D54"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62-C77B-4FBA-924A-2BDEC3D85B7A}">
  <dimension ref="A1:Q62"/>
  <sheetViews>
    <sheetView workbookViewId="0">
      <selection activeCell="H45" sqref="H45"/>
    </sheetView>
  </sheetViews>
  <sheetFormatPr defaultColWidth="11.42578125" defaultRowHeight="15" x14ac:dyDescent="0.25"/>
  <sheetData>
    <row r="1" spans="1:17" x14ac:dyDescent="0.25">
      <c r="A1" t="s">
        <v>113</v>
      </c>
      <c r="B1" s="4">
        <v>0.38958333333333334</v>
      </c>
    </row>
    <row r="2" spans="1:17" x14ac:dyDescent="0.25">
      <c r="A2" t="s">
        <v>107</v>
      </c>
      <c r="B2" s="62">
        <f>A5+(B5/60)</f>
        <v>9.3666666666666671</v>
      </c>
    </row>
    <row r="4" spans="1:17" ht="45" x14ac:dyDescent="0.25">
      <c r="A4" s="26" t="s">
        <v>5</v>
      </c>
      <c r="B4" s="26" t="s">
        <v>6</v>
      </c>
      <c r="C4" s="26" t="s">
        <v>7</v>
      </c>
      <c r="D4" s="26" t="s">
        <v>8</v>
      </c>
      <c r="E4" s="26" t="s">
        <v>9</v>
      </c>
      <c r="F4" s="26" t="s">
        <v>10</v>
      </c>
      <c r="G4" s="26" t="s">
        <v>57</v>
      </c>
      <c r="H4" s="26" t="s">
        <v>12</v>
      </c>
      <c r="I4" s="26" t="s">
        <v>13</v>
      </c>
      <c r="J4" s="26" t="s">
        <v>14</v>
      </c>
      <c r="K4" s="26" t="s">
        <v>58</v>
      </c>
    </row>
    <row r="5" spans="1:17" x14ac:dyDescent="0.25">
      <c r="A5" s="62" t="s">
        <v>74</v>
      </c>
      <c r="B5" s="62" t="s">
        <v>110</v>
      </c>
      <c r="C5" s="1">
        <f t="shared" ref="C5:C24" si="0">(B5/60)+A5-$B$2</f>
        <v>0</v>
      </c>
      <c r="D5">
        <v>6.5000000000000002E-2</v>
      </c>
      <c r="G5">
        <v>5</v>
      </c>
      <c r="H5">
        <v>1</v>
      </c>
      <c r="I5">
        <f>1500-H5+G5</f>
        <v>1504</v>
      </c>
    </row>
    <row r="6" spans="1:17" x14ac:dyDescent="0.25">
      <c r="A6" s="62" t="s">
        <v>76</v>
      </c>
      <c r="B6" s="62" t="s">
        <v>77</v>
      </c>
      <c r="C6" s="1">
        <f t="shared" si="0"/>
        <v>0.86666666666666536</v>
      </c>
      <c r="D6">
        <v>7.2999999999999995E-2</v>
      </c>
      <c r="F6" t="s">
        <v>17</v>
      </c>
      <c r="G6">
        <v>0</v>
      </c>
      <c r="H6">
        <v>4.5</v>
      </c>
      <c r="I6">
        <f>I5-H6+G6</f>
        <v>1499.5</v>
      </c>
    </row>
    <row r="7" spans="1:17" x14ac:dyDescent="0.25">
      <c r="A7" s="62" t="s">
        <v>78</v>
      </c>
      <c r="B7" s="62" t="s">
        <v>77</v>
      </c>
      <c r="C7" s="1">
        <f t="shared" si="0"/>
        <v>1.8666666666666654</v>
      </c>
      <c r="D7">
        <v>0.10100000000000001</v>
      </c>
      <c r="G7">
        <v>0</v>
      </c>
      <c r="H7">
        <v>1</v>
      </c>
      <c r="I7">
        <f>I6-H7+G7</f>
        <v>1498.5</v>
      </c>
    </row>
    <row r="8" spans="1:17" x14ac:dyDescent="0.25">
      <c r="A8" s="62" t="s">
        <v>79</v>
      </c>
      <c r="B8" s="62" t="s">
        <v>80</v>
      </c>
      <c r="C8" s="1">
        <f t="shared" si="0"/>
        <v>2.8833333333333329</v>
      </c>
      <c r="D8">
        <v>0.16</v>
      </c>
      <c r="G8">
        <v>0</v>
      </c>
      <c r="H8">
        <v>1</v>
      </c>
      <c r="I8">
        <f>I7-H8+G8</f>
        <v>1497.5</v>
      </c>
    </row>
    <row r="9" spans="1:17" x14ac:dyDescent="0.25">
      <c r="A9" s="62" t="s">
        <v>81</v>
      </c>
      <c r="B9" s="62" t="s">
        <v>82</v>
      </c>
      <c r="C9" s="1">
        <f t="shared" si="0"/>
        <v>3.9499999999999993</v>
      </c>
      <c r="D9">
        <v>0.26500000000000001</v>
      </c>
      <c r="F9" t="s">
        <v>18</v>
      </c>
      <c r="G9">
        <v>0</v>
      </c>
      <c r="H9">
        <v>4.5</v>
      </c>
      <c r="I9">
        <f t="shared" ref="I9:I21" si="1">I8-H9+G9</f>
        <v>1493</v>
      </c>
    </row>
    <row r="10" spans="1:17" x14ac:dyDescent="0.25">
      <c r="A10" s="62" t="s">
        <v>77</v>
      </c>
      <c r="B10" s="62" t="s">
        <v>80</v>
      </c>
      <c r="C10" s="1">
        <f t="shared" si="0"/>
        <v>4.8833333333333329</v>
      </c>
      <c r="D10">
        <v>0.39900000000000002</v>
      </c>
      <c r="F10" t="s">
        <v>19</v>
      </c>
      <c r="G10">
        <v>0</v>
      </c>
      <c r="H10">
        <v>4.5</v>
      </c>
      <c r="I10">
        <f t="shared" si="1"/>
        <v>1488.5</v>
      </c>
    </row>
    <row r="11" spans="1:17" x14ac:dyDescent="0.25">
      <c r="A11" s="62" t="s">
        <v>77</v>
      </c>
      <c r="B11" s="62" t="s">
        <v>83</v>
      </c>
      <c r="C11" s="1">
        <f t="shared" si="0"/>
        <v>5.3833333333333329</v>
      </c>
      <c r="D11">
        <v>0.51400000000000001</v>
      </c>
      <c r="E11" s="90"/>
      <c r="G11">
        <v>0</v>
      </c>
      <c r="H11">
        <v>1</v>
      </c>
      <c r="I11">
        <f t="shared" si="1"/>
        <v>1487.5</v>
      </c>
    </row>
    <row r="12" spans="1:17" x14ac:dyDescent="0.25">
      <c r="A12" s="62" t="s">
        <v>80</v>
      </c>
      <c r="B12" s="62" t="s">
        <v>80</v>
      </c>
      <c r="C12" s="1">
        <f t="shared" si="0"/>
        <v>5.8833333333333329</v>
      </c>
      <c r="D12">
        <v>0.59199999999999997</v>
      </c>
      <c r="E12" s="90"/>
      <c r="G12">
        <v>1</v>
      </c>
      <c r="H12">
        <v>1</v>
      </c>
      <c r="I12">
        <f t="shared" si="1"/>
        <v>1487.5</v>
      </c>
    </row>
    <row r="13" spans="1:17" x14ac:dyDescent="0.25">
      <c r="A13" s="62" t="s">
        <v>80</v>
      </c>
      <c r="B13" s="62" t="s">
        <v>83</v>
      </c>
      <c r="C13" s="1">
        <f t="shared" si="0"/>
        <v>6.3833333333333329</v>
      </c>
      <c r="D13">
        <v>0.93</v>
      </c>
      <c r="E13" s="91">
        <f>AVERAGE(B40:D40)</f>
        <v>0.23333333333357587</v>
      </c>
      <c r="F13" t="s">
        <v>20</v>
      </c>
      <c r="G13">
        <v>0</v>
      </c>
      <c r="H13">
        <v>4.5</v>
      </c>
      <c r="I13">
        <f t="shared" si="1"/>
        <v>1483</v>
      </c>
      <c r="Q13" t="s">
        <v>37</v>
      </c>
    </row>
    <row r="14" spans="1:17" x14ac:dyDescent="0.25">
      <c r="A14" s="62" t="s">
        <v>84</v>
      </c>
      <c r="B14" s="62" t="s">
        <v>80</v>
      </c>
      <c r="C14" s="1">
        <f t="shared" si="0"/>
        <v>6.8833333333333329</v>
      </c>
      <c r="D14">
        <v>0.98</v>
      </c>
      <c r="E14" s="91">
        <f>AVERAGE(B41:D41)</f>
        <v>0.37666666666670306</v>
      </c>
      <c r="F14" t="s">
        <v>21</v>
      </c>
      <c r="G14" s="22">
        <v>1.5</v>
      </c>
      <c r="H14">
        <v>4.5</v>
      </c>
      <c r="I14">
        <f t="shared" si="1"/>
        <v>1480</v>
      </c>
    </row>
    <row r="15" spans="1:17" x14ac:dyDescent="0.25">
      <c r="A15" s="62" t="s">
        <v>84</v>
      </c>
      <c r="B15" s="62" t="s">
        <v>111</v>
      </c>
      <c r="C15" s="1">
        <f t="shared" si="0"/>
        <v>7.1833333333333336</v>
      </c>
      <c r="E15" s="90"/>
      <c r="G15" s="22">
        <v>0</v>
      </c>
      <c r="H15">
        <v>0</v>
      </c>
      <c r="I15">
        <f t="shared" si="1"/>
        <v>1480</v>
      </c>
    </row>
    <row r="16" spans="1:17" x14ac:dyDescent="0.25">
      <c r="A16" s="62" t="s">
        <v>84</v>
      </c>
      <c r="B16" s="62" t="s">
        <v>83</v>
      </c>
      <c r="C16" s="1">
        <f t="shared" si="0"/>
        <v>7.3833333333333329</v>
      </c>
      <c r="D16">
        <v>1.2</v>
      </c>
      <c r="E16" s="91">
        <f>AVERAGE(B42:D42)</f>
        <v>0.3133333333333515</v>
      </c>
      <c r="F16" t="s">
        <v>23</v>
      </c>
      <c r="G16" s="22">
        <v>3</v>
      </c>
      <c r="H16">
        <v>4.5</v>
      </c>
      <c r="I16">
        <f t="shared" si="1"/>
        <v>1478.5</v>
      </c>
    </row>
    <row r="17" spans="1:11" x14ac:dyDescent="0.25">
      <c r="A17" s="62" t="s">
        <v>75</v>
      </c>
      <c r="B17" s="62" t="s">
        <v>80</v>
      </c>
      <c r="C17" s="1">
        <f t="shared" si="0"/>
        <v>7.8833333333333329</v>
      </c>
      <c r="D17">
        <v>1.76</v>
      </c>
      <c r="E17" s="91">
        <f>AVERAGE(B45:D45)</f>
        <v>1.0566666666666908</v>
      </c>
      <c r="F17" t="s">
        <v>24</v>
      </c>
      <c r="G17" s="22">
        <v>3</v>
      </c>
      <c r="H17">
        <v>4.5</v>
      </c>
      <c r="I17">
        <f t="shared" si="1"/>
        <v>1477</v>
      </c>
    </row>
    <row r="18" spans="1:11" x14ac:dyDescent="0.25">
      <c r="A18" s="62" t="s">
        <v>75</v>
      </c>
      <c r="B18" s="62" t="s">
        <v>85</v>
      </c>
      <c r="C18" s="1">
        <f t="shared" si="0"/>
        <v>8.1333333333333329</v>
      </c>
      <c r="D18">
        <v>1.5</v>
      </c>
      <c r="E18" s="91">
        <f>AVERAGE(B44:D44)</f>
        <v>0.54333333333336975</v>
      </c>
      <c r="F18" t="s">
        <v>37</v>
      </c>
      <c r="G18" s="22">
        <v>1</v>
      </c>
      <c r="H18">
        <v>4.5</v>
      </c>
      <c r="I18">
        <f t="shared" si="1"/>
        <v>1473.5</v>
      </c>
    </row>
    <row r="19" spans="1:11" x14ac:dyDescent="0.25">
      <c r="A19" s="62" t="s">
        <v>86</v>
      </c>
      <c r="B19" s="62" t="s">
        <v>73</v>
      </c>
      <c r="C19" s="1">
        <f t="shared" si="0"/>
        <v>8.6333333333333329</v>
      </c>
      <c r="D19">
        <v>1.796</v>
      </c>
      <c r="E19" s="90"/>
      <c r="G19" s="22">
        <v>3</v>
      </c>
      <c r="H19">
        <v>4.5</v>
      </c>
      <c r="I19">
        <f t="shared" si="1"/>
        <v>1472</v>
      </c>
    </row>
    <row r="20" spans="1:11" x14ac:dyDescent="0.25">
      <c r="A20" s="62" t="s">
        <v>86</v>
      </c>
      <c r="B20" s="62" t="s">
        <v>112</v>
      </c>
      <c r="C20" s="1">
        <f t="shared" si="0"/>
        <v>8.966666666666665</v>
      </c>
      <c r="D20">
        <v>2.06</v>
      </c>
      <c r="E20" s="90"/>
      <c r="F20" t="s">
        <v>47</v>
      </c>
      <c r="G20" s="22">
        <v>2</v>
      </c>
      <c r="H20">
        <v>4.5</v>
      </c>
      <c r="I20">
        <f t="shared" si="1"/>
        <v>1469.5</v>
      </c>
      <c r="J20" t="s">
        <v>56</v>
      </c>
    </row>
    <row r="21" spans="1:11" x14ac:dyDescent="0.25">
      <c r="A21" s="62" t="s">
        <v>86</v>
      </c>
      <c r="B21" s="62" t="s">
        <v>85</v>
      </c>
      <c r="C21" s="1">
        <f t="shared" si="0"/>
        <v>9.1333333333333329</v>
      </c>
      <c r="D21">
        <v>2.35</v>
      </c>
      <c r="E21" s="90"/>
      <c r="F21" t="s">
        <v>51</v>
      </c>
      <c r="G21" s="22">
        <v>2</v>
      </c>
      <c r="H21">
        <v>4.5</v>
      </c>
      <c r="I21">
        <f t="shared" si="1"/>
        <v>1467</v>
      </c>
    </row>
    <row r="22" spans="1:11" x14ac:dyDescent="0.25">
      <c r="A22" s="62" t="s">
        <v>86</v>
      </c>
      <c r="B22" s="62" t="s">
        <v>83</v>
      </c>
      <c r="C22" s="1">
        <f t="shared" si="0"/>
        <v>9.3833333333333329</v>
      </c>
      <c r="D22">
        <v>2.57</v>
      </c>
      <c r="E22" s="53">
        <f>AVERAGE(B43:D43)</f>
        <v>0.48333333333327272</v>
      </c>
      <c r="F22" t="s">
        <v>53</v>
      </c>
      <c r="G22" s="22">
        <v>2</v>
      </c>
      <c r="H22">
        <v>4.5</v>
      </c>
      <c r="I22">
        <f>I21-H22+G22+K22</f>
        <v>1464.6</v>
      </c>
      <c r="K22">
        <v>0.1</v>
      </c>
    </row>
    <row r="23" spans="1:11" x14ac:dyDescent="0.25">
      <c r="A23" s="62" t="s">
        <v>82</v>
      </c>
      <c r="B23" s="62" t="s">
        <v>73</v>
      </c>
      <c r="C23" s="1">
        <f t="shared" si="0"/>
        <v>9.6333333333333329</v>
      </c>
      <c r="D23">
        <v>2.83</v>
      </c>
      <c r="E23" s="53">
        <f>AVERAGE(B46:D46)</f>
        <v>1.0766666666666727</v>
      </c>
      <c r="F23" t="s">
        <v>54</v>
      </c>
      <c r="G23" s="22">
        <v>2</v>
      </c>
      <c r="H23">
        <v>4.5</v>
      </c>
      <c r="I23">
        <f>I22-H23+G23</f>
        <v>1462.1</v>
      </c>
    </row>
    <row r="24" spans="1:11" x14ac:dyDescent="0.25">
      <c r="A24" s="72" t="s">
        <v>82</v>
      </c>
      <c r="B24" s="72" t="s">
        <v>80</v>
      </c>
      <c r="C24" s="23">
        <f t="shared" si="0"/>
        <v>9.8833333333333329</v>
      </c>
      <c r="D24" s="24">
        <v>3.45</v>
      </c>
      <c r="E24" s="24"/>
      <c r="F24" s="24" t="s">
        <v>55</v>
      </c>
      <c r="G24" s="73">
        <v>3</v>
      </c>
      <c r="H24" s="24">
        <v>4.5</v>
      </c>
      <c r="I24" s="24">
        <f>I23-H24+G24+K24</f>
        <v>1460.6999999999998</v>
      </c>
      <c r="J24" s="24"/>
      <c r="K24" s="24">
        <v>0.1</v>
      </c>
    </row>
    <row r="26" spans="1:11" x14ac:dyDescent="0.25">
      <c r="G26" s="22" t="s">
        <v>59</v>
      </c>
    </row>
    <row r="28" spans="1:11" ht="30" x14ac:dyDescent="0.25">
      <c r="A28" s="64" t="s">
        <v>62</v>
      </c>
      <c r="B28" s="64" t="s">
        <v>114</v>
      </c>
      <c r="C28" s="64" t="s">
        <v>115</v>
      </c>
      <c r="D28" s="64" t="s">
        <v>116</v>
      </c>
      <c r="E28" s="64" t="s">
        <v>114</v>
      </c>
      <c r="F28" s="64" t="s">
        <v>115</v>
      </c>
      <c r="G28" s="64" t="s">
        <v>116</v>
      </c>
      <c r="H28" s="64" t="s">
        <v>114</v>
      </c>
      <c r="I28" s="64" t="s">
        <v>115</v>
      </c>
      <c r="J28" s="64" t="s">
        <v>116</v>
      </c>
      <c r="K28" s="64" t="s">
        <v>66</v>
      </c>
    </row>
    <row r="29" spans="1:11" x14ac:dyDescent="0.25">
      <c r="A29" s="1">
        <v>6.3833333333333329</v>
      </c>
      <c r="B29">
        <v>2440.6</v>
      </c>
      <c r="C29">
        <v>2440.7600000000002</v>
      </c>
      <c r="D29">
        <f>C29-B29</f>
        <v>0.16000000000030923</v>
      </c>
      <c r="E29">
        <v>2457.6999999999998</v>
      </c>
      <c r="F29">
        <v>2458.1</v>
      </c>
      <c r="G29">
        <f>F29-E29</f>
        <v>0.40000000000009095</v>
      </c>
      <c r="H29">
        <v>2424.16</v>
      </c>
      <c r="I29">
        <v>2424.3000000000002</v>
      </c>
      <c r="J29">
        <f>I29-H29</f>
        <v>0.14000000000032742</v>
      </c>
      <c r="K29">
        <f>_xlfn.STDEV.S(J29,G29,D29)</f>
        <v>0.14468356276127314</v>
      </c>
    </row>
    <row r="30" spans="1:11" x14ac:dyDescent="0.25">
      <c r="A30" s="1">
        <v>6.8833333333333329</v>
      </c>
      <c r="B30">
        <v>2373.98</v>
      </c>
      <c r="C30">
        <v>2374.37</v>
      </c>
      <c r="D30">
        <f t="shared" ref="D30:D35" si="2">C30-B30</f>
        <v>0.38999999999987267</v>
      </c>
      <c r="E30">
        <v>2455.6999999999998</v>
      </c>
      <c r="F30">
        <v>2455.98</v>
      </c>
      <c r="G30">
        <f t="shared" ref="G30:G35" si="3">F30-E30</f>
        <v>0.28000000000020009</v>
      </c>
      <c r="H30">
        <v>2397.4699999999998</v>
      </c>
      <c r="I30">
        <v>2397.9299999999998</v>
      </c>
      <c r="J30">
        <f t="shared" ref="J30:J35" si="4">I30-H30</f>
        <v>0.46000000000003638</v>
      </c>
      <c r="K30">
        <f t="shared" ref="K30:K35" si="5">_xlfn.STDEV.S(J30,G30,D30)</f>
        <v>9.0737717258675299E-2</v>
      </c>
    </row>
    <row r="31" spans="1:11" x14ac:dyDescent="0.25">
      <c r="A31" s="1">
        <v>7.3833333333333329</v>
      </c>
      <c r="B31">
        <v>2373.77</v>
      </c>
      <c r="C31">
        <v>2374.04</v>
      </c>
      <c r="D31">
        <f t="shared" si="2"/>
        <v>0.26999999999998181</v>
      </c>
      <c r="E31">
        <v>2419.86</v>
      </c>
      <c r="F31">
        <v>2420.09</v>
      </c>
      <c r="G31">
        <f t="shared" si="3"/>
        <v>0.23000000000001819</v>
      </c>
      <c r="H31">
        <v>2420.7199999999998</v>
      </c>
      <c r="I31">
        <v>2421.16</v>
      </c>
      <c r="J31">
        <f t="shared" si="4"/>
        <v>0.44000000000005457</v>
      </c>
      <c r="K31">
        <f t="shared" si="5"/>
        <v>0.11150485789121246</v>
      </c>
    </row>
    <row r="32" spans="1:11" x14ac:dyDescent="0.25">
      <c r="A32" s="1">
        <v>7.8833333333333329</v>
      </c>
      <c r="B32">
        <v>2413.33</v>
      </c>
      <c r="C32">
        <v>2414.1999999999998</v>
      </c>
      <c r="D32">
        <f t="shared" si="2"/>
        <v>0.86999999999989086</v>
      </c>
      <c r="E32">
        <v>2419.37</v>
      </c>
      <c r="F32">
        <v>2420.46</v>
      </c>
      <c r="G32">
        <f t="shared" si="3"/>
        <v>1.0900000000001455</v>
      </c>
      <c r="H32">
        <v>2425.64</v>
      </c>
      <c r="I32">
        <v>2426.85</v>
      </c>
      <c r="J32">
        <f t="shared" si="4"/>
        <v>1.2100000000000364</v>
      </c>
      <c r="K32">
        <f t="shared" si="5"/>
        <v>0.17243356208512317</v>
      </c>
    </row>
    <row r="33" spans="1:11" x14ac:dyDescent="0.25">
      <c r="A33" s="1">
        <v>8.1333333333333329</v>
      </c>
      <c r="B33">
        <v>2399.64</v>
      </c>
      <c r="C33">
        <v>2400.38</v>
      </c>
      <c r="D33">
        <f t="shared" si="2"/>
        <v>0.74000000000023647</v>
      </c>
      <c r="E33">
        <v>2394.88</v>
      </c>
      <c r="F33">
        <v>2395.2800000000002</v>
      </c>
      <c r="G33">
        <f t="shared" si="3"/>
        <v>0.40000000000009095</v>
      </c>
      <c r="H33">
        <v>2417.23</v>
      </c>
      <c r="I33">
        <v>2417.7199999999998</v>
      </c>
      <c r="J33">
        <f t="shared" si="4"/>
        <v>0.48999999999978172</v>
      </c>
      <c r="K33">
        <f t="shared" si="5"/>
        <v>0.17616280348977897</v>
      </c>
    </row>
    <row r="34" spans="1:11" x14ac:dyDescent="0.25">
      <c r="A34" s="1">
        <v>9.3833333333333329</v>
      </c>
      <c r="B34">
        <v>2419.86</v>
      </c>
      <c r="C34">
        <v>2420.3000000000002</v>
      </c>
      <c r="D34">
        <f t="shared" si="2"/>
        <v>0.44000000000005457</v>
      </c>
      <c r="E34">
        <v>2444.21</v>
      </c>
      <c r="F34">
        <v>2444.65</v>
      </c>
      <c r="G34">
        <f t="shared" si="3"/>
        <v>0.44000000000005457</v>
      </c>
      <c r="H34">
        <v>2397.09</v>
      </c>
      <c r="I34">
        <v>2397.66</v>
      </c>
      <c r="J34">
        <f t="shared" si="4"/>
        <v>0.56999999999970896</v>
      </c>
      <c r="K34">
        <f t="shared" si="5"/>
        <v>7.5055534994451598E-2</v>
      </c>
    </row>
    <row r="35" spans="1:11" x14ac:dyDescent="0.25">
      <c r="A35" s="1">
        <v>9.6333333333333329</v>
      </c>
      <c r="B35">
        <v>2428.44</v>
      </c>
      <c r="C35">
        <v>2429.39</v>
      </c>
      <c r="D35">
        <f t="shared" si="2"/>
        <v>0.9499999999998181</v>
      </c>
      <c r="E35">
        <v>2451.69</v>
      </c>
      <c r="F35">
        <v>2452.7600000000002</v>
      </c>
      <c r="G35">
        <f t="shared" si="3"/>
        <v>1.0700000000001637</v>
      </c>
      <c r="H35">
        <v>2455.91</v>
      </c>
      <c r="I35">
        <v>2457.12</v>
      </c>
      <c r="J35">
        <f t="shared" si="4"/>
        <v>1.2100000000000364</v>
      </c>
      <c r="K35">
        <f t="shared" si="5"/>
        <v>0.13012814197305722</v>
      </c>
    </row>
    <row r="36" spans="1:11" x14ac:dyDescent="0.25">
      <c r="B36" t="s">
        <v>52</v>
      </c>
    </row>
    <row r="38" spans="1:11" x14ac:dyDescent="0.25">
      <c r="A38" t="s">
        <v>26</v>
      </c>
    </row>
    <row r="39" spans="1:11" x14ac:dyDescent="0.25">
      <c r="A39" s="8" t="s">
        <v>27</v>
      </c>
      <c r="B39" s="83" t="s">
        <v>28</v>
      </c>
      <c r="C39" s="84"/>
      <c r="D39" s="85"/>
      <c r="E39" s="83" t="s">
        <v>29</v>
      </c>
      <c r="F39" s="84"/>
      <c r="G39" s="85"/>
      <c r="H39" s="9" t="s">
        <v>30</v>
      </c>
      <c r="I39" s="8" t="s">
        <v>31</v>
      </c>
    </row>
    <row r="40" spans="1:11" x14ac:dyDescent="0.25">
      <c r="A40" s="5">
        <v>6.3833333333333337</v>
      </c>
      <c r="B40" s="17">
        <v>0.16000000000030923</v>
      </c>
      <c r="C40" s="6">
        <v>0.40000000000009095</v>
      </c>
      <c r="D40" s="29">
        <v>0.14000000000032742</v>
      </c>
      <c r="E40" s="30">
        <f>LOG(B40)</f>
        <v>-0.79588001734323588</v>
      </c>
      <c r="F40" s="31">
        <f>LOG(C40)</f>
        <v>-0.39794000867193885</v>
      </c>
      <c r="G40" s="32">
        <f>LOG(D40)</f>
        <v>-0.8538719643207463</v>
      </c>
      <c r="H40" s="52">
        <f>AVERAGE(E40:G40)</f>
        <v>-0.68256399677864044</v>
      </c>
      <c r="I40" s="31">
        <f>_xlfn.STDEV.S(E40:G40)</f>
        <v>0.24819121143361053</v>
      </c>
    </row>
    <row r="41" spans="1:11" x14ac:dyDescent="0.25">
      <c r="A41" s="5">
        <v>6.8833333333333337</v>
      </c>
      <c r="B41" s="17">
        <v>0.38999999999987267</v>
      </c>
      <c r="C41" s="6">
        <v>0.28000000000020009</v>
      </c>
      <c r="D41" s="29">
        <v>0.46000000000003638</v>
      </c>
      <c r="E41" s="30">
        <f t="shared" ref="E41:E46" si="6">LOG(B41)</f>
        <v>-0.40893539297364256</v>
      </c>
      <c r="F41" s="31">
        <f t="shared" ref="F41:F46" si="7">LOG(C41)</f>
        <v>-0.55284196865747048</v>
      </c>
      <c r="G41" s="32">
        <f t="shared" ref="G41:G46" si="8">LOG(D41)</f>
        <v>-0.3372421683183916</v>
      </c>
      <c r="H41" s="52">
        <f t="shared" ref="H41:H46" si="9">AVERAGE(E41:G41)</f>
        <v>-0.4330065099831682</v>
      </c>
      <c r="I41" s="31">
        <f t="shared" ref="I41:I46" si="10">_xlfn.STDEV.S(E41:G41)</f>
        <v>0.10979700579764184</v>
      </c>
    </row>
    <row r="42" spans="1:11" x14ac:dyDescent="0.25">
      <c r="A42" s="5">
        <v>7.3833333333333337</v>
      </c>
      <c r="B42" s="17">
        <v>0.26999999999998181</v>
      </c>
      <c r="C42" s="6">
        <v>0.23000000000001819</v>
      </c>
      <c r="D42" s="29">
        <v>0.44000000000005457</v>
      </c>
      <c r="E42" s="30">
        <f t="shared" si="6"/>
        <v>-0.56863623584104195</v>
      </c>
      <c r="F42" s="31">
        <f t="shared" si="7"/>
        <v>-0.63827216398237274</v>
      </c>
      <c r="G42" s="32">
        <f t="shared" si="8"/>
        <v>-0.35654732351375873</v>
      </c>
      <c r="H42" s="52">
        <f t="shared" si="9"/>
        <v>-0.52115190777905784</v>
      </c>
      <c r="I42" s="31">
        <f t="shared" si="10"/>
        <v>0.14674226553004435</v>
      </c>
    </row>
    <row r="43" spans="1:11" x14ac:dyDescent="0.25">
      <c r="A43" s="63">
        <v>7.8833333333333337</v>
      </c>
      <c r="B43" s="6">
        <v>0.44000000000005457</v>
      </c>
      <c r="C43" s="6">
        <v>0.44000000000005457</v>
      </c>
      <c r="D43" s="6">
        <v>0.56999999999970896</v>
      </c>
      <c r="E43" s="30">
        <f t="shared" si="6"/>
        <v>-0.35654732351375873</v>
      </c>
      <c r="F43" s="31">
        <f t="shared" si="7"/>
        <v>-0.35654732351375873</v>
      </c>
      <c r="G43" s="32">
        <f t="shared" si="8"/>
        <v>-0.24412514432773036</v>
      </c>
      <c r="H43" s="52">
        <f t="shared" si="9"/>
        <v>-0.31907326378508261</v>
      </c>
      <c r="I43" s="31">
        <f t="shared" si="10"/>
        <v>6.4906975415937818E-2</v>
      </c>
    </row>
    <row r="44" spans="1:11" x14ac:dyDescent="0.25">
      <c r="A44" s="5">
        <v>8.1333333333333329</v>
      </c>
      <c r="B44" s="17">
        <v>0.74000000000023647</v>
      </c>
      <c r="C44" s="6">
        <v>0.40000000000009095</v>
      </c>
      <c r="D44" s="29">
        <v>0.48999999999978172</v>
      </c>
      <c r="E44" s="30">
        <f t="shared" si="6"/>
        <v>-0.13076828026888504</v>
      </c>
      <c r="F44" s="31">
        <f t="shared" si="7"/>
        <v>-0.39794000867193885</v>
      </c>
      <c r="G44" s="32">
        <f t="shared" si="8"/>
        <v>-0.30980391997167978</v>
      </c>
      <c r="H44" s="52">
        <f t="shared" si="9"/>
        <v>-0.27950406963750124</v>
      </c>
      <c r="I44" s="31">
        <f t="shared" si="10"/>
        <v>0.13613869329538161</v>
      </c>
    </row>
    <row r="45" spans="1:11" x14ac:dyDescent="0.25">
      <c r="A45" s="5">
        <v>9.3833333333333329</v>
      </c>
      <c r="B45" s="17">
        <v>0.86999999999989086</v>
      </c>
      <c r="C45" s="6">
        <v>1.0900000000001455</v>
      </c>
      <c r="D45" s="29">
        <v>1.2100000000000364</v>
      </c>
      <c r="E45" s="30">
        <f t="shared" si="6"/>
        <v>-6.0480747381435954E-2</v>
      </c>
      <c r="F45" s="31">
        <f t="shared" si="7"/>
        <v>3.7426497940681612E-2</v>
      </c>
      <c r="G45" s="32">
        <f t="shared" si="8"/>
        <v>8.2785370316463144E-2</v>
      </c>
      <c r="H45" s="52">
        <f t="shared" si="9"/>
        <v>1.9910373625236268E-2</v>
      </c>
      <c r="I45" s="31">
        <f t="shared" si="10"/>
        <v>7.3221623024436369E-2</v>
      </c>
    </row>
    <row r="46" spans="1:11" x14ac:dyDescent="0.25">
      <c r="A46" s="63">
        <v>9.6333333333333329</v>
      </c>
      <c r="B46" s="6">
        <v>0.9499999999998181</v>
      </c>
      <c r="C46" s="6">
        <v>1.0700000000001637</v>
      </c>
      <c r="D46" s="6">
        <v>1.2100000000000364</v>
      </c>
      <c r="E46" s="30">
        <f t="shared" si="6"/>
        <v>-2.2276394711235388E-2</v>
      </c>
      <c r="F46" s="31">
        <f t="shared" si="7"/>
        <v>2.9383777685276089E-2</v>
      </c>
      <c r="G46" s="32">
        <f t="shared" si="8"/>
        <v>8.2785370316463144E-2</v>
      </c>
      <c r="H46" s="52">
        <f t="shared" si="9"/>
        <v>2.9964251096834617E-2</v>
      </c>
      <c r="I46" s="31">
        <f t="shared" si="10"/>
        <v>5.2533287825149294E-2</v>
      </c>
    </row>
    <row r="49" spans="1:7" x14ac:dyDescent="0.25">
      <c r="A49" t="s">
        <v>104</v>
      </c>
      <c r="G49" s="31"/>
    </row>
    <row r="50" spans="1:7" x14ac:dyDescent="0.25">
      <c r="A50" t="s">
        <v>105</v>
      </c>
      <c r="B50">
        <v>0.21340000000000001</v>
      </c>
      <c r="C50" t="s">
        <v>106</v>
      </c>
      <c r="D50">
        <v>2.0093999999999999</v>
      </c>
    </row>
    <row r="52" spans="1:7" x14ac:dyDescent="0.25">
      <c r="A52" t="s">
        <v>101</v>
      </c>
      <c r="B52" t="s">
        <v>102</v>
      </c>
      <c r="C52" t="s">
        <v>103</v>
      </c>
    </row>
    <row r="53" spans="1:7" x14ac:dyDescent="0.25">
      <c r="A53" s="1">
        <v>9.8583333333333325</v>
      </c>
      <c r="B53" s="54">
        <f>($B$50*A53)-$D$50</f>
        <v>9.4368333333333165E-2</v>
      </c>
      <c r="C53" s="53">
        <f>10^B53</f>
        <v>1.2427058230004047</v>
      </c>
    </row>
    <row r="54" spans="1:7" x14ac:dyDescent="0.25">
      <c r="A54" s="1">
        <v>9.8352777777777778</v>
      </c>
      <c r="B54" s="54">
        <f>($B$50*A54)-$D$50</f>
        <v>8.9448277777778085E-2</v>
      </c>
      <c r="C54" s="53">
        <f t="shared" ref="C54:C62" si="11">10^B54</f>
        <v>1.228706845246488</v>
      </c>
    </row>
    <row r="55" spans="1:7" x14ac:dyDescent="0.25">
      <c r="A55" s="1">
        <v>9.8105555555555579</v>
      </c>
      <c r="B55" s="54">
        <f>($B$50*A55)-$D$50</f>
        <v>8.4172555555556361E-2</v>
      </c>
      <c r="C55" s="53">
        <f t="shared" si="11"/>
        <v>1.2138710545837699</v>
      </c>
    </row>
    <row r="56" spans="1:7" x14ac:dyDescent="0.25">
      <c r="A56" s="1">
        <v>9.7874999999999996</v>
      </c>
      <c r="B56" s="54">
        <f>($B$50*A56)-$D$50</f>
        <v>7.9252499999999948E-2</v>
      </c>
      <c r="C56" s="53">
        <f t="shared" si="11"/>
        <v>1.2001968980981923</v>
      </c>
    </row>
    <row r="57" spans="1:7" x14ac:dyDescent="0.25">
      <c r="A57" s="1">
        <v>9.7644444444444449</v>
      </c>
      <c r="B57" s="54">
        <f>($B$50*A57)-$D$50</f>
        <v>7.4332444444444867E-2</v>
      </c>
      <c r="C57" s="53">
        <f t="shared" si="11"/>
        <v>1.1866767798482993</v>
      </c>
    </row>
    <row r="58" spans="1:7" x14ac:dyDescent="0.25">
      <c r="A58" s="1">
        <v>9.7397222222222215</v>
      </c>
      <c r="B58" s="54">
        <f>($B$50*A58)-$D$50</f>
        <v>6.9056722222222255E-2</v>
      </c>
      <c r="C58" s="53">
        <f t="shared" si="11"/>
        <v>1.1723484733378811</v>
      </c>
    </row>
    <row r="59" spans="1:7" x14ac:dyDescent="0.25">
      <c r="A59" s="1">
        <v>9.7166666666666668</v>
      </c>
      <c r="B59" s="54">
        <f>($B$50*A59)-$D$50</f>
        <v>6.4136666666666731E-2</v>
      </c>
      <c r="C59" s="53">
        <f t="shared" si="11"/>
        <v>1.1591420652770641</v>
      </c>
    </row>
    <row r="60" spans="1:7" x14ac:dyDescent="0.25">
      <c r="A60" s="1">
        <v>9.6919444444444434</v>
      </c>
      <c r="B60" s="54">
        <f>($B$50*A60)-$D$50</f>
        <v>5.8860944444444563E-2</v>
      </c>
      <c r="C60" s="53">
        <f t="shared" si="11"/>
        <v>1.1451462215204089</v>
      </c>
    </row>
    <row r="61" spans="1:7" x14ac:dyDescent="0.25">
      <c r="A61" s="1">
        <v>9.6688888888888886</v>
      </c>
      <c r="B61" s="54">
        <f>($B$50*A61)-$D$50</f>
        <v>5.3940888888889038E-2</v>
      </c>
      <c r="C61" s="53">
        <f t="shared" si="11"/>
        <v>1.1322462445642036</v>
      </c>
    </row>
    <row r="62" spans="1:7" x14ac:dyDescent="0.25">
      <c r="A62" s="1">
        <v>9.6458333333333339</v>
      </c>
      <c r="B62" s="54">
        <f>($B$50*A62)-$D$50</f>
        <v>4.9020833333333513E-2</v>
      </c>
      <c r="C62" s="53">
        <f t="shared" si="11"/>
        <v>1.1194915847756608</v>
      </c>
    </row>
  </sheetData>
  <sortState xmlns:xlrd2="http://schemas.microsoft.com/office/spreadsheetml/2017/richdata2" ref="A53:A62">
    <sortCondition descending="1" ref="A53:A62"/>
  </sortState>
  <mergeCells count="2">
    <mergeCell ref="B39:D39"/>
    <mergeCell ref="E39:G3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87BA-1FBA-47A8-AF13-08853EEAAB0A}">
  <dimension ref="A2:V34"/>
  <sheetViews>
    <sheetView tabSelected="1" workbookViewId="0">
      <selection activeCell="I36" sqref="I36"/>
    </sheetView>
  </sheetViews>
  <sheetFormatPr defaultRowHeight="15" x14ac:dyDescent="0.25"/>
  <cols>
    <col min="4" max="4" width="13.85546875" bestFit="1" customWidth="1"/>
    <col min="5" max="5" width="13.5703125" customWidth="1"/>
    <col min="6" max="6" width="15.42578125" customWidth="1"/>
    <col min="7" max="7" width="13.28515625" customWidth="1"/>
    <col min="8" max="8" width="15.42578125" bestFit="1" customWidth="1"/>
    <col min="9" max="9" width="14.140625" customWidth="1"/>
  </cols>
  <sheetData>
    <row r="2" spans="1:22" ht="15.75" x14ac:dyDescent="0.25">
      <c r="A2" s="107"/>
      <c r="B2" s="107"/>
      <c r="C2" s="108" t="s">
        <v>120</v>
      </c>
      <c r="D2" s="109" t="s">
        <v>121</v>
      </c>
      <c r="E2" s="108" t="s">
        <v>113</v>
      </c>
      <c r="F2" s="110">
        <v>0.42222222222222222</v>
      </c>
      <c r="G2" s="111" t="s">
        <v>122</v>
      </c>
      <c r="H2" s="112">
        <v>44854</v>
      </c>
      <c r="I2" s="113" t="s">
        <v>123</v>
      </c>
      <c r="J2" s="107" t="s">
        <v>4</v>
      </c>
      <c r="K2" s="107"/>
      <c r="N2" s="86" t="s">
        <v>150</v>
      </c>
      <c r="O2" s="86"/>
      <c r="P2" s="86"/>
      <c r="Q2" s="86"/>
      <c r="R2" s="86"/>
      <c r="S2" s="86"/>
      <c r="T2" s="86"/>
      <c r="U2" s="86"/>
      <c r="V2" s="86"/>
    </row>
    <row r="3" spans="1:22" ht="15" customHeight="1" x14ac:dyDescent="0.25">
      <c r="A3" s="105" t="s">
        <v>124</v>
      </c>
      <c r="B3" s="105" t="s">
        <v>62</v>
      </c>
      <c r="C3" s="94" t="s">
        <v>125</v>
      </c>
      <c r="D3" s="94" t="s">
        <v>8</v>
      </c>
      <c r="E3" s="93" t="s">
        <v>126</v>
      </c>
      <c r="F3" s="93"/>
      <c r="G3" s="93"/>
      <c r="H3" s="94" t="s">
        <v>127</v>
      </c>
      <c r="I3" s="94" t="s">
        <v>128</v>
      </c>
      <c r="J3" s="93" t="s">
        <v>129</v>
      </c>
      <c r="K3" s="94" t="s">
        <v>130</v>
      </c>
      <c r="N3" s="86"/>
      <c r="O3" s="86"/>
      <c r="P3" s="86"/>
      <c r="Q3" s="86"/>
      <c r="R3" s="86"/>
      <c r="S3" s="86"/>
      <c r="T3" s="86"/>
      <c r="U3" s="86"/>
      <c r="V3" s="86"/>
    </row>
    <row r="4" spans="1:22" ht="30" x14ac:dyDescent="0.25">
      <c r="A4" s="106"/>
      <c r="B4" s="106"/>
      <c r="C4" s="99"/>
      <c r="D4" s="99"/>
      <c r="E4" s="104" t="s">
        <v>131</v>
      </c>
      <c r="F4" s="104" t="s">
        <v>132</v>
      </c>
      <c r="G4" s="104" t="s">
        <v>133</v>
      </c>
      <c r="H4" s="99"/>
      <c r="I4" s="99"/>
      <c r="J4" s="103"/>
      <c r="K4" s="99"/>
      <c r="N4" s="86"/>
      <c r="O4" s="86"/>
      <c r="P4" s="86"/>
      <c r="Q4" s="86"/>
      <c r="R4" s="86"/>
      <c r="S4" s="86"/>
      <c r="T4" s="86"/>
      <c r="U4" s="86"/>
      <c r="V4" s="86"/>
    </row>
    <row r="5" spans="1:22" x14ac:dyDescent="0.25">
      <c r="A5" s="95">
        <f>10*60+2</f>
        <v>602</v>
      </c>
      <c r="B5" s="95"/>
      <c r="C5" s="95"/>
      <c r="D5" s="95"/>
      <c r="E5" s="95"/>
      <c r="F5" s="95"/>
      <c r="G5" s="95"/>
      <c r="H5" s="95"/>
      <c r="I5" s="95"/>
      <c r="J5" s="95">
        <v>108</v>
      </c>
      <c r="K5" s="95"/>
      <c r="N5" s="86"/>
      <c r="O5" s="86"/>
      <c r="P5" s="86"/>
      <c r="Q5" s="86"/>
      <c r="R5" s="86"/>
      <c r="S5" s="86"/>
      <c r="T5" s="86"/>
      <c r="U5" s="86"/>
      <c r="V5" s="86"/>
    </row>
    <row r="6" spans="1:22" x14ac:dyDescent="0.25">
      <c r="A6" s="95">
        <v>0</v>
      </c>
      <c r="B6" s="96">
        <f t="shared" ref="B6:B29" si="0">A6/60</f>
        <v>0</v>
      </c>
      <c r="C6" s="97">
        <v>0.41805555555555557</v>
      </c>
      <c r="D6" s="98" t="s">
        <v>134</v>
      </c>
      <c r="E6" s="98" t="s">
        <v>46</v>
      </c>
      <c r="F6" s="98" t="s">
        <v>46</v>
      </c>
      <c r="G6" s="98" t="s">
        <v>46</v>
      </c>
      <c r="H6" s="98" t="s">
        <v>46</v>
      </c>
      <c r="I6" s="98" t="s">
        <v>135</v>
      </c>
      <c r="J6" s="98">
        <v>102</v>
      </c>
      <c r="K6" s="98">
        <v>5</v>
      </c>
      <c r="N6" s="86"/>
      <c r="O6" s="86"/>
      <c r="P6" s="86"/>
      <c r="Q6" s="86"/>
      <c r="R6" s="86"/>
      <c r="S6" s="86"/>
      <c r="T6" s="86"/>
      <c r="U6" s="86"/>
      <c r="V6" s="86"/>
    </row>
    <row r="7" spans="1:22" x14ac:dyDescent="0.25">
      <c r="A7" s="95">
        <f>(10*60+24)-A5</f>
        <v>22</v>
      </c>
      <c r="B7" s="96">
        <f t="shared" si="0"/>
        <v>0.36666666666666664</v>
      </c>
      <c r="C7" s="97">
        <v>0.43333333333333335</v>
      </c>
      <c r="D7" s="98">
        <v>0.21</v>
      </c>
      <c r="E7" s="98" t="s">
        <v>46</v>
      </c>
      <c r="F7" s="98" t="s">
        <v>46</v>
      </c>
      <c r="G7" s="98" t="s">
        <v>46</v>
      </c>
      <c r="H7" s="98" t="s">
        <v>46</v>
      </c>
      <c r="I7" s="98" t="s">
        <v>46</v>
      </c>
      <c r="J7" s="98">
        <v>102</v>
      </c>
      <c r="K7" s="98">
        <v>1</v>
      </c>
      <c r="N7" s="86"/>
      <c r="O7" s="86"/>
      <c r="P7" s="86"/>
      <c r="Q7" s="86"/>
      <c r="R7" s="86"/>
      <c r="S7" s="86"/>
      <c r="T7" s="86"/>
      <c r="U7" s="86"/>
      <c r="V7" s="86"/>
    </row>
    <row r="8" spans="1:22" x14ac:dyDescent="0.25">
      <c r="A8" s="95">
        <f>11*60+15-A5</f>
        <v>73</v>
      </c>
      <c r="B8" s="96">
        <f t="shared" si="0"/>
        <v>1.2166666666666666</v>
      </c>
      <c r="C8" s="97">
        <v>0.46875</v>
      </c>
      <c r="D8" s="98">
        <v>0.254</v>
      </c>
      <c r="E8" s="98" t="s">
        <v>46</v>
      </c>
      <c r="F8" s="98" t="s">
        <v>46</v>
      </c>
      <c r="G8" s="98" t="s">
        <v>46</v>
      </c>
      <c r="H8" s="98" t="s">
        <v>46</v>
      </c>
      <c r="I8" s="98" t="s">
        <v>46</v>
      </c>
      <c r="J8" s="98">
        <v>102</v>
      </c>
      <c r="K8" s="98">
        <v>1</v>
      </c>
      <c r="N8" s="86"/>
      <c r="O8" s="86"/>
      <c r="P8" s="86"/>
      <c r="Q8" s="86"/>
      <c r="R8" s="86"/>
      <c r="S8" s="86"/>
      <c r="T8" s="86"/>
      <c r="U8" s="86"/>
      <c r="V8" s="86"/>
    </row>
    <row r="9" spans="1:22" x14ac:dyDescent="0.25">
      <c r="A9" s="95">
        <f>11*60+30-A5</f>
        <v>88</v>
      </c>
      <c r="B9" s="96">
        <f t="shared" si="0"/>
        <v>1.4666666666666666</v>
      </c>
      <c r="C9" s="97">
        <v>0.47916666666666669</v>
      </c>
      <c r="D9" s="98">
        <v>0.254</v>
      </c>
      <c r="E9" s="98" t="s">
        <v>46</v>
      </c>
      <c r="F9" s="98" t="s">
        <v>46</v>
      </c>
      <c r="G9" s="98" t="s">
        <v>46</v>
      </c>
      <c r="H9" s="98" t="s">
        <v>46</v>
      </c>
      <c r="I9" s="98" t="s">
        <v>46</v>
      </c>
      <c r="J9" s="98" t="s">
        <v>46</v>
      </c>
      <c r="K9" s="98">
        <v>1</v>
      </c>
    </row>
    <row r="10" spans="1:22" x14ac:dyDescent="0.25">
      <c r="A10" s="95">
        <f>12*60+15-A5</f>
        <v>133</v>
      </c>
      <c r="B10" s="96">
        <f t="shared" si="0"/>
        <v>2.2166666666666668</v>
      </c>
      <c r="C10" s="97">
        <v>0.51041666666666663</v>
      </c>
      <c r="D10" s="98">
        <v>0.25</v>
      </c>
      <c r="E10" s="98" t="s">
        <v>46</v>
      </c>
      <c r="F10" s="98" t="s">
        <v>46</v>
      </c>
      <c r="G10" s="98" t="s">
        <v>46</v>
      </c>
      <c r="H10" s="98" t="s">
        <v>46</v>
      </c>
      <c r="I10" s="98" t="s">
        <v>46</v>
      </c>
      <c r="J10" s="98">
        <v>102</v>
      </c>
      <c r="K10" s="98">
        <v>1</v>
      </c>
    </row>
    <row r="11" spans="1:22" x14ac:dyDescent="0.25">
      <c r="A11" s="95">
        <f>13*60+14-A5</f>
        <v>192</v>
      </c>
      <c r="B11" s="96">
        <f t="shared" si="0"/>
        <v>3.2</v>
      </c>
      <c r="C11" s="97">
        <v>0.55138888888888882</v>
      </c>
      <c r="D11" s="98">
        <v>0.30499999999999999</v>
      </c>
      <c r="E11" s="98" t="s">
        <v>46</v>
      </c>
      <c r="F11" s="98" t="s">
        <v>46</v>
      </c>
      <c r="G11" s="98" t="s">
        <v>46</v>
      </c>
      <c r="H11" s="98" t="s">
        <v>46</v>
      </c>
      <c r="I11" s="98" t="s">
        <v>46</v>
      </c>
      <c r="J11" s="98">
        <v>102</v>
      </c>
      <c r="K11" s="98">
        <v>1</v>
      </c>
    </row>
    <row r="12" spans="1:22" x14ac:dyDescent="0.25">
      <c r="A12" s="95">
        <f>13*60+38-A5</f>
        <v>216</v>
      </c>
      <c r="B12" s="96">
        <f t="shared" si="0"/>
        <v>3.6</v>
      </c>
      <c r="C12" s="97">
        <v>0.56805555555555554</v>
      </c>
      <c r="D12" s="98">
        <v>0.41</v>
      </c>
      <c r="E12" s="98" t="s">
        <v>46</v>
      </c>
      <c r="F12" s="98" t="s">
        <v>46</v>
      </c>
      <c r="G12" s="98" t="s">
        <v>46</v>
      </c>
      <c r="H12" s="98" t="s">
        <v>46</v>
      </c>
      <c r="I12" s="98" t="s">
        <v>46</v>
      </c>
      <c r="J12" s="98">
        <v>102</v>
      </c>
      <c r="K12" s="98">
        <v>1</v>
      </c>
    </row>
    <row r="13" spans="1:22" x14ac:dyDescent="0.25">
      <c r="A13" s="95">
        <f>14*60-A5</f>
        <v>238</v>
      </c>
      <c r="B13" s="96">
        <f t="shared" si="0"/>
        <v>3.9666666666666668</v>
      </c>
      <c r="C13" s="97">
        <v>0.58333333333333337</v>
      </c>
      <c r="D13" s="98">
        <v>0.496</v>
      </c>
      <c r="E13" s="98" t="s">
        <v>46</v>
      </c>
      <c r="F13" s="98" t="s">
        <v>46</v>
      </c>
      <c r="G13" s="98" t="s">
        <v>46</v>
      </c>
      <c r="H13" s="98" t="s">
        <v>46</v>
      </c>
      <c r="I13" s="98" t="s">
        <v>46</v>
      </c>
      <c r="J13" s="98">
        <v>102</v>
      </c>
      <c r="K13" s="98">
        <v>1</v>
      </c>
    </row>
    <row r="14" spans="1:22" x14ac:dyDescent="0.25">
      <c r="A14" s="95">
        <f>14*60+10-A5</f>
        <v>248</v>
      </c>
      <c r="B14" s="96">
        <f t="shared" si="0"/>
        <v>4.1333333333333337</v>
      </c>
      <c r="C14" s="97">
        <v>0.59027777777777779</v>
      </c>
      <c r="D14" s="98">
        <v>0.53200000000000003</v>
      </c>
      <c r="E14" s="98">
        <v>2417.3200000000002</v>
      </c>
      <c r="F14" s="98">
        <v>2421.58</v>
      </c>
      <c r="G14" s="98">
        <f>F14-E14</f>
        <v>4.2599999999997635</v>
      </c>
      <c r="H14" s="98" t="s">
        <v>17</v>
      </c>
      <c r="I14" s="98" t="s">
        <v>136</v>
      </c>
      <c r="J14" s="98">
        <v>102</v>
      </c>
      <c r="K14" s="98">
        <v>6</v>
      </c>
    </row>
    <row r="15" spans="1:22" x14ac:dyDescent="0.25">
      <c r="A15" s="95">
        <f>14*60+33-A5</f>
        <v>271</v>
      </c>
      <c r="B15" s="96">
        <f t="shared" si="0"/>
        <v>4.5166666666666666</v>
      </c>
      <c r="C15" s="97">
        <v>0.60625000000000007</v>
      </c>
      <c r="D15" s="98">
        <v>0.86</v>
      </c>
      <c r="E15" s="98">
        <v>2448.7600000000002</v>
      </c>
      <c r="F15" s="98">
        <v>2450.92</v>
      </c>
      <c r="G15" s="98">
        <f t="shared" ref="G15:G18" si="1">F15-E15</f>
        <v>2.1599999999998545</v>
      </c>
      <c r="H15" s="98" t="s">
        <v>18</v>
      </c>
      <c r="I15" s="98"/>
      <c r="J15" s="98">
        <v>101</v>
      </c>
      <c r="K15" s="98">
        <v>1</v>
      </c>
    </row>
    <row r="16" spans="1:22" x14ac:dyDescent="0.25">
      <c r="A16" s="95">
        <f>14*60+50-A5</f>
        <v>288</v>
      </c>
      <c r="B16" s="96">
        <f t="shared" si="0"/>
        <v>4.8</v>
      </c>
      <c r="C16" s="97">
        <v>0.61805555555555558</v>
      </c>
      <c r="D16" s="98">
        <v>0.78400000000000003</v>
      </c>
      <c r="E16" s="98">
        <v>2493.38</v>
      </c>
      <c r="F16" s="98">
        <v>2496.2600000000002</v>
      </c>
      <c r="G16" s="98">
        <f t="shared" si="1"/>
        <v>2.8800000000001091</v>
      </c>
      <c r="H16" s="98" t="s">
        <v>19</v>
      </c>
      <c r="I16" s="98" t="s">
        <v>137</v>
      </c>
      <c r="J16" s="98">
        <v>100</v>
      </c>
      <c r="K16" s="98">
        <v>6</v>
      </c>
    </row>
    <row r="17" spans="1:12" x14ac:dyDescent="0.25">
      <c r="A17" s="95">
        <f>15*60+5-A5</f>
        <v>303</v>
      </c>
      <c r="B17" s="96">
        <f t="shared" si="0"/>
        <v>5.05</v>
      </c>
      <c r="C17" s="97">
        <v>0.62847222222222221</v>
      </c>
      <c r="D17" s="98">
        <v>1.296</v>
      </c>
      <c r="E17" s="98">
        <v>2493.08</v>
      </c>
      <c r="F17" s="98">
        <v>2496.71</v>
      </c>
      <c r="G17" s="98">
        <f t="shared" si="1"/>
        <v>3.6300000000001091</v>
      </c>
      <c r="H17" s="98" t="s">
        <v>20</v>
      </c>
      <c r="I17" s="98" t="s">
        <v>138</v>
      </c>
      <c r="J17" s="98">
        <v>100</v>
      </c>
      <c r="K17" s="98">
        <v>6</v>
      </c>
    </row>
    <row r="18" spans="1:12" x14ac:dyDescent="0.25">
      <c r="A18" s="95">
        <f>15*60+20-A5</f>
        <v>318</v>
      </c>
      <c r="B18" s="96">
        <f t="shared" si="0"/>
        <v>5.3</v>
      </c>
      <c r="C18" s="97">
        <v>0.63888888888888895</v>
      </c>
      <c r="D18" s="98">
        <v>1.78</v>
      </c>
      <c r="E18" s="98">
        <v>2497.1</v>
      </c>
      <c r="F18" s="98">
        <v>2501.09</v>
      </c>
      <c r="G18" s="98">
        <f t="shared" si="1"/>
        <v>3.9900000000002365</v>
      </c>
      <c r="H18" s="98" t="s">
        <v>21</v>
      </c>
      <c r="I18" s="98" t="s">
        <v>139</v>
      </c>
      <c r="J18" s="98">
        <v>98</v>
      </c>
      <c r="K18" s="98">
        <v>6</v>
      </c>
    </row>
    <row r="19" spans="1:12" x14ac:dyDescent="0.25">
      <c r="A19" s="95">
        <f>15*60+38-A5</f>
        <v>336</v>
      </c>
      <c r="B19" s="96">
        <f t="shared" si="0"/>
        <v>5.6</v>
      </c>
      <c r="C19" s="97">
        <v>0.65138888888888891</v>
      </c>
      <c r="D19" s="98">
        <v>2.2000000000000002</v>
      </c>
      <c r="E19" s="98" t="s">
        <v>46</v>
      </c>
      <c r="F19" s="98" t="s">
        <v>46</v>
      </c>
      <c r="G19" s="98"/>
      <c r="H19" s="98" t="s">
        <v>23</v>
      </c>
      <c r="I19" s="98" t="s">
        <v>140</v>
      </c>
      <c r="J19" s="98">
        <v>98</v>
      </c>
      <c r="K19" s="98">
        <v>6</v>
      </c>
    </row>
    <row r="20" spans="1:12" x14ac:dyDescent="0.25">
      <c r="A20" s="95">
        <f>15*60+55-A5</f>
        <v>353</v>
      </c>
      <c r="B20" s="96">
        <f t="shared" si="0"/>
        <v>5.8833333333333337</v>
      </c>
      <c r="C20" s="97">
        <v>0.66319444444444442</v>
      </c>
      <c r="D20" s="98">
        <v>3.1</v>
      </c>
      <c r="E20" s="98" t="s">
        <v>46</v>
      </c>
      <c r="F20" s="98" t="s">
        <v>46</v>
      </c>
      <c r="G20" s="98"/>
      <c r="H20" s="98" t="s">
        <v>24</v>
      </c>
      <c r="I20" s="98" t="s">
        <v>141</v>
      </c>
      <c r="J20" s="98">
        <v>97</v>
      </c>
      <c r="K20" s="98">
        <v>6</v>
      </c>
    </row>
    <row r="21" spans="1:12" x14ac:dyDescent="0.25">
      <c r="A21" s="95">
        <f>16*60+15-A5</f>
        <v>373</v>
      </c>
      <c r="B21" s="96">
        <f t="shared" si="0"/>
        <v>6.2166666666666668</v>
      </c>
      <c r="C21" s="97">
        <v>0.67708333333333337</v>
      </c>
      <c r="D21" s="98">
        <v>3.65</v>
      </c>
      <c r="E21" s="98" t="s">
        <v>46</v>
      </c>
      <c r="F21" s="98"/>
      <c r="G21" s="98"/>
      <c r="H21" s="98"/>
      <c r="I21" s="98" t="s">
        <v>142</v>
      </c>
      <c r="J21" s="98">
        <v>95</v>
      </c>
      <c r="K21" s="98">
        <v>2</v>
      </c>
    </row>
    <row r="22" spans="1:12" x14ac:dyDescent="0.25">
      <c r="A22" s="95">
        <f>16*60+30-A5</f>
        <v>388</v>
      </c>
      <c r="B22" s="96">
        <f t="shared" si="0"/>
        <v>6.4666666666666668</v>
      </c>
      <c r="C22" s="97">
        <v>0.6875</v>
      </c>
      <c r="D22" s="98">
        <v>4.09</v>
      </c>
      <c r="E22" s="98">
        <v>2502.33</v>
      </c>
      <c r="F22" s="98">
        <v>2493.4899999999998</v>
      </c>
      <c r="G22" s="98">
        <f>E22-F22</f>
        <v>8.8400000000001455</v>
      </c>
      <c r="H22" s="98" t="s">
        <v>37</v>
      </c>
      <c r="I22" s="98" t="s">
        <v>143</v>
      </c>
      <c r="J22" s="98">
        <v>94</v>
      </c>
      <c r="K22" s="98">
        <v>6</v>
      </c>
    </row>
    <row r="23" spans="1:12" x14ac:dyDescent="0.25">
      <c r="A23" s="95">
        <f>16*60+46-A5</f>
        <v>404</v>
      </c>
      <c r="B23" s="96">
        <f t="shared" si="0"/>
        <v>6.7333333333333334</v>
      </c>
      <c r="C23" s="97">
        <v>0.69861111111111107</v>
      </c>
      <c r="D23" s="98">
        <v>4.63</v>
      </c>
      <c r="E23" s="98">
        <v>2470.4899999999998</v>
      </c>
      <c r="F23" s="98">
        <v>2496.61</v>
      </c>
      <c r="G23" s="98">
        <f>F23-E23</f>
        <v>26.120000000000346</v>
      </c>
      <c r="H23" s="98" t="s">
        <v>47</v>
      </c>
      <c r="I23" s="98" t="s">
        <v>144</v>
      </c>
      <c r="J23" s="98">
        <v>94</v>
      </c>
      <c r="K23" s="98">
        <v>8</v>
      </c>
    </row>
    <row r="24" spans="1:12" x14ac:dyDescent="0.25">
      <c r="A24" s="95">
        <f>17*60-A5</f>
        <v>418</v>
      </c>
      <c r="B24" s="96">
        <f t="shared" si="0"/>
        <v>6.9666666666666668</v>
      </c>
      <c r="C24" s="97">
        <v>0.70833333333333337</v>
      </c>
      <c r="D24" s="98">
        <v>5.56</v>
      </c>
      <c r="E24" s="98" t="s">
        <v>46</v>
      </c>
      <c r="F24" s="98"/>
      <c r="G24" s="98"/>
      <c r="H24" s="98"/>
      <c r="I24" s="98"/>
      <c r="J24" s="98">
        <v>92</v>
      </c>
      <c r="K24" s="98">
        <v>1</v>
      </c>
    </row>
    <row r="25" spans="1:12" x14ac:dyDescent="0.25">
      <c r="A25" s="95">
        <f>17*60+11-A5</f>
        <v>429</v>
      </c>
      <c r="B25" s="96">
        <f t="shared" si="0"/>
        <v>7.15</v>
      </c>
      <c r="C25" s="97">
        <v>0.71597222222222223</v>
      </c>
      <c r="D25" s="98">
        <v>5.41</v>
      </c>
      <c r="E25" s="98">
        <v>2469.58</v>
      </c>
      <c r="F25" s="98">
        <v>2511</v>
      </c>
      <c r="G25" s="98">
        <f>F25-E25</f>
        <v>41.420000000000073</v>
      </c>
      <c r="H25" s="98" t="s">
        <v>51</v>
      </c>
      <c r="I25" s="98" t="s">
        <v>145</v>
      </c>
      <c r="J25" s="98">
        <v>91</v>
      </c>
      <c r="K25" s="98">
        <v>6</v>
      </c>
    </row>
    <row r="26" spans="1:12" x14ac:dyDescent="0.25">
      <c r="A26" s="95">
        <f>17*60+25-A5</f>
        <v>443</v>
      </c>
      <c r="B26" s="96">
        <f t="shared" si="0"/>
        <v>7.3833333333333337</v>
      </c>
      <c r="C26" s="97">
        <v>0.72569444444444453</v>
      </c>
      <c r="D26" s="98">
        <v>5.52</v>
      </c>
      <c r="E26" s="98">
        <v>2436.83</v>
      </c>
      <c r="F26" s="98">
        <v>2482.17</v>
      </c>
      <c r="G26" s="98">
        <f>F26-E26</f>
        <v>45.340000000000146</v>
      </c>
      <c r="H26" s="98" t="s">
        <v>146</v>
      </c>
      <c r="I26" s="98" t="s">
        <v>147</v>
      </c>
      <c r="J26" s="98">
        <v>90</v>
      </c>
      <c r="K26" s="98">
        <v>6</v>
      </c>
    </row>
    <row r="27" spans="1:12" x14ac:dyDescent="0.25">
      <c r="A27" s="95">
        <f>17*60+43-A5</f>
        <v>461</v>
      </c>
      <c r="B27" s="96">
        <f t="shared" si="0"/>
        <v>7.6833333333333336</v>
      </c>
      <c r="C27" s="97">
        <v>0.73819444444444438</v>
      </c>
      <c r="D27" s="98">
        <v>5.75</v>
      </c>
      <c r="E27" s="98" t="s">
        <v>46</v>
      </c>
      <c r="F27" s="98"/>
      <c r="G27" s="98"/>
      <c r="H27" s="98"/>
      <c r="I27" s="98"/>
      <c r="J27" s="98">
        <v>90</v>
      </c>
      <c r="K27" s="98">
        <v>1.5</v>
      </c>
    </row>
    <row r="28" spans="1:12" x14ac:dyDescent="0.25">
      <c r="A28" s="95">
        <f>17*60+57-A5</f>
        <v>475</v>
      </c>
      <c r="B28" s="96">
        <f t="shared" si="0"/>
        <v>7.916666666666667</v>
      </c>
      <c r="C28" s="97">
        <v>0.74791666666666667</v>
      </c>
      <c r="D28" s="98">
        <v>5.88</v>
      </c>
      <c r="E28" s="98" t="s">
        <v>46</v>
      </c>
      <c r="F28" s="98"/>
      <c r="G28" s="98"/>
      <c r="H28" s="98"/>
      <c r="I28" s="98"/>
      <c r="J28" s="98">
        <v>90</v>
      </c>
      <c r="K28" s="98">
        <v>1.5</v>
      </c>
    </row>
    <row r="29" spans="1:12" x14ac:dyDescent="0.25">
      <c r="A29" s="24">
        <f>18*60+9-A5</f>
        <v>487</v>
      </c>
      <c r="B29" s="100">
        <f t="shared" si="0"/>
        <v>8.1166666666666671</v>
      </c>
      <c r="C29" s="101">
        <v>0.75624999999999998</v>
      </c>
      <c r="D29" s="102">
        <v>5.78</v>
      </c>
      <c r="E29" s="102">
        <v>2442.92</v>
      </c>
      <c r="F29" s="102">
        <v>2454.0700000000002</v>
      </c>
      <c r="G29" s="102">
        <f>F29-E29</f>
        <v>11.150000000000091</v>
      </c>
      <c r="H29" s="102" t="s">
        <v>148</v>
      </c>
      <c r="I29" s="102" t="s">
        <v>149</v>
      </c>
      <c r="J29" s="102">
        <v>89</v>
      </c>
      <c r="K29" s="102">
        <v>2</v>
      </c>
    </row>
    <row r="30" spans="1:12" x14ac:dyDescent="0.25">
      <c r="B30" s="95"/>
      <c r="C30" s="95"/>
      <c r="D30" s="95"/>
      <c r="E30" s="95"/>
      <c r="F30" s="95"/>
      <c r="G30" s="95"/>
      <c r="H30" s="95"/>
      <c r="I30" s="95"/>
      <c r="J30" s="95"/>
      <c r="K30" s="95"/>
      <c r="L30" s="95"/>
    </row>
    <row r="31" spans="1:12" x14ac:dyDescent="0.25">
      <c r="B31" s="95"/>
      <c r="C31" s="95"/>
      <c r="D31" s="95"/>
      <c r="E31" s="95"/>
      <c r="F31" s="95"/>
      <c r="G31" s="95"/>
      <c r="H31" s="95"/>
      <c r="I31" s="95"/>
      <c r="J31" s="95"/>
      <c r="K31" s="95"/>
      <c r="L31" s="95"/>
    </row>
    <row r="32" spans="1:12" x14ac:dyDescent="0.25">
      <c r="B32" s="95"/>
      <c r="C32" s="95"/>
      <c r="D32" s="95"/>
      <c r="E32" s="95"/>
      <c r="F32" s="95"/>
      <c r="G32" s="95"/>
      <c r="H32" s="95"/>
      <c r="I32" s="95"/>
      <c r="J32" s="95"/>
      <c r="K32" s="95"/>
      <c r="L32" s="95"/>
    </row>
    <row r="33" spans="2:12" x14ac:dyDescent="0.25">
      <c r="B33" s="95"/>
      <c r="C33" s="95"/>
      <c r="D33" s="95"/>
      <c r="E33" s="95"/>
      <c r="F33" s="95"/>
      <c r="G33" s="95"/>
      <c r="H33" s="95"/>
      <c r="I33" s="95"/>
      <c r="J33" s="95"/>
      <c r="K33" s="95"/>
      <c r="L33" s="95"/>
    </row>
    <row r="34" spans="2:12" x14ac:dyDescent="0.25">
      <c r="B34" s="95"/>
      <c r="C34" s="95"/>
      <c r="D34" s="95"/>
      <c r="E34" s="95"/>
      <c r="F34" s="95"/>
      <c r="G34" s="95"/>
      <c r="H34" s="95"/>
      <c r="I34" s="95"/>
      <c r="J34" s="95"/>
      <c r="K34" s="95"/>
      <c r="L34" s="95"/>
    </row>
  </sheetData>
  <mergeCells count="10">
    <mergeCell ref="K3:K4"/>
    <mergeCell ref="N2:V8"/>
    <mergeCell ref="C3:C4"/>
    <mergeCell ref="A3:A4"/>
    <mergeCell ref="E3:G3"/>
    <mergeCell ref="H3:H4"/>
    <mergeCell ref="B3:B4"/>
    <mergeCell ref="D3:D4"/>
    <mergeCell ref="I3:I4"/>
    <mergeCell ref="J3:J4"/>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4889565BB83F40AA574A0242030DA7" ma:contentTypeVersion="12" ma:contentTypeDescription="Create a new document." ma:contentTypeScope="" ma:versionID="5bcb39ff5d2f5554a530c73f673b6726">
  <xsd:schema xmlns:xsd="http://www.w3.org/2001/XMLSchema" xmlns:xs="http://www.w3.org/2001/XMLSchema" xmlns:p="http://schemas.microsoft.com/office/2006/metadata/properties" xmlns:ns3="99c9748f-809b-489d-99db-a7a0ef1d45b5" xmlns:ns4="abf55d2d-9725-4f1b-8766-30cf7d976939" targetNamespace="http://schemas.microsoft.com/office/2006/metadata/properties" ma:root="true" ma:fieldsID="8bedb8b7b5466767e7b1b60d4335b134" ns3:_="" ns4:_="">
    <xsd:import namespace="99c9748f-809b-489d-99db-a7a0ef1d45b5"/>
    <xsd:import namespace="abf55d2d-9725-4f1b-8766-30cf7d97693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c9748f-809b-489d-99db-a7a0ef1d45b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f55d2d-9725-4f1b-8766-30cf7d9769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99c9748f-809b-489d-99db-a7a0ef1d45b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FCEA0E-F3B5-41DF-9C05-C68AE69331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c9748f-809b-489d-99db-a7a0ef1d45b5"/>
    <ds:schemaRef ds:uri="abf55d2d-9725-4f1b-8766-30cf7d9769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1EEF03-E368-460E-93B8-254293FD84CE}">
  <ds:schemaRefs>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www.w3.org/XML/1998/namespace"/>
    <ds:schemaRef ds:uri="http://purl.org/dc/dcmitype/"/>
    <ds:schemaRef ds:uri="99c9748f-809b-489d-99db-a7a0ef1d45b5"/>
    <ds:schemaRef ds:uri="http://schemas.openxmlformats.org/package/2006/metadata/core-properties"/>
    <ds:schemaRef ds:uri="abf55d2d-9725-4f1b-8766-30cf7d976939"/>
  </ds:schemaRefs>
</ds:datastoreItem>
</file>

<file path=customXml/itemProps3.xml><?xml version="1.0" encoding="utf-8"?>
<ds:datastoreItem xmlns:ds="http://schemas.openxmlformats.org/officeDocument/2006/customXml" ds:itemID="{AD8143DD-8B1B-4F3B-8681-4A2AFEB865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OD growth curves</vt:lpstr>
      <vt:lpstr>Glukose</vt:lpstr>
      <vt:lpstr>Glycerol</vt:lpstr>
      <vt:lpstr>Xylose</vt:lpstr>
      <vt:lpstr>Mannitol</vt:lpstr>
      <vt:lpstr>Succinate</vt:lpstr>
      <vt:lpstr>Glucose full growth curve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Sofie Tande-Petersen</dc:creator>
  <cp:keywords/>
  <dc:description/>
  <cp:lastModifiedBy>Sofie Tande-Petersen</cp:lastModifiedBy>
  <cp:revision/>
  <dcterms:created xsi:type="dcterms:W3CDTF">2022-12-14T11:16:54Z</dcterms:created>
  <dcterms:modified xsi:type="dcterms:W3CDTF">2023-06-15T07:20:06Z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0x010100A64889565BB83F40AA574A0242030DA7</vt:lpwstr>
  </property>
</Properties>
</file>