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ania\Desktop\Python Automation\IntrisicValueCalculator\"/>
    </mc:Choice>
  </mc:AlternateContent>
  <xr:revisionPtr revIDLastSave="0" documentId="13_ncr:1_{119346C1-ACE4-4741-9D9D-EE67AD1A69A5}" xr6:coauthVersionLast="45" xr6:coauthVersionMax="45" xr10:uidLastSave="{00000000-0000-0000-0000-000000000000}"/>
  <bookViews>
    <workbookView xWindow="29895" yWindow="705" windowWidth="21645" windowHeight="15135" tabRatio="748" xr2:uid="{00000000-000D-0000-FFFF-FFFF00000000}"/>
  </bookViews>
  <sheets>
    <sheet name="VMI Calculator (10 years)" sheetId="4" r:id="rId1"/>
    <sheet name="VMI Calculator (20 years)" sheetId="15" r:id="rId2"/>
    <sheet name="Discounted Earnings Per Share" sheetId="2" state="veryHidden" r:id="rId3"/>
    <sheet name="Discounted Cash Flow" sheetId="1" state="veryHidden" r:id="rId4"/>
  </sheets>
  <definedNames>
    <definedName name="_xlnm.Print_Area" localSheetId="0">'VMI Calculator (10 years)'!$B$2:$R$47</definedName>
    <definedName name="_xlnm.Print_Area" localSheetId="1">'VMI Calculator (20 years)'!$B$2:$R$52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4" l="1"/>
  <c r="L59" i="4" l="1"/>
  <c r="E59" i="4"/>
  <c r="L58" i="4"/>
  <c r="E58" i="4"/>
  <c r="L57" i="4"/>
  <c r="E57" i="4"/>
  <c r="L56" i="4"/>
  <c r="E56" i="4"/>
  <c r="L55" i="4"/>
  <c r="E55" i="4"/>
  <c r="L54" i="4"/>
  <c r="E54" i="4"/>
  <c r="L53" i="4"/>
  <c r="E53" i="4"/>
  <c r="L52" i="4"/>
  <c r="E52" i="4"/>
  <c r="L64" i="15"/>
  <c r="E64" i="15"/>
  <c r="L63" i="15"/>
  <c r="E63" i="15"/>
  <c r="L62" i="15"/>
  <c r="E62" i="15"/>
  <c r="L61" i="15"/>
  <c r="E61" i="15"/>
  <c r="L60" i="15"/>
  <c r="E60" i="15"/>
  <c r="L59" i="15"/>
  <c r="E59" i="15"/>
  <c r="L58" i="15"/>
  <c r="E58" i="15"/>
  <c r="L57" i="15"/>
  <c r="E57" i="15"/>
  <c r="C27" i="4"/>
  <c r="C32" i="15"/>
  <c r="C27" i="15"/>
  <c r="F27" i="4"/>
  <c r="G27" i="4" s="1"/>
  <c r="G28" i="4"/>
  <c r="H28" i="4" s="1"/>
  <c r="I28" i="4" s="1"/>
  <c r="J28" i="4" s="1"/>
  <c r="K28" i="4" s="1"/>
  <c r="L28" i="4" s="1"/>
  <c r="M28" i="4" s="1"/>
  <c r="N28" i="4" s="1"/>
  <c r="O28" i="4" s="1"/>
  <c r="M12" i="4"/>
  <c r="M14" i="4"/>
  <c r="F27" i="15"/>
  <c r="F29" i="15" s="1"/>
  <c r="G27" i="15"/>
  <c r="H27" i="15" s="1"/>
  <c r="F28" i="15"/>
  <c r="G28" i="15" s="1"/>
  <c r="H28" i="15" s="1"/>
  <c r="I28" i="15" s="1"/>
  <c r="J28" i="15" s="1"/>
  <c r="K28" i="15" s="1"/>
  <c r="L28" i="15" s="1"/>
  <c r="M28" i="15" s="1"/>
  <c r="N28" i="15" s="1"/>
  <c r="O28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O31" i="15"/>
  <c r="N31" i="15"/>
  <c r="M31" i="15"/>
  <c r="L31" i="15"/>
  <c r="K31" i="15"/>
  <c r="J31" i="15"/>
  <c r="I31" i="15"/>
  <c r="H31" i="15"/>
  <c r="G31" i="15"/>
  <c r="F31" i="15"/>
  <c r="O26" i="15"/>
  <c r="N26" i="15"/>
  <c r="M26" i="15"/>
  <c r="L26" i="15"/>
  <c r="K26" i="15"/>
  <c r="J26" i="15"/>
  <c r="I26" i="15"/>
  <c r="H26" i="15"/>
  <c r="G26" i="15"/>
  <c r="F26" i="15"/>
  <c r="M12" i="15"/>
  <c r="M14" i="15"/>
  <c r="F16" i="15"/>
  <c r="F14" i="15"/>
  <c r="F12" i="15"/>
  <c r="C17" i="1"/>
  <c r="C9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C8" i="1"/>
  <c r="B13" i="1" s="1"/>
  <c r="F12" i="4"/>
  <c r="C7" i="1"/>
  <c r="O26" i="4"/>
  <c r="N26" i="4"/>
  <c r="M26" i="4"/>
  <c r="L26" i="4"/>
  <c r="K26" i="4"/>
  <c r="J26" i="4"/>
  <c r="I26" i="4"/>
  <c r="H26" i="4"/>
  <c r="G26" i="4"/>
  <c r="F26" i="4"/>
  <c r="F16" i="4"/>
  <c r="F14" i="4"/>
  <c r="B7" i="2"/>
  <c r="B8" i="2"/>
  <c r="B11" i="2"/>
  <c r="B13" i="2" s="1"/>
  <c r="B15" i="2" s="1"/>
  <c r="B9" i="2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B10" i="2"/>
  <c r="C10" i="2"/>
  <c r="D10" i="2" s="1"/>
  <c r="E10" i="2" s="1"/>
  <c r="F10" i="2" s="1"/>
  <c r="G10" i="2" s="1"/>
  <c r="H10" i="2" s="1"/>
  <c r="I10" i="2" s="1"/>
  <c r="J10" i="2" s="1"/>
  <c r="K10" i="2" s="1"/>
  <c r="I27" i="15" l="1"/>
  <c r="H29" i="15"/>
  <c r="C11" i="2"/>
  <c r="G29" i="15"/>
  <c r="F29" i="4"/>
  <c r="C13" i="1"/>
  <c r="B15" i="1"/>
  <c r="H27" i="4"/>
  <c r="G29" i="4"/>
  <c r="C13" i="2" l="1"/>
  <c r="D11" i="2"/>
  <c r="I29" i="15"/>
  <c r="J27" i="15"/>
  <c r="C15" i="1"/>
  <c r="D13" i="1"/>
  <c r="I27" i="4"/>
  <c r="H29" i="4"/>
  <c r="J29" i="15" l="1"/>
  <c r="K27" i="15"/>
  <c r="E11" i="2"/>
  <c r="D13" i="2"/>
  <c r="E13" i="1"/>
  <c r="D15" i="1"/>
  <c r="I29" i="4"/>
  <c r="J27" i="4"/>
  <c r="K27" i="4" s="1"/>
  <c r="E13" i="2" l="1"/>
  <c r="F11" i="2"/>
  <c r="K29" i="15"/>
  <c r="L27" i="15"/>
  <c r="E15" i="1"/>
  <c r="F13" i="1"/>
  <c r="J29" i="4"/>
  <c r="M27" i="15" l="1"/>
  <c r="L29" i="15"/>
  <c r="F13" i="2"/>
  <c r="G11" i="2"/>
  <c r="G13" i="1"/>
  <c r="F15" i="1"/>
  <c r="K29" i="4"/>
  <c r="L27" i="4"/>
  <c r="H11" i="2" l="1"/>
  <c r="G13" i="2"/>
  <c r="N27" i="15"/>
  <c r="M29" i="15"/>
  <c r="G15" i="1"/>
  <c r="H13" i="1"/>
  <c r="L29" i="4"/>
  <c r="M27" i="4"/>
  <c r="O27" i="15" l="1"/>
  <c r="N29" i="15"/>
  <c r="H13" i="2"/>
  <c r="I11" i="2"/>
  <c r="H15" i="1"/>
  <c r="I13" i="1"/>
  <c r="N27" i="4"/>
  <c r="M29" i="4"/>
  <c r="J11" i="2" l="1"/>
  <c r="I13" i="2"/>
  <c r="F32" i="15"/>
  <c r="O29" i="15"/>
  <c r="I15" i="1"/>
  <c r="J13" i="1"/>
  <c r="O27" i="4"/>
  <c r="O29" i="4" s="1"/>
  <c r="N29" i="4"/>
  <c r="G32" i="15" l="1"/>
  <c r="F34" i="15"/>
  <c r="K11" i="2"/>
  <c r="K13" i="2" s="1"/>
  <c r="J13" i="2"/>
  <c r="J15" i="1"/>
  <c r="K13" i="1"/>
  <c r="K15" i="1" s="1"/>
  <c r="M8" i="4"/>
  <c r="M10" i="4" s="1"/>
  <c r="M16" i="4" s="1"/>
  <c r="M18" i="4" s="1"/>
  <c r="C19" i="1" l="1"/>
  <c r="C20" i="1" s="1"/>
  <c r="H32" i="15"/>
  <c r="G34" i="15"/>
  <c r="I32" i="15" l="1"/>
  <c r="H34" i="15"/>
  <c r="J32" i="15" l="1"/>
  <c r="I34" i="15"/>
  <c r="J34" i="15" l="1"/>
  <c r="K32" i="15"/>
  <c r="K34" i="15" l="1"/>
  <c r="L32" i="15"/>
  <c r="L34" i="15" l="1"/>
  <c r="M32" i="15"/>
  <c r="N32" i="15" l="1"/>
  <c r="M34" i="15"/>
  <c r="O32" i="15" l="1"/>
  <c r="O34" i="15" s="1"/>
  <c r="N34" i="15"/>
  <c r="M8" i="15" l="1"/>
  <c r="M10" i="15" s="1"/>
  <c r="M16" i="15" s="1"/>
  <c r="M1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Khoo</author>
  </authors>
  <commentList>
    <comment ref="C12" authorId="0" shapeId="0" xr:uid="{00000000-0006-0000-0000-000001000000}">
      <text>
        <r>
          <rPr>
            <b/>
            <sz val="10"/>
            <color rgb="FF000000"/>
            <rFont val="Verdana"/>
            <family val="2"/>
          </rPr>
          <t xml:space="preserve">(Operating Cash Flow)
</t>
        </r>
        <r>
          <rPr>
            <b/>
            <sz val="10"/>
            <color rgb="FF000000"/>
            <rFont val="Verdana"/>
            <family val="2"/>
          </rPr>
          <t xml:space="preserve">Statement of Cash Flows
</t>
        </r>
        <r>
          <rPr>
            <b/>
            <sz val="10"/>
            <color rgb="FF000000"/>
            <rFont val="Verdana"/>
            <family val="2"/>
          </rPr>
          <t xml:space="preserve">Last 4 Quarters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or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(Net Income)
</t>
        </r>
        <r>
          <rPr>
            <b/>
            <sz val="10"/>
            <color rgb="FF000000"/>
            <rFont val="Verdana"/>
            <family val="2"/>
          </rPr>
          <t xml:space="preserve">Income sheet
</t>
        </r>
        <r>
          <rPr>
            <b/>
            <sz val="10"/>
            <color rgb="FF000000"/>
            <rFont val="Verdana"/>
            <family val="2"/>
          </rPr>
          <t>Latest Annual</t>
        </r>
      </text>
    </comment>
    <comment ref="C14" authorId="0" shapeId="0" xr:uid="{00000000-0006-0000-0000-000002000000}">
      <text>
        <r>
          <rPr>
            <b/>
            <sz val="10"/>
            <color rgb="FF000000"/>
            <rFont val="Verdana"/>
            <family val="2"/>
          </rPr>
          <t xml:space="preserve">Balance Sheet
</t>
        </r>
        <r>
          <rPr>
            <b/>
            <sz val="10"/>
            <color rgb="FF000000"/>
            <rFont val="Verdana"/>
            <family val="2"/>
          </rPr>
          <t>Last Quarter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16" authorId="0" shapeId="0" xr:uid="{00000000-0006-0000-0000-000003000000}">
      <text>
        <r>
          <rPr>
            <b/>
            <sz val="10"/>
            <color rgb="FF000000"/>
            <rFont val="Verdana"/>
            <family val="2"/>
          </rPr>
          <t xml:space="preserve">Balance Sheet
</t>
        </r>
        <r>
          <rPr>
            <b/>
            <sz val="10"/>
            <color rgb="FF000000"/>
            <rFont val="Verdana"/>
            <family val="2"/>
          </rPr>
          <t>Last Quarter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18" authorId="0" shapeId="0" xr:uid="{00000000-0006-0000-0000-000004000000}">
      <text>
        <r>
          <rPr>
            <b/>
            <sz val="9"/>
            <color rgb="FF000000"/>
            <rFont val="Verdana"/>
            <family val="2"/>
          </rPr>
          <t xml:space="preserve">LT Growth Rate
</t>
        </r>
        <r>
          <rPr>
            <b/>
            <sz val="9"/>
            <color rgb="FF000000"/>
            <rFont val="Verdana"/>
            <family val="2"/>
          </rPr>
          <t xml:space="preserve">or
</t>
        </r>
        <r>
          <rPr>
            <b/>
            <sz val="9"/>
            <color rgb="FF000000"/>
            <rFont val="Verdana"/>
            <family val="2"/>
          </rPr>
          <t>EPS 5-Year Growth Rate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20" authorId="0" shapeId="0" xr:uid="{00000000-0006-0000-0000-000005000000}">
      <text>
        <r>
          <rPr>
            <b/>
            <sz val="10"/>
            <color rgb="FF000000"/>
            <rFont val="Verdana"/>
            <family val="2"/>
          </rPr>
          <t>Maximum 15%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24" authorId="0" shapeId="0" xr:uid="{00000000-0006-0000-0000-000006000000}">
      <text>
        <r>
          <rPr>
            <b/>
            <sz val="9"/>
            <color indexed="81"/>
            <rFont val="Verdana"/>
            <family val="2"/>
          </rPr>
          <t>Reuters.com/finance/Stocks -&gt; Overview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Khoo</author>
  </authors>
  <commentList>
    <comment ref="C12" authorId="0" shapeId="0" xr:uid="{00000000-0006-0000-0100-000001000000}">
      <text>
        <r>
          <rPr>
            <b/>
            <sz val="10"/>
            <color indexed="81"/>
            <rFont val="Verdana"/>
            <family val="2"/>
          </rPr>
          <t>(Operating Cash Flow)
Statement of Cash Flows
Last 4 Quarters
or
(Net Income)
Income sheet
Latest Annual</t>
        </r>
      </text>
    </comment>
    <comment ref="C14" authorId="0" shapeId="0" xr:uid="{00000000-0006-0000-0100-000002000000}">
      <text>
        <r>
          <rPr>
            <b/>
            <sz val="10"/>
            <color indexed="81"/>
            <rFont val="Verdana"/>
            <family val="2"/>
          </rPr>
          <t>Balance Sheet
Last Quarter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C16" authorId="0" shapeId="0" xr:uid="{00000000-0006-0000-0100-000003000000}">
      <text>
        <r>
          <rPr>
            <b/>
            <sz val="10"/>
            <color indexed="81"/>
            <rFont val="Verdana"/>
            <family val="2"/>
          </rPr>
          <t>Balance Sheet
Last Quarter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C18" authorId="0" shapeId="0" xr:uid="{00000000-0006-0000-0100-000004000000}">
      <text>
        <r>
          <rPr>
            <b/>
            <sz val="9"/>
            <color rgb="FF000000"/>
            <rFont val="Verdana"/>
            <family val="2"/>
          </rPr>
          <t xml:space="preserve">LT Growth Rate
</t>
        </r>
        <r>
          <rPr>
            <b/>
            <sz val="9"/>
            <color rgb="FF000000"/>
            <rFont val="Verdana"/>
            <family val="2"/>
          </rPr>
          <t xml:space="preserve">or
</t>
        </r>
        <r>
          <rPr>
            <b/>
            <sz val="9"/>
            <color rgb="FF000000"/>
            <rFont val="Verdana"/>
            <family val="2"/>
          </rPr>
          <t>EPS 5-Year Growth Rate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20" authorId="0" shapeId="0" xr:uid="{00000000-0006-0000-0100-000005000000}">
      <text>
        <r>
          <rPr>
            <b/>
            <sz val="10"/>
            <color rgb="FF000000"/>
            <rFont val="Verdana"/>
            <family val="2"/>
          </rPr>
          <t>Maximum 15%</t>
        </r>
        <r>
          <rPr>
            <sz val="9"/>
            <color rgb="FF000000"/>
            <rFont val="Verdana"/>
            <family val="2"/>
          </rPr>
          <t xml:space="preserve">
</t>
        </r>
      </text>
    </comment>
    <comment ref="C22" authorId="0" shapeId="0" xr:uid="{00000000-0006-0000-0100-000006000000}">
      <text>
        <r>
          <rPr>
            <sz val="9"/>
            <color rgb="FF000000"/>
            <rFont val="Verdana"/>
            <family val="2"/>
          </rPr>
          <t xml:space="preserve">Use current GDP Growth Rate + Inflation
</t>
        </r>
      </text>
    </comment>
    <comment ref="C24" authorId="0" shapeId="0" xr:uid="{00000000-0006-0000-0100-000007000000}">
      <text>
        <r>
          <rPr>
            <b/>
            <sz val="9"/>
            <color rgb="FF000000"/>
            <rFont val="Verdana"/>
            <family val="2"/>
          </rPr>
          <t>Reuters.com/finance/Stocks -&gt; Overview</t>
        </r>
      </text>
    </comment>
  </commentList>
</comments>
</file>

<file path=xl/sharedStrings.xml><?xml version="1.0" encoding="utf-8"?>
<sst xmlns="http://schemas.openxmlformats.org/spreadsheetml/2006/main" count="167" uniqueCount="77">
  <si>
    <t>KEY IN THE VALUES IN THE WHITE BOXES</t>
  </si>
  <si>
    <t>PV of 10 yr Cash Flows</t>
  </si>
  <si>
    <t>less Debt per Share</t>
  </si>
  <si>
    <t>Plus (+) Cash Per Share</t>
  </si>
  <si>
    <t>Currency</t>
  </si>
  <si>
    <t>Currency Data</t>
  </si>
  <si>
    <t>CURRENCY</t>
  </si>
  <si>
    <t>SYMBOL</t>
  </si>
  <si>
    <t>Singapore Dollar</t>
  </si>
  <si>
    <t>US Dollar</t>
  </si>
  <si>
    <t>Malaysian Ringgit</t>
  </si>
  <si>
    <t>HK Dollars</t>
  </si>
  <si>
    <t>SGD$</t>
  </si>
  <si>
    <t>USD$</t>
  </si>
  <si>
    <t>RM$</t>
  </si>
  <si>
    <t>HKD$</t>
  </si>
  <si>
    <t>Ren Ming Bi</t>
  </si>
  <si>
    <t>Indonesia Rupiah</t>
  </si>
  <si>
    <t>RMB$</t>
  </si>
  <si>
    <t>Year</t>
  </si>
  <si>
    <t>EPS (current)</t>
  </si>
  <si>
    <t>Discount Factor</t>
  </si>
  <si>
    <t>Discounted Value</t>
  </si>
  <si>
    <t>EPS (Projected)</t>
  </si>
  <si>
    <t>Note: This assumes EPS growth rate remains constant throughout the 10 years</t>
  </si>
  <si>
    <t>In certain cases, you may want to lower or increase the growth rate after a few years.</t>
  </si>
  <si>
    <t>Cash flow growth rate</t>
  </si>
  <si>
    <t>PV of 10 yr Cash flows</t>
  </si>
  <si>
    <t>No. Shares Outstanding</t>
  </si>
  <si>
    <t>Intrinsic Value per share</t>
  </si>
  <si>
    <t>(Be consistent with the denominations used. Usually Millions $)</t>
  </si>
  <si>
    <t>( Be consisent with the denominations used. Usually $)</t>
  </si>
  <si>
    <t xml:space="preserve">EPS growth rate </t>
  </si>
  <si>
    <t>Note: This assumes Cash growth rate remains constant throughout the 10 years</t>
  </si>
  <si>
    <t>KEY IN THE VALUES IN RED</t>
  </si>
  <si>
    <t>Operating Cash Flow (current)</t>
  </si>
  <si>
    <t>million</t>
  </si>
  <si>
    <t>Assuming a Discount rate of 4% per year.</t>
  </si>
  <si>
    <t>Intrinsic Value Calculator (Discounted Cash Flow Method 10 years)</t>
  </si>
  <si>
    <t>Intrinsic Value Calculator (Discounted Earnings Per Share Method 10 years)</t>
  </si>
  <si>
    <t>Cash Flow (Projected)</t>
  </si>
  <si>
    <t>Current Year</t>
  </si>
  <si>
    <t>Name of Stock</t>
  </si>
  <si>
    <t>Stock Symbol</t>
  </si>
  <si>
    <t>Discount Rate</t>
  </si>
  <si>
    <t>Intrinsic Value:</t>
  </si>
  <si>
    <t>No. of Shares Outstanding</t>
  </si>
  <si>
    <t>NB: Take the last Fiscal Year as the Current Year</t>
  </si>
  <si>
    <t>Less than 0.80</t>
    <phoneticPr fontId="4" type="noConversion"/>
  </si>
  <si>
    <t>BETA</t>
    <phoneticPr fontId="4" type="noConversion"/>
  </si>
  <si>
    <t>DISCOUNT RATE</t>
    <phoneticPr fontId="4" type="noConversion"/>
  </si>
  <si>
    <t>More than 1.6</t>
    <phoneticPr fontId="4" type="noConversion"/>
  </si>
  <si>
    <t>Total Debt (Short Term + LT Debt)</t>
  </si>
  <si>
    <t>Cash and Short Term Investments</t>
  </si>
  <si>
    <r>
      <t xml:space="preserve">Intrinsic Value </t>
    </r>
    <r>
      <rPr>
        <b/>
        <sz val="10"/>
        <color indexed="9"/>
        <rFont val="Verdana"/>
        <family val="2"/>
      </rPr>
      <t>before cash/debt</t>
    </r>
  </si>
  <si>
    <t>Final Intrinsic Value Per Share</t>
  </si>
  <si>
    <t>IDR$</t>
  </si>
  <si>
    <t>Cash flow growth rate (Yr 1 - 5)</t>
  </si>
  <si>
    <t>Cash flow growth rate (Yr 6-10)</t>
  </si>
  <si>
    <t>Intrinsic Value Calculator (Discounted Cash Flow Method 20 years)</t>
  </si>
  <si>
    <t>Dominoes</t>
  </si>
  <si>
    <t>PV of 20 yr Cash Flows</t>
  </si>
  <si>
    <t>DPZ</t>
  </si>
  <si>
    <t>Last Close</t>
  </si>
  <si>
    <t>Cash flow growth rate (Yr 11-20)</t>
  </si>
  <si>
    <t>Discount Rate for US Stocks</t>
  </si>
  <si>
    <t>Discount Rate for China/HK Stocks</t>
  </si>
  <si>
    <t>Discount Rate = Risk Free Rate + Beta x Market Risk Premium</t>
  </si>
  <si>
    <t>Average market risk premium =</t>
  </si>
  <si>
    <t>Source:</t>
  </si>
  <si>
    <t>http://www.market-risk-premia.com/us.html</t>
  </si>
  <si>
    <t>http://www.market-risk-premia.com/hk.html</t>
  </si>
  <si>
    <t>(Discount)/Premium</t>
  </si>
  <si>
    <t>Risk Free Rate =</t>
  </si>
  <si>
    <t>Operating Cash Flow (Current)</t>
  </si>
  <si>
    <t>Net Income (Current)</t>
  </si>
  <si>
    <t>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</si>
</sst>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#,##0.0_ &quot;millions&quot;;[Red]\(#,##0.0\ &quot;millions&quot;\)"/>
    <numFmt numFmtId="168" formatCode="0.0%"/>
    <numFmt numFmtId="169" formatCode="&quot;SGD&quot;&quot;$&quot;#,##0.00\ &quot;millions&quot;"/>
    <numFmt numFmtId="170" formatCode="#,##0.00\ &quot;millions&quot;"/>
  </numFmts>
  <fonts count="34" x14ac:knownFonts="1">
    <font>
      <sz val="10"/>
      <name val="Verdana"/>
    </font>
    <font>
      <sz val="10"/>
      <name val="Verdana"/>
      <family val="2"/>
    </font>
    <font>
      <b/>
      <sz val="12"/>
      <color indexed="10"/>
      <name val="Verdana"/>
      <family val="2"/>
    </font>
    <font>
      <b/>
      <sz val="12"/>
      <color indexed="9"/>
      <name val="Verdana"/>
      <family val="2"/>
    </font>
    <font>
      <sz val="8"/>
      <name val="Verdana"/>
      <family val="2"/>
    </font>
    <font>
      <b/>
      <sz val="12"/>
      <color indexed="53"/>
      <name val="Verdana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2"/>
      <name val="Verdana"/>
      <family val="2"/>
    </font>
    <font>
      <sz val="10"/>
      <color indexed="9"/>
      <name val="Verdana"/>
      <family val="2"/>
    </font>
    <font>
      <b/>
      <sz val="18"/>
      <color indexed="10"/>
      <name val="Verdana"/>
      <family val="2"/>
    </font>
    <font>
      <sz val="10"/>
      <name val="Verdana"/>
      <family val="2"/>
    </font>
    <font>
      <b/>
      <sz val="20"/>
      <color indexed="10"/>
      <name val="Verdana"/>
      <family val="2"/>
    </font>
    <font>
      <sz val="12"/>
      <name val="Verdana"/>
      <family val="2"/>
    </font>
    <font>
      <sz val="12"/>
      <color indexed="9"/>
      <name val="Verdana"/>
      <family val="2"/>
    </font>
    <font>
      <b/>
      <sz val="18"/>
      <color indexed="9"/>
      <name val="Verdana"/>
      <family val="2"/>
    </font>
    <font>
      <b/>
      <sz val="14"/>
      <color indexed="10"/>
      <name val="Verdana"/>
      <family val="2"/>
    </font>
    <font>
      <b/>
      <sz val="8"/>
      <name val="Verdana"/>
      <family val="2"/>
    </font>
    <font>
      <b/>
      <sz val="10"/>
      <color indexed="13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sz val="12"/>
      <color indexed="9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color indexed="81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theme="1"/>
      <name val="Calibri"/>
      <family val="2"/>
      <scheme val="minor"/>
    </font>
    <font>
      <sz val="11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9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9" fontId="8" fillId="3" borderId="0" xfId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3" fillId="5" borderId="3" xfId="0" applyFont="1" applyFill="1" applyBorder="1" applyAlignment="1">
      <alignment horizontal="center"/>
    </xf>
    <xf numFmtId="0" fontId="9" fillId="0" borderId="0" xfId="0" applyFont="1"/>
    <xf numFmtId="0" fontId="8" fillId="4" borderId="3" xfId="0" applyFont="1" applyFill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0" borderId="0" xfId="0" applyFont="1" applyAlignment="1"/>
    <xf numFmtId="0" fontId="8" fillId="2" borderId="3" xfId="0" applyFont="1" applyFill="1" applyBorder="1"/>
    <xf numFmtId="165" fontId="13" fillId="4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2" fontId="13" fillId="6" borderId="3" xfId="0" applyNumberFormat="1" applyFont="1" applyFill="1" applyBorder="1" applyAlignment="1">
      <alignment horizontal="center"/>
    </xf>
    <xf numFmtId="0" fontId="3" fillId="7" borderId="3" xfId="0" applyFont="1" applyFill="1" applyBorder="1"/>
    <xf numFmtId="165" fontId="14" fillId="7" borderId="3" xfId="0" applyNumberFormat="1" applyFont="1" applyFill="1" applyBorder="1" applyAlignment="1">
      <alignment horizontal="center"/>
    </xf>
    <xf numFmtId="0" fontId="8" fillId="0" borderId="0" xfId="0" applyFont="1"/>
    <xf numFmtId="0" fontId="13" fillId="8" borderId="4" xfId="0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3" fillId="8" borderId="7" xfId="0" applyFont="1" applyFill="1" applyBorder="1"/>
    <xf numFmtId="0" fontId="11" fillId="8" borderId="8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left" vertical="center"/>
    </xf>
    <xf numFmtId="165" fontId="7" fillId="10" borderId="3" xfId="0" applyNumberFormat="1" applyFont="1" applyFill="1" applyBorder="1" applyAlignment="1">
      <alignment horizontal="center" vertical="center"/>
    </xf>
    <xf numFmtId="0" fontId="5" fillId="4" borderId="10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left"/>
    </xf>
    <xf numFmtId="0" fontId="13" fillId="4" borderId="6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left" vertical="center"/>
    </xf>
    <xf numFmtId="166" fontId="3" fillId="11" borderId="12" xfId="0" applyNumberFormat="1" applyFont="1" applyFill="1" applyBorder="1" applyAlignment="1">
      <alignment horizontal="right" vertical="center"/>
    </xf>
    <xf numFmtId="0" fontId="11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center"/>
    </xf>
    <xf numFmtId="0" fontId="11" fillId="9" borderId="13" xfId="0" applyFont="1" applyFill="1" applyBorder="1"/>
    <xf numFmtId="0" fontId="11" fillId="9" borderId="14" xfId="0" applyFont="1" applyFill="1" applyBorder="1"/>
    <xf numFmtId="0" fontId="11" fillId="9" borderId="14" xfId="0" applyFont="1" applyFill="1" applyBorder="1" applyAlignment="1">
      <alignment horizontal="center"/>
    </xf>
    <xf numFmtId="0" fontId="11" fillId="9" borderId="15" xfId="0" applyFont="1" applyFill="1" applyBorder="1"/>
    <xf numFmtId="0" fontId="11" fillId="3" borderId="16" xfId="0" applyFont="1" applyFill="1" applyBorder="1"/>
    <xf numFmtId="0" fontId="7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7" xfId="0" applyFont="1" applyFill="1" applyBorder="1"/>
    <xf numFmtId="0" fontId="16" fillId="3" borderId="0" xfId="0" applyFont="1" applyFill="1" applyBorder="1"/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8" fillId="3" borderId="0" xfId="0" applyFont="1" applyFill="1" applyBorder="1"/>
    <xf numFmtId="0" fontId="3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1" fillId="3" borderId="13" xfId="0" applyFont="1" applyFill="1" applyBorder="1"/>
    <xf numFmtId="0" fontId="11" fillId="3" borderId="14" xfId="0" applyFont="1" applyFill="1" applyBorder="1"/>
    <xf numFmtId="0" fontId="11" fillId="3" borderId="15" xfId="0" applyFont="1" applyFill="1" applyBorder="1"/>
    <xf numFmtId="0" fontId="8" fillId="12" borderId="3" xfId="0" applyFont="1" applyFill="1" applyBorder="1" applyAlignment="1">
      <alignment vertical="center"/>
    </xf>
    <xf numFmtId="165" fontId="13" fillId="12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4" borderId="3" xfId="0" applyFont="1" applyFill="1" applyBorder="1" applyAlignment="1">
      <alignment vertical="center"/>
    </xf>
    <xf numFmtId="2" fontId="13" fillId="4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vertical="center"/>
    </xf>
    <xf numFmtId="165" fontId="14" fillId="13" borderId="3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7" fillId="9" borderId="12" xfId="0" applyFont="1" applyFill="1" applyBorder="1" applyAlignment="1">
      <alignment vertical="center"/>
    </xf>
    <xf numFmtId="165" fontId="8" fillId="3" borderId="0" xfId="0" applyNumberFormat="1" applyFont="1" applyFill="1" applyBorder="1" applyAlignment="1">
      <alignment horizontal="center" vertical="center"/>
    </xf>
    <xf numFmtId="0" fontId="1" fillId="16" borderId="0" xfId="0" applyFont="1" applyFill="1"/>
    <xf numFmtId="0" fontId="11" fillId="16" borderId="0" xfId="0" applyFont="1" applyFill="1"/>
    <xf numFmtId="9" fontId="8" fillId="16" borderId="0" xfId="1" applyFont="1" applyFill="1" applyBorder="1" applyAlignment="1">
      <alignment horizontal="center" vertical="center"/>
    </xf>
    <xf numFmtId="0" fontId="11" fillId="17" borderId="11" xfId="0" applyFont="1" applyFill="1" applyBorder="1"/>
    <xf numFmtId="0" fontId="20" fillId="15" borderId="3" xfId="0" applyFont="1" applyFill="1" applyBorder="1" applyAlignment="1">
      <alignment horizontal="center"/>
    </xf>
    <xf numFmtId="0" fontId="11" fillId="15" borderId="1" xfId="0" applyFont="1" applyFill="1" applyBorder="1"/>
    <xf numFmtId="0" fontId="20" fillId="15" borderId="2" xfId="0" applyFont="1" applyFill="1" applyBorder="1" applyAlignment="1">
      <alignment horizontal="right"/>
    </xf>
    <xf numFmtId="0" fontId="6" fillId="19" borderId="1" xfId="0" applyFont="1" applyFill="1" applyBorder="1"/>
    <xf numFmtId="0" fontId="6" fillId="19" borderId="2" xfId="0" applyFont="1" applyFill="1" applyBorder="1"/>
    <xf numFmtId="0" fontId="20" fillId="20" borderId="2" xfId="0" applyFont="1" applyFill="1" applyBorder="1"/>
    <xf numFmtId="0" fontId="20" fillId="20" borderId="1" xfId="0" applyFont="1" applyFill="1" applyBorder="1"/>
    <xf numFmtId="165" fontId="11" fillId="18" borderId="3" xfId="0" applyNumberFormat="1" applyFont="1" applyFill="1" applyBorder="1" applyAlignment="1">
      <alignment horizontal="center" vertical="center"/>
    </xf>
    <xf numFmtId="2" fontId="11" fillId="19" borderId="3" xfId="0" applyNumberFormat="1" applyFont="1" applyFill="1" applyBorder="1" applyAlignment="1">
      <alignment horizontal="center" vertical="center"/>
    </xf>
    <xf numFmtId="165" fontId="19" fillId="20" borderId="3" xfId="0" applyNumberFormat="1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/>
    </xf>
    <xf numFmtId="0" fontId="11" fillId="22" borderId="21" xfId="0" applyFont="1" applyFill="1" applyBorder="1" applyAlignment="1">
      <alignment horizontal="center"/>
    </xf>
    <xf numFmtId="165" fontId="20" fillId="22" borderId="12" xfId="0" applyNumberFormat="1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center" vertical="center"/>
    </xf>
    <xf numFmtId="0" fontId="20" fillId="22" borderId="12" xfId="0" applyFont="1" applyFill="1" applyBorder="1" applyAlignment="1">
      <alignment horizontal="left" vertical="center"/>
    </xf>
    <xf numFmtId="0" fontId="11" fillId="24" borderId="0" xfId="0" applyFont="1" applyFill="1"/>
    <xf numFmtId="0" fontId="8" fillId="24" borderId="0" xfId="0" applyFont="1" applyFill="1"/>
    <xf numFmtId="0" fontId="13" fillId="24" borderId="0" xfId="0" applyFont="1" applyFill="1"/>
    <xf numFmtId="0" fontId="8" fillId="24" borderId="19" xfId="0" applyFont="1" applyFill="1" applyBorder="1"/>
    <xf numFmtId="0" fontId="8" fillId="24" borderId="20" xfId="0" applyFont="1" applyFill="1" applyBorder="1"/>
    <xf numFmtId="0" fontId="13" fillId="24" borderId="20" xfId="0" applyFont="1" applyFill="1" applyBorder="1"/>
    <xf numFmtId="0" fontId="8" fillId="24" borderId="16" xfId="0" applyFont="1" applyFill="1" applyBorder="1" applyAlignment="1">
      <alignment horizontal="left"/>
    </xf>
    <xf numFmtId="0" fontId="8" fillId="24" borderId="17" xfId="0" applyFont="1" applyFill="1" applyBorder="1" applyAlignment="1">
      <alignment horizontal="left"/>
    </xf>
    <xf numFmtId="0" fontId="13" fillId="24" borderId="17" xfId="0" applyFont="1" applyFill="1" applyBorder="1"/>
    <xf numFmtId="0" fontId="8" fillId="24" borderId="13" xfId="0" applyFont="1" applyFill="1" applyBorder="1" applyAlignment="1">
      <alignment horizontal="left"/>
    </xf>
    <xf numFmtId="0" fontId="8" fillId="24" borderId="15" xfId="0" applyFont="1" applyFill="1" applyBorder="1" applyAlignment="1">
      <alignment horizontal="left"/>
    </xf>
    <xf numFmtId="9" fontId="8" fillId="24" borderId="14" xfId="0" applyNumberFormat="1" applyFont="1" applyFill="1" applyBorder="1" applyAlignment="1">
      <alignment horizontal="left"/>
    </xf>
    <xf numFmtId="0" fontId="13" fillId="24" borderId="15" xfId="0" applyFont="1" applyFill="1" applyBorder="1"/>
    <xf numFmtId="0" fontId="8" fillId="24" borderId="0" xfId="0" applyFont="1" applyFill="1" applyBorder="1"/>
    <xf numFmtId="0" fontId="11" fillId="0" borderId="0" xfId="0" applyFont="1" applyFill="1"/>
    <xf numFmtId="0" fontId="7" fillId="9" borderId="21" xfId="0" applyFont="1" applyFill="1" applyBorder="1" applyAlignment="1">
      <alignment vertical="center"/>
    </xf>
    <xf numFmtId="0" fontId="21" fillId="26" borderId="12" xfId="0" applyFont="1" applyFill="1" applyBorder="1"/>
    <xf numFmtId="0" fontId="21" fillId="26" borderId="11" xfId="0" applyFont="1" applyFill="1" applyBorder="1"/>
    <xf numFmtId="0" fontId="13" fillId="24" borderId="27" xfId="0" applyFont="1" applyFill="1" applyBorder="1"/>
    <xf numFmtId="0" fontId="13" fillId="24" borderId="30" xfId="0" applyFont="1" applyFill="1" applyBorder="1"/>
    <xf numFmtId="0" fontId="13" fillId="24" borderId="28" xfId="0" applyFont="1" applyFill="1" applyBorder="1"/>
    <xf numFmtId="0" fontId="8" fillId="21" borderId="29" xfId="0" applyFont="1" applyFill="1" applyBorder="1" applyAlignment="1">
      <alignment horizontal="center"/>
    </xf>
    <xf numFmtId="0" fontId="8" fillId="21" borderId="12" xfId="0" applyFont="1" applyFill="1" applyBorder="1" applyAlignment="1">
      <alignment horizontal="center"/>
    </xf>
    <xf numFmtId="0" fontId="20" fillId="15" borderId="26" xfId="0" applyFont="1" applyFill="1" applyBorder="1" applyAlignment="1">
      <alignment horizontal="center"/>
    </xf>
    <xf numFmtId="169" fontId="8" fillId="0" borderId="12" xfId="0" applyNumberFormat="1" applyFont="1" applyFill="1" applyBorder="1" applyAlignment="1">
      <alignment horizontal="right" vertical="center"/>
    </xf>
    <xf numFmtId="0" fontId="0" fillId="3" borderId="16" xfId="0" applyFont="1" applyFill="1" applyBorder="1"/>
    <xf numFmtId="0" fontId="7" fillId="22" borderId="12" xfId="0" applyFont="1" applyFill="1" applyBorder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165" fontId="7" fillId="22" borderId="12" xfId="0" applyNumberFormat="1" applyFont="1" applyFill="1" applyBorder="1" applyAlignment="1">
      <alignment horizontal="left" vertical="center"/>
    </xf>
    <xf numFmtId="0" fontId="1" fillId="22" borderId="2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22" borderId="21" xfId="0" applyFont="1" applyFill="1" applyBorder="1" applyAlignment="1">
      <alignment horizontal="left" vertical="center"/>
    </xf>
    <xf numFmtId="0" fontId="7" fillId="22" borderId="11" xfId="0" applyFont="1" applyFill="1" applyBorder="1" applyAlignment="1">
      <alignment horizontal="left" vertical="center"/>
    </xf>
    <xf numFmtId="0" fontId="1" fillId="17" borderId="11" xfId="0" applyFont="1" applyFill="1" applyBorder="1"/>
    <xf numFmtId="0" fontId="7" fillId="15" borderId="2" xfId="0" applyFont="1" applyFill="1" applyBorder="1" applyAlignment="1">
      <alignment horizontal="right"/>
    </xf>
    <xf numFmtId="0" fontId="1" fillId="15" borderId="1" xfId="0" applyFont="1" applyFill="1" applyBorder="1"/>
    <xf numFmtId="0" fontId="7" fillId="15" borderId="3" xfId="0" applyFont="1" applyFill="1" applyBorder="1" applyAlignment="1">
      <alignment horizontal="center"/>
    </xf>
    <xf numFmtId="0" fontId="7" fillId="15" borderId="26" xfId="0" applyFont="1" applyFill="1" applyBorder="1" applyAlignment="1">
      <alignment horizontal="center"/>
    </xf>
    <xf numFmtId="165" fontId="1" fillId="18" borderId="3" xfId="0" applyNumberFormat="1" applyFont="1" applyFill="1" applyBorder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7" fillId="20" borderId="2" xfId="0" applyFont="1" applyFill="1" applyBorder="1"/>
    <xf numFmtId="0" fontId="7" fillId="20" borderId="1" xfId="0" applyFont="1" applyFill="1" applyBorder="1"/>
    <xf numFmtId="165" fontId="9" fillId="20" borderId="3" xfId="0" applyNumberFormat="1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3" xfId="0" applyFont="1" applyFill="1" applyBorder="1"/>
    <xf numFmtId="0" fontId="1" fillId="3" borderId="15" xfId="0" applyFont="1" applyFill="1" applyBorder="1"/>
    <xf numFmtId="0" fontId="1" fillId="24" borderId="0" xfId="0" applyFont="1" applyFill="1"/>
    <xf numFmtId="0" fontId="3" fillId="25" borderId="12" xfId="0" applyFont="1" applyFill="1" applyBorder="1"/>
    <xf numFmtId="0" fontId="3" fillId="25" borderId="21" xfId="0" applyFont="1" applyFill="1" applyBorder="1"/>
    <xf numFmtId="0" fontId="14" fillId="25" borderId="11" xfId="0" applyFont="1" applyFill="1" applyBorder="1"/>
    <xf numFmtId="0" fontId="3" fillId="26" borderId="12" xfId="0" applyFont="1" applyFill="1" applyBorder="1"/>
    <xf numFmtId="0" fontId="3" fillId="26" borderId="11" xfId="0" applyFont="1" applyFill="1" applyBorder="1"/>
    <xf numFmtId="168" fontId="8" fillId="24" borderId="18" xfId="0" applyNumberFormat="1" applyFont="1" applyFill="1" applyBorder="1" applyAlignment="1">
      <alignment horizontal="left"/>
    </xf>
    <xf numFmtId="168" fontId="8" fillId="24" borderId="0" xfId="0" applyNumberFormat="1" applyFont="1" applyFill="1" applyAlignment="1">
      <alignment horizontal="left"/>
    </xf>
    <xf numFmtId="9" fontId="8" fillId="24" borderId="0" xfId="0" applyNumberFormat="1" applyFont="1" applyFill="1" applyAlignment="1">
      <alignment horizontal="left"/>
    </xf>
    <xf numFmtId="168" fontId="8" fillId="24" borderId="13" xfId="0" applyNumberFormat="1" applyFont="1" applyFill="1" applyBorder="1" applyAlignment="1">
      <alignment horizontal="left"/>
    </xf>
    <xf numFmtId="0" fontId="22" fillId="24" borderId="0" xfId="33" applyFill="1"/>
    <xf numFmtId="168" fontId="8" fillId="24" borderId="19" xfId="0" applyNumberFormat="1" applyFont="1" applyFill="1" applyBorder="1" applyAlignment="1">
      <alignment horizontal="left"/>
    </xf>
    <xf numFmtId="168" fontId="8" fillId="24" borderId="16" xfId="0" applyNumberFormat="1" applyFont="1" applyFill="1" applyBorder="1" applyAlignment="1">
      <alignment horizontal="left"/>
    </xf>
    <xf numFmtId="0" fontId="8" fillId="24" borderId="0" xfId="0" applyFont="1" applyFill="1" applyAlignment="1">
      <alignment horizontal="left"/>
    </xf>
    <xf numFmtId="49" fontId="8" fillId="24" borderId="0" xfId="0" applyNumberFormat="1" applyFont="1" applyFill="1" applyAlignment="1">
      <alignment horizontal="left"/>
    </xf>
    <xf numFmtId="0" fontId="20" fillId="15" borderId="31" xfId="0" applyFont="1" applyFill="1" applyBorder="1" applyAlignment="1">
      <alignment horizontal="right"/>
    </xf>
    <xf numFmtId="0" fontId="6" fillId="19" borderId="31" xfId="0" applyFont="1" applyFill="1" applyBorder="1"/>
    <xf numFmtId="0" fontId="20" fillId="20" borderId="31" xfId="0" applyFont="1" applyFill="1" applyBorder="1"/>
    <xf numFmtId="0" fontId="8" fillId="24" borderId="18" xfId="0" applyFont="1" applyFill="1" applyBorder="1"/>
    <xf numFmtId="0" fontId="8" fillId="24" borderId="0" xfId="0" applyFont="1" applyFill="1" applyBorder="1" applyAlignment="1">
      <alignment horizontal="left"/>
    </xf>
    <xf numFmtId="0" fontId="8" fillId="24" borderId="14" xfId="0" applyFont="1" applyFill="1" applyBorder="1" applyAlignment="1">
      <alignment horizontal="left"/>
    </xf>
    <xf numFmtId="0" fontId="21" fillId="26" borderId="21" xfId="0" applyFont="1" applyFill="1" applyBorder="1"/>
    <xf numFmtId="0" fontId="7" fillId="15" borderId="31" xfId="0" applyFont="1" applyFill="1" applyBorder="1" applyAlignment="1">
      <alignment horizontal="right"/>
    </xf>
    <xf numFmtId="0" fontId="7" fillId="20" borderId="31" xfId="0" applyFont="1" applyFill="1" applyBorder="1"/>
    <xf numFmtId="0" fontId="3" fillId="26" borderId="21" xfId="0" applyFont="1" applyFill="1" applyBorder="1"/>
    <xf numFmtId="0" fontId="13" fillId="24" borderId="19" xfId="0" applyFont="1" applyFill="1" applyBorder="1"/>
    <xf numFmtId="0" fontId="13" fillId="24" borderId="16" xfId="0" applyFont="1" applyFill="1" applyBorder="1"/>
    <xf numFmtId="0" fontId="13" fillId="24" borderId="13" xfId="0" applyFont="1" applyFill="1" applyBorder="1"/>
    <xf numFmtId="49" fontId="33" fillId="24" borderId="0" xfId="0" applyNumberFormat="1" applyFont="1" applyFill="1" applyAlignment="1">
      <alignment horizontal="left"/>
    </xf>
    <xf numFmtId="0" fontId="11" fillId="24" borderId="0" xfId="0" applyFont="1" applyFill="1" applyAlignment="1">
      <alignment horizontal="center" vertical="center"/>
    </xf>
    <xf numFmtId="10" fontId="8" fillId="24" borderId="3" xfId="1" applyNumberFormat="1" applyFont="1" applyFill="1" applyBorder="1" applyAlignment="1">
      <alignment horizontal="center" vertical="center"/>
    </xf>
    <xf numFmtId="0" fontId="13" fillId="2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4" borderId="0" xfId="0" applyFont="1" applyFill="1" applyAlignment="1">
      <alignment horizontal="right" vertical="center"/>
    </xf>
    <xf numFmtId="0" fontId="11" fillId="24" borderId="0" xfId="0" applyFont="1" applyFill="1" applyAlignment="1">
      <alignment vertical="center"/>
    </xf>
    <xf numFmtId="49" fontId="8" fillId="24" borderId="0" xfId="0" applyNumberFormat="1" applyFont="1" applyFill="1" applyAlignment="1">
      <alignment horizontal="left" vertical="center"/>
    </xf>
    <xf numFmtId="0" fontId="8" fillId="24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6" fillId="18" borderId="2" xfId="0" applyFont="1" applyFill="1" applyBorder="1" applyAlignment="1">
      <alignment horizontal="left"/>
    </xf>
    <xf numFmtId="0" fontId="6" fillId="18" borderId="3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7" fillId="9" borderId="12" xfId="0" applyFont="1" applyFill="1" applyBorder="1" applyAlignment="1">
      <alignment horizontal="left" vertical="center"/>
    </xf>
    <xf numFmtId="0" fontId="7" fillId="9" borderId="21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left" vertical="center"/>
    </xf>
    <xf numFmtId="168" fontId="8" fillId="0" borderId="12" xfId="1" applyNumberFormat="1" applyFont="1" applyFill="1" applyBorder="1" applyAlignment="1">
      <alignment horizontal="center" vertical="center"/>
    </xf>
    <xf numFmtId="168" fontId="8" fillId="0" borderId="11" xfId="1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67" fontId="20" fillId="23" borderId="12" xfId="0" applyNumberFormat="1" applyFont="1" applyFill="1" applyBorder="1" applyAlignment="1">
      <alignment horizontal="center" vertical="center"/>
    </xf>
    <xf numFmtId="167" fontId="20" fillId="23" borderId="11" xfId="0" applyNumberFormat="1" applyFont="1" applyFill="1" applyBorder="1" applyAlignment="1">
      <alignment horizontal="center" vertical="center"/>
    </xf>
    <xf numFmtId="165" fontId="20" fillId="23" borderId="12" xfId="0" applyNumberFormat="1" applyFont="1" applyFill="1" applyBorder="1" applyAlignment="1">
      <alignment horizontal="center" vertical="center"/>
    </xf>
    <xf numFmtId="165" fontId="20" fillId="23" borderId="11" xfId="0" applyNumberFormat="1" applyFont="1" applyFill="1" applyBorder="1" applyAlignment="1">
      <alignment horizontal="center" vertical="center"/>
    </xf>
    <xf numFmtId="0" fontId="20" fillId="23" borderId="11" xfId="0" applyFont="1" applyFill="1" applyBorder="1" applyAlignment="1">
      <alignment horizontal="center" vertical="center"/>
    </xf>
    <xf numFmtId="10" fontId="28" fillId="23" borderId="12" xfId="1" applyNumberFormat="1" applyFont="1" applyFill="1" applyBorder="1" applyAlignment="1">
      <alignment horizontal="center" vertical="center"/>
    </xf>
    <xf numFmtId="10" fontId="28" fillId="23" borderId="11" xfId="1" applyNumberFormat="1" applyFont="1" applyFill="1" applyBorder="1" applyAlignment="1">
      <alignment horizontal="center" vertical="center"/>
    </xf>
    <xf numFmtId="165" fontId="6" fillId="21" borderId="12" xfId="0" applyNumberFormat="1" applyFont="1" applyFill="1" applyBorder="1" applyAlignment="1">
      <alignment horizontal="center" vertical="center"/>
    </xf>
    <xf numFmtId="165" fontId="6" fillId="21" borderId="11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21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/>
    </xf>
    <xf numFmtId="0" fontId="15" fillId="9" borderId="18" xfId="0" applyFont="1" applyFill="1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10" fontId="8" fillId="0" borderId="12" xfId="1" applyNumberFormat="1" applyFont="1" applyFill="1" applyBorder="1" applyAlignment="1">
      <alignment horizontal="center" vertical="center"/>
    </xf>
    <xf numFmtId="10" fontId="8" fillId="0" borderId="21" xfId="1" applyNumberFormat="1" applyFont="1" applyFill="1" applyBorder="1" applyAlignment="1">
      <alignment horizontal="center" vertical="center"/>
    </xf>
    <xf numFmtId="10" fontId="8" fillId="0" borderId="11" xfId="1" applyNumberFormat="1" applyFont="1" applyFill="1" applyBorder="1" applyAlignment="1">
      <alignment horizontal="center" vertical="center"/>
    </xf>
    <xf numFmtId="167" fontId="8" fillId="0" borderId="12" xfId="1" applyNumberFormat="1" applyFont="1" applyFill="1" applyBorder="1" applyAlignment="1">
      <alignment horizontal="center" vertical="center"/>
    </xf>
    <xf numFmtId="167" fontId="8" fillId="0" borderId="21" xfId="1" applyNumberFormat="1" applyFont="1" applyFill="1" applyBorder="1" applyAlignment="1">
      <alignment horizontal="center" vertical="center"/>
    </xf>
    <xf numFmtId="167" fontId="8" fillId="0" borderId="11" xfId="1" applyNumberFormat="1" applyFont="1" applyFill="1" applyBorder="1" applyAlignment="1">
      <alignment horizontal="center" vertical="center"/>
    </xf>
    <xf numFmtId="170" fontId="8" fillId="0" borderId="21" xfId="0" applyNumberFormat="1" applyFont="1" applyFill="1" applyBorder="1" applyAlignment="1">
      <alignment horizontal="right" vertical="center"/>
    </xf>
    <xf numFmtId="170" fontId="8" fillId="0" borderId="11" xfId="0" applyNumberFormat="1" applyFont="1" applyFill="1" applyBorder="1" applyAlignment="1">
      <alignment horizontal="right" vertical="center"/>
    </xf>
    <xf numFmtId="170" fontId="8" fillId="0" borderId="21" xfId="0" applyNumberFormat="1" applyFont="1" applyFill="1" applyBorder="1" applyAlignment="1">
      <alignment horizontal="right" vertical="center" wrapText="1"/>
    </xf>
    <xf numFmtId="9" fontId="8" fillId="0" borderId="12" xfId="1" applyFont="1" applyFill="1" applyBorder="1" applyAlignment="1">
      <alignment horizontal="center" vertical="center"/>
    </xf>
    <xf numFmtId="9" fontId="8" fillId="0" borderId="11" xfId="1" applyFont="1" applyFill="1" applyBorder="1" applyAlignment="1">
      <alignment horizontal="center" vertical="center"/>
    </xf>
    <xf numFmtId="165" fontId="7" fillId="23" borderId="12" xfId="0" applyNumberFormat="1" applyFont="1" applyFill="1" applyBorder="1" applyAlignment="1">
      <alignment horizontal="center" vertical="center"/>
    </xf>
    <xf numFmtId="0" fontId="7" fillId="23" borderId="11" xfId="0" applyFont="1" applyFill="1" applyBorder="1" applyAlignment="1">
      <alignment horizontal="center" vertical="center"/>
    </xf>
    <xf numFmtId="167" fontId="7" fillId="23" borderId="12" xfId="0" applyNumberFormat="1" applyFont="1" applyFill="1" applyBorder="1" applyAlignment="1">
      <alignment horizontal="center" vertical="center"/>
    </xf>
    <xf numFmtId="167" fontId="7" fillId="23" borderId="11" xfId="0" applyNumberFormat="1" applyFont="1" applyFill="1" applyBorder="1" applyAlignment="1">
      <alignment horizontal="center" vertical="center"/>
    </xf>
    <xf numFmtId="165" fontId="7" fillId="23" borderId="11" xfId="0" applyNumberFormat="1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left"/>
    </xf>
    <xf numFmtId="0" fontId="13" fillId="14" borderId="5" xfId="0" applyFont="1" applyFill="1" applyBorder="1" applyAlignment="1">
      <alignment horizontal="left"/>
    </xf>
    <xf numFmtId="0" fontId="13" fillId="14" borderId="6" xfId="0" applyFont="1" applyFill="1" applyBorder="1" applyAlignment="1">
      <alignment horizontal="left"/>
    </xf>
    <xf numFmtId="0" fontId="13" fillId="14" borderId="7" xfId="0" applyFont="1" applyFill="1" applyBorder="1" applyAlignment="1">
      <alignment horizontal="left"/>
    </xf>
    <xf numFmtId="0" fontId="13" fillId="14" borderId="8" xfId="0" applyFont="1" applyFill="1" applyBorder="1" applyAlignment="1">
      <alignment horizontal="left"/>
    </xf>
    <xf numFmtId="0" fontId="13" fillId="14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3" fillId="9" borderId="22" xfId="0" applyFont="1" applyFill="1" applyBorder="1" applyAlignment="1">
      <alignment horizontal="left" vertical="center"/>
    </xf>
    <xf numFmtId="0" fontId="3" fillId="9" borderId="23" xfId="0" applyFont="1" applyFill="1" applyBorder="1" applyAlignment="1">
      <alignment horizontal="left" vertical="center"/>
    </xf>
    <xf numFmtId="0" fontId="3" fillId="9" borderId="24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11" fillId="0" borderId="6" xfId="0" applyFont="1" applyBorder="1" applyAlignment="1"/>
    <xf numFmtId="165" fontId="3" fillId="11" borderId="1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4">
    <cellStyle name="Currency 2" xfId="32" xr:uid="{00000000-0005-0000-0000-000002000000}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3" builtinId="8"/>
    <cellStyle name="Normal" xfId="0" builtinId="0"/>
    <cellStyle name="Normal 2" xfId="4" xr:uid="{00000000-0005-0000-0000-00001E000000}"/>
    <cellStyle name="Normal 3" xfId="30" xr:uid="{00000000-0005-0000-0000-00001F000000}"/>
    <cellStyle name="Percent" xfId="1" builtinId="5"/>
    <cellStyle name="Percent 2" xfId="5" xr:uid="{00000000-0005-0000-0000-000021000000}"/>
    <cellStyle name="Percent 3" xfId="31" xr:uid="{00000000-0005-0000-0000-00002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33CC"/>
      <color rgb="FFCCFFFF"/>
      <color rgb="FFFFFF99"/>
      <color rgb="FF0000CC"/>
      <color rgb="FF0000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Intrinsic Value Calculator </a:t>
            </a:r>
          </a:p>
          <a:p>
            <a:pPr>
              <a:defRPr sz="975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(Discounted Cash Flow Method 10 years)</a:t>
            </a:r>
          </a:p>
        </c:rich>
      </c:tx>
      <c:layout>
        <c:manualLayout>
          <c:xMode val="edge"/>
          <c:yMode val="edge"/>
          <c:x val="0.35969409797226742"/>
          <c:y val="4.1025577685142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6945686773595"/>
          <c:y val="0.18461596246482617"/>
          <c:w val="0.85076583598597755"/>
          <c:h val="0.5589761085740579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val>
            <c:numRef>
              <c:f>'VMI Calculator (10 years)'!$F$27:$O$27</c:f>
              <c:numCache>
                <c:formatCode>"$"#,##0.00</c:formatCode>
                <c:ptCount val="10"/>
                <c:pt idx="0">
                  <c:v>3381.25</c:v>
                </c:pt>
                <c:pt idx="1">
                  <c:v>4226.5625</c:v>
                </c:pt>
                <c:pt idx="2">
                  <c:v>5283.203125</c:v>
                </c:pt>
                <c:pt idx="3">
                  <c:v>6604.00390625</c:v>
                </c:pt>
                <c:pt idx="4">
                  <c:v>8255.0048828125</c:v>
                </c:pt>
                <c:pt idx="5">
                  <c:v>9493.255615234375</c:v>
                </c:pt>
                <c:pt idx="6">
                  <c:v>10917.243957519531</c:v>
                </c:pt>
                <c:pt idx="7">
                  <c:v>12554.830551147459</c:v>
                </c:pt>
                <c:pt idx="8">
                  <c:v>14438.055133819576</c:v>
                </c:pt>
                <c:pt idx="9">
                  <c:v>16603.76340389251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6-4E4E-871E-6B1AC9FB4F4A}"/>
            </c:ext>
          </c:extLst>
        </c:ser>
        <c:ser>
          <c:idx val="1"/>
          <c:order val="1"/>
          <c:spPr>
            <a:ln w="12700">
              <a:solidFill>
                <a:srgbClr val="DD2D3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val>
            <c:numRef>
              <c:f>'VMI Calculator (10 years)'!$F$29:$O$29</c:f>
              <c:numCache>
                <c:formatCode>"$"#,##0.00</c:formatCode>
                <c:ptCount val="10"/>
                <c:pt idx="0">
                  <c:v>3171.9043151969977</c:v>
                </c:pt>
                <c:pt idx="1">
                  <c:v>3719.3999943679619</c:v>
                </c:pt>
                <c:pt idx="2">
                  <c:v>4361.3977419886978</c:v>
                </c:pt>
                <c:pt idx="3">
                  <c:v>5114.2093597428448</c:v>
                </c:pt>
                <c:pt idx="4">
                  <c:v>5996.9621948204085</c:v>
                </c:pt>
                <c:pt idx="5">
                  <c:v>6469.5183152377767</c:v>
                </c:pt>
                <c:pt idx="6">
                  <c:v>6979.3115033052927</c:v>
                </c:pt>
                <c:pt idx="7">
                  <c:v>7529.2760120085231</c:v>
                </c:pt>
                <c:pt idx="8">
                  <c:v>8122.5773112662291</c:v>
                </c:pt>
                <c:pt idx="9">
                  <c:v>8762.6303076511831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6-4E4E-871E-6B1AC9FB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3472"/>
        <c:axId val="98480128"/>
      </c:lineChart>
      <c:catAx>
        <c:axId val="984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85752444661159"/>
              <c:y val="0.861541248520406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4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2.4234664251039397E-2"/>
              <c:y val="0.3743601461582013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73472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805634915105"/>
          <c:y val="0.62227903864958367"/>
          <c:w val="8.7391768860359126E-2"/>
          <c:h val="0.164849112327184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D4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Intrinsic Value Calculator </a:t>
            </a:r>
          </a:p>
          <a:p>
            <a:pPr>
              <a:defRPr sz="975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(Discounted Cash Flow Method 20 years)</a:t>
            </a:r>
          </a:p>
        </c:rich>
      </c:tx>
      <c:layout>
        <c:manualLayout>
          <c:xMode val="edge"/>
          <c:yMode val="edge"/>
          <c:x val="0.35969409797226753"/>
          <c:y val="4.1025577685142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6945686773595"/>
          <c:y val="0.18461596246482626"/>
          <c:w val="0.85076583598597777"/>
          <c:h val="0.55897610857405799"/>
        </c:manualLayout>
      </c:layout>
      <c:lineChart>
        <c:grouping val="standard"/>
        <c:varyColors val="0"/>
        <c:ser>
          <c:idx val="0"/>
          <c:order val="0"/>
          <c:tx>
            <c:v>Cash Flow (Projected)</c:v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val>
            <c:numRef>
              <c:f>('VMI Calculator (20 years)'!$F$27:$O$27,'VMI Calculator (20 years)'!$F$32:$O$32)</c:f>
              <c:numCache>
                <c:formatCode>"$"#,##0.00</c:formatCode>
                <c:ptCount val="20"/>
                <c:pt idx="0">
                  <c:v>467.40479999999997</c:v>
                </c:pt>
                <c:pt idx="1">
                  <c:v>535.45893887999989</c:v>
                </c:pt>
                <c:pt idx="2">
                  <c:v>613.42176038092782</c:v>
                </c:pt>
                <c:pt idx="3">
                  <c:v>702.73596869239088</c:v>
                </c:pt>
                <c:pt idx="4">
                  <c:v>805.05432573400299</c:v>
                </c:pt>
                <c:pt idx="5">
                  <c:v>922.27023556087374</c:v>
                </c:pt>
                <c:pt idx="6">
                  <c:v>1056.5527818585369</c:v>
                </c:pt>
                <c:pt idx="7">
                  <c:v>1210.38686689714</c:v>
                </c:pt>
                <c:pt idx="8">
                  <c:v>1386.6191947173634</c:v>
                </c:pt>
                <c:pt idx="9">
                  <c:v>1588.5109494682115</c:v>
                </c:pt>
                <c:pt idx="10">
                  <c:v>1664.7594750426856</c:v>
                </c:pt>
                <c:pt idx="11">
                  <c:v>1744.6679298447345</c:v>
                </c:pt>
                <c:pt idx="12">
                  <c:v>1828.411990477282</c:v>
                </c:pt>
                <c:pt idx="13">
                  <c:v>1916.1757660201915</c:v>
                </c:pt>
                <c:pt idx="14">
                  <c:v>2008.1522027891608</c:v>
                </c:pt>
                <c:pt idx="15">
                  <c:v>2104.5435085230406</c:v>
                </c:pt>
                <c:pt idx="16">
                  <c:v>2205.5615969321466</c:v>
                </c:pt>
                <c:pt idx="17">
                  <c:v>2311.4285535848899</c:v>
                </c:pt>
                <c:pt idx="18">
                  <c:v>2422.3771241569648</c:v>
                </c:pt>
                <c:pt idx="19">
                  <c:v>2538.6512261164994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9-4599-820A-55219C56D281}"/>
            </c:ext>
          </c:extLst>
        </c:ser>
        <c:ser>
          <c:idx val="1"/>
          <c:order val="1"/>
          <c:tx>
            <c:v>Cash Flow (Discounted)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val>
            <c:numRef>
              <c:f>('VMI Calculator (20 years)'!$F$29:$O$29,'VMI Calculator (20 years)'!$F$34:$O$34)</c:f>
              <c:numCache>
                <c:formatCode>"$"#,##0.00</c:formatCode>
                <c:ptCount val="20"/>
                <c:pt idx="0">
                  <c:v>445.14742857142852</c:v>
                </c:pt>
                <c:pt idx="1">
                  <c:v>485.67704206802705</c:v>
                </c:pt>
                <c:pt idx="2">
                  <c:v>529.89678037441115</c:v>
                </c:pt>
                <c:pt idx="3">
                  <c:v>578.14262056850043</c:v>
                </c:pt>
                <c:pt idx="4">
                  <c:v>630.78112964121328</c:v>
                </c:pt>
                <c:pt idx="5">
                  <c:v>688.2122496352132</c:v>
                </c:pt>
                <c:pt idx="6">
                  <c:v>750.87233636390488</c:v>
                </c:pt>
                <c:pt idx="7">
                  <c:v>819.23747479856138</c:v>
                </c:pt>
                <c:pt idx="8">
                  <c:v>893.82709631355408</c:v>
                </c:pt>
                <c:pt idx="9">
                  <c:v>975.20792527315007</c:v>
                </c:pt>
                <c:pt idx="10">
                  <c:v>973.35038636786783</c:v>
                </c:pt>
                <c:pt idx="11">
                  <c:v>971.49638563192889</c:v>
                </c:pt>
                <c:pt idx="12">
                  <c:v>969.6459163259633</c:v>
                </c:pt>
                <c:pt idx="13">
                  <c:v>967.7989717234376</c:v>
                </c:pt>
                <c:pt idx="14">
                  <c:v>965.95554511063108</c:v>
                </c:pt>
                <c:pt idx="15">
                  <c:v>964.11562978661084</c:v>
                </c:pt>
                <c:pt idx="16">
                  <c:v>962.27921906320773</c:v>
                </c:pt>
                <c:pt idx="17">
                  <c:v>960.44630626499224</c:v>
                </c:pt>
                <c:pt idx="18">
                  <c:v>958.61688472924948</c:v>
                </c:pt>
                <c:pt idx="19">
                  <c:v>956.79094780595574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9-4599-820A-55219C56D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792"/>
        <c:axId val="97665024"/>
      </c:lineChart>
      <c:catAx>
        <c:axId val="97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85752444661159"/>
              <c:y val="0.861541248520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66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2.4234664251039397E-2"/>
              <c:y val="0.3743601461582014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49792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0543935767427568E-3"/>
          <c:y val="0.85239829396325473"/>
          <c:w val="0.18477814333358705"/>
          <c:h val="0.128390748031496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D4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30</xdr:row>
      <xdr:rowOff>28575</xdr:rowOff>
    </xdr:from>
    <xdr:to>
      <xdr:col>13</xdr:col>
      <xdr:colOff>238125</xdr:colOff>
      <xdr:row>45</xdr:row>
      <xdr:rowOff>28575</xdr:rowOff>
    </xdr:to>
    <xdr:graphicFrame macro="">
      <xdr:nvGraphicFramePr>
        <xdr:cNvPr id="4292" name="Chart 7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35</xdr:row>
      <xdr:rowOff>28575</xdr:rowOff>
    </xdr:from>
    <xdr:to>
      <xdr:col>13</xdr:col>
      <xdr:colOff>238125</xdr:colOff>
      <xdr:row>50</xdr:row>
      <xdr:rowOff>28575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arket-risk-premia.com/hk.html" TargetMode="External"/><Relationship Id="rId1" Type="http://schemas.openxmlformats.org/officeDocument/2006/relationships/hyperlink" Target="http://www.market-risk-premia.com/us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arket-risk-premia.com/hk.html" TargetMode="External"/><Relationship Id="rId1" Type="http://schemas.openxmlformats.org/officeDocument/2006/relationships/hyperlink" Target="http://www.market-risk-premia.com/us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A78"/>
  <sheetViews>
    <sheetView tabSelected="1" topLeftCell="C7" zoomScaleNormal="85" workbookViewId="0">
      <selection activeCell="F19" sqref="F19"/>
    </sheetView>
  </sheetViews>
  <sheetFormatPr defaultColWidth="8.625" defaultRowHeight="12.75" x14ac:dyDescent="0.2"/>
  <cols>
    <col min="1" max="1" width="1.125" style="13" customWidth="1"/>
    <col min="2" max="2" width="11.5" style="13" customWidth="1"/>
    <col min="3" max="8" width="12.625" style="13" customWidth="1"/>
    <col min="9" max="9" width="15.625" style="13" customWidth="1"/>
    <col min="10" max="16" width="12.625" style="13" customWidth="1"/>
    <col min="17" max="17" width="9.125" style="13" customWidth="1"/>
    <col min="18" max="18" width="3.125" style="13" customWidth="1"/>
    <col min="19" max="26" width="8.625" style="13"/>
    <col min="27" max="27" width="0" style="13" hidden="1" customWidth="1"/>
    <col min="28" max="16384" width="8.625" style="13"/>
  </cols>
  <sheetData>
    <row r="1" spans="1:27" ht="7.5" customHeight="1" thickBot="1" x14ac:dyDescent="0.35">
      <c r="A1" s="46"/>
      <c r="B1" s="46"/>
      <c r="C1" s="47"/>
      <c r="D1" s="47"/>
      <c r="E1" s="47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6"/>
      <c r="R1" s="46"/>
      <c r="S1" s="111"/>
      <c r="T1" s="111"/>
      <c r="U1" s="111"/>
      <c r="V1" s="111"/>
      <c r="W1" s="111"/>
      <c r="X1" s="111"/>
    </row>
    <row r="2" spans="1:27" ht="22.5" x14ac:dyDescent="0.3">
      <c r="A2" s="46"/>
      <c r="B2" s="218" t="s">
        <v>38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111"/>
      <c r="T2" s="111"/>
      <c r="U2" s="111"/>
      <c r="V2" s="111"/>
      <c r="W2" s="111"/>
      <c r="X2" s="111"/>
    </row>
    <row r="3" spans="1:27" x14ac:dyDescent="0.2">
      <c r="A3" s="46"/>
      <c r="B3" s="221" t="s">
        <v>30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3"/>
      <c r="S3" s="111"/>
      <c r="T3" s="111"/>
      <c r="U3" s="111"/>
      <c r="V3" s="111"/>
      <c r="W3" s="111"/>
      <c r="X3" s="111"/>
    </row>
    <row r="4" spans="1:27" ht="5.25" customHeight="1" thickBot="1" x14ac:dyDescent="0.25">
      <c r="A4" s="46"/>
      <c r="B4" s="49"/>
      <c r="C4" s="50"/>
      <c r="D4" s="50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0"/>
      <c r="R4" s="52"/>
      <c r="S4" s="111"/>
      <c r="T4" s="111"/>
      <c r="U4" s="111"/>
      <c r="V4" s="111"/>
      <c r="W4" s="111"/>
      <c r="X4" s="111"/>
    </row>
    <row r="5" spans="1:27" ht="5.25" customHeight="1" thickBot="1" x14ac:dyDescent="0.25">
      <c r="A5" s="46"/>
      <c r="B5" s="53"/>
      <c r="C5" s="46"/>
      <c r="D5" s="46"/>
      <c r="E5" s="46"/>
      <c r="F5" s="54"/>
      <c r="G5" s="54"/>
      <c r="H5" s="54"/>
      <c r="I5" s="55"/>
      <c r="J5" s="55"/>
      <c r="K5" s="55"/>
      <c r="L5" s="55"/>
      <c r="M5" s="55"/>
      <c r="N5" s="55"/>
      <c r="O5" s="55"/>
      <c r="P5" s="55"/>
      <c r="Q5" s="56"/>
      <c r="R5" s="57"/>
      <c r="S5" s="111"/>
      <c r="T5" s="111"/>
      <c r="U5" s="111"/>
      <c r="V5" s="111"/>
      <c r="W5" s="111"/>
      <c r="X5" s="111"/>
    </row>
    <row r="6" spans="1:27" ht="18.75" thickBot="1" x14ac:dyDescent="0.3">
      <c r="A6" s="46"/>
      <c r="B6" s="53"/>
      <c r="C6" s="58" t="s">
        <v>0</v>
      </c>
      <c r="D6" s="58"/>
      <c r="E6" s="58"/>
      <c r="F6" s="7"/>
      <c r="G6" s="7"/>
      <c r="H6" s="7"/>
      <c r="I6" s="59"/>
      <c r="J6" s="59"/>
      <c r="K6" s="59"/>
      <c r="L6" s="59"/>
      <c r="M6" s="59"/>
      <c r="N6" s="59"/>
      <c r="O6" s="119" t="s">
        <v>4</v>
      </c>
      <c r="P6" s="118" t="s">
        <v>13</v>
      </c>
      <c r="Q6" s="60"/>
      <c r="R6" s="57"/>
      <c r="S6" s="111"/>
      <c r="T6" s="111"/>
      <c r="U6" s="111"/>
      <c r="V6" s="111"/>
      <c r="W6" s="111"/>
      <c r="X6" s="111"/>
      <c r="AA6" s="127" t="s">
        <v>74</v>
      </c>
    </row>
    <row r="7" spans="1:27" ht="15.75" thickBot="1" x14ac:dyDescent="0.25">
      <c r="A7" s="46"/>
      <c r="B7" s="53"/>
      <c r="C7" s="61"/>
      <c r="D7" s="61"/>
      <c r="E7" s="61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  <c r="R7" s="57"/>
      <c r="S7" s="111"/>
      <c r="T7" s="111"/>
      <c r="U7" s="111"/>
      <c r="V7" s="111"/>
      <c r="W7" s="111"/>
      <c r="X7" s="111"/>
      <c r="AA7" s="127" t="s">
        <v>75</v>
      </c>
    </row>
    <row r="8" spans="1:27" ht="20.100000000000001" customHeight="1" thickBot="1" x14ac:dyDescent="0.25">
      <c r="A8" s="46"/>
      <c r="B8" s="53"/>
      <c r="C8" s="76" t="s">
        <v>42</v>
      </c>
      <c r="D8" s="112"/>
      <c r="E8" s="112"/>
      <c r="F8" s="215" t="s">
        <v>76</v>
      </c>
      <c r="G8" s="216"/>
      <c r="H8" s="217"/>
      <c r="I8" s="77"/>
      <c r="J8" s="94" t="s">
        <v>1</v>
      </c>
      <c r="K8" s="93"/>
      <c r="L8" s="92"/>
      <c r="M8" s="206">
        <f>SUM(F29:O29)</f>
        <v>60227.187055585913</v>
      </c>
      <c r="N8" s="207"/>
      <c r="O8" s="59"/>
      <c r="P8" s="59"/>
      <c r="Q8" s="60"/>
      <c r="R8" s="57"/>
      <c r="S8" s="111"/>
      <c r="T8" s="111"/>
      <c r="U8" s="111"/>
      <c r="V8" s="111"/>
      <c r="W8" s="111"/>
      <c r="X8" s="111"/>
    </row>
    <row r="9" spans="1:27" ht="3.75" customHeight="1" thickBot="1" x14ac:dyDescent="0.25">
      <c r="A9" s="46"/>
      <c r="B9" s="53"/>
      <c r="C9" s="62"/>
      <c r="D9" s="62"/>
      <c r="E9" s="62"/>
      <c r="F9" s="8"/>
      <c r="G9" s="8"/>
      <c r="H9" s="59"/>
      <c r="I9" s="59"/>
      <c r="J9" s="95"/>
      <c r="K9" s="59"/>
      <c r="L9" s="59"/>
      <c r="M9" s="59"/>
      <c r="N9" s="59"/>
      <c r="O9" s="59"/>
      <c r="P9" s="59"/>
      <c r="Q9" s="60"/>
      <c r="R9" s="57"/>
      <c r="S9" s="111"/>
      <c r="T9" s="111"/>
      <c r="U9" s="111"/>
      <c r="V9" s="111"/>
      <c r="W9" s="111"/>
      <c r="X9" s="111"/>
    </row>
    <row r="10" spans="1:27" ht="20.100000000000001" customHeight="1" thickBot="1" x14ac:dyDescent="0.25">
      <c r="A10" s="46"/>
      <c r="B10" s="53"/>
      <c r="C10" s="76" t="s">
        <v>43</v>
      </c>
      <c r="D10" s="112"/>
      <c r="E10" s="112"/>
      <c r="F10" s="215" t="s">
        <v>76</v>
      </c>
      <c r="G10" s="216"/>
      <c r="H10" s="217"/>
      <c r="I10" s="59"/>
      <c r="J10" s="123" t="s">
        <v>54</v>
      </c>
      <c r="K10" s="93"/>
      <c r="L10" s="92"/>
      <c r="M10" s="208">
        <f>IF(F24&lt;&gt;0,M8/F24,0)</f>
        <v>323.17657789002953</v>
      </c>
      <c r="N10" s="209"/>
      <c r="O10" s="59"/>
      <c r="P10" s="59"/>
      <c r="Q10" s="60"/>
      <c r="R10" s="57"/>
      <c r="S10" s="111"/>
      <c r="T10" s="111"/>
      <c r="U10" s="111"/>
      <c r="V10" s="111"/>
      <c r="W10" s="111"/>
      <c r="X10" s="111"/>
    </row>
    <row r="11" spans="1:27" ht="5.25" customHeight="1" thickBot="1" x14ac:dyDescent="0.25">
      <c r="A11" s="46"/>
      <c r="B11" s="53"/>
      <c r="C11" s="63"/>
      <c r="D11" s="63"/>
      <c r="E11" s="63"/>
      <c r="F11" s="63"/>
      <c r="G11" s="6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57"/>
      <c r="S11" s="111"/>
      <c r="T11" s="111"/>
      <c r="U11" s="111"/>
      <c r="V11" s="111"/>
      <c r="W11" s="111"/>
      <c r="X11" s="111"/>
    </row>
    <row r="12" spans="1:27" ht="20.100000000000001" customHeight="1" thickBot="1" x14ac:dyDescent="0.25">
      <c r="A12" s="46"/>
      <c r="B12" s="122"/>
      <c r="C12" s="199" t="s">
        <v>74</v>
      </c>
      <c r="D12" s="200"/>
      <c r="E12" s="201"/>
      <c r="F12" s="121" t="str">
        <f>P6</f>
        <v>USD$</v>
      </c>
      <c r="G12" s="230">
        <v>2705</v>
      </c>
      <c r="H12" s="231"/>
      <c r="I12" s="60"/>
      <c r="J12" s="96" t="s">
        <v>2</v>
      </c>
      <c r="K12" s="93"/>
      <c r="L12" s="92"/>
      <c r="M12" s="208">
        <f>IF(F24&lt;&gt;0,G14/F24,0)</f>
        <v>82.571367246190164</v>
      </c>
      <c r="N12" s="209"/>
      <c r="O12" s="60"/>
      <c r="P12" s="60"/>
      <c r="Q12" s="60"/>
      <c r="R12" s="57"/>
      <c r="S12" s="111"/>
      <c r="T12" s="111"/>
      <c r="U12" s="111"/>
      <c r="V12" s="111"/>
      <c r="W12" s="111"/>
      <c r="X12" s="111"/>
    </row>
    <row r="13" spans="1:27" ht="5.25" customHeight="1" thickBot="1" x14ac:dyDescent="0.25">
      <c r="A13" s="46"/>
      <c r="B13" s="53"/>
      <c r="C13" s="64"/>
      <c r="D13" s="64"/>
      <c r="E13" s="64"/>
      <c r="F13" s="63"/>
      <c r="G13" s="63"/>
      <c r="H13" s="60"/>
      <c r="I13" s="60"/>
      <c r="J13" s="60"/>
      <c r="K13" s="63"/>
      <c r="L13" s="63"/>
      <c r="M13" s="60"/>
      <c r="N13" s="60"/>
      <c r="O13" s="60"/>
      <c r="P13" s="60"/>
      <c r="Q13" s="60"/>
      <c r="R13" s="57"/>
      <c r="S13" s="111"/>
      <c r="T13" s="111"/>
      <c r="U13" s="111"/>
      <c r="V13" s="111"/>
      <c r="W13" s="111"/>
      <c r="X13" s="111"/>
    </row>
    <row r="14" spans="1:27" ht="18.75" customHeight="1" thickBot="1" x14ac:dyDescent="0.25">
      <c r="A14" s="46"/>
      <c r="B14" s="122"/>
      <c r="C14" s="76" t="s">
        <v>52</v>
      </c>
      <c r="D14" s="112"/>
      <c r="E14" s="112"/>
      <c r="F14" s="121" t="str">
        <f>P6</f>
        <v>USD$</v>
      </c>
      <c r="G14" s="230">
        <v>15388</v>
      </c>
      <c r="H14" s="231"/>
      <c r="I14" s="60"/>
      <c r="J14" s="96" t="s">
        <v>3</v>
      </c>
      <c r="K14" s="93"/>
      <c r="L14" s="92"/>
      <c r="M14" s="208">
        <f>IF(F24&lt;&gt;0,G16/F24,0)</f>
        <v>46.227731272805322</v>
      </c>
      <c r="N14" s="209"/>
      <c r="O14" s="60"/>
      <c r="P14" s="60"/>
      <c r="Q14" s="60"/>
      <c r="R14" s="57"/>
      <c r="S14" s="111"/>
      <c r="T14" s="111"/>
      <c r="U14" s="111"/>
      <c r="V14" s="111"/>
      <c r="W14" s="111"/>
      <c r="X14" s="111"/>
    </row>
    <row r="15" spans="1:27" ht="3.75" customHeight="1" thickBot="1" x14ac:dyDescent="0.25">
      <c r="A15" s="46"/>
      <c r="B15" s="53"/>
      <c r="C15" s="64"/>
      <c r="D15" s="64"/>
      <c r="E15" s="64"/>
      <c r="F15" s="63"/>
      <c r="G15" s="63"/>
      <c r="H15" s="60"/>
      <c r="I15" s="60"/>
      <c r="J15" s="60"/>
      <c r="K15" s="63"/>
      <c r="L15" s="63"/>
      <c r="M15" s="60"/>
      <c r="N15" s="60"/>
      <c r="O15" s="60"/>
      <c r="P15" s="60"/>
      <c r="Q15" s="60"/>
      <c r="R15" s="57"/>
      <c r="S15" s="111"/>
      <c r="T15" s="111"/>
      <c r="U15" s="111"/>
      <c r="V15" s="111"/>
      <c r="W15" s="111"/>
      <c r="X15" s="111"/>
    </row>
    <row r="16" spans="1:27" ht="18.75" customHeight="1" thickBot="1" x14ac:dyDescent="0.25">
      <c r="A16" s="46"/>
      <c r="B16" s="122"/>
      <c r="C16" s="76" t="s">
        <v>53</v>
      </c>
      <c r="D16" s="112"/>
      <c r="E16" s="112"/>
      <c r="F16" s="121" t="str">
        <f>P6</f>
        <v>USD$</v>
      </c>
      <c r="G16" s="232">
        <v>8615</v>
      </c>
      <c r="H16" s="231"/>
      <c r="I16" s="60"/>
      <c r="J16" s="123" t="s">
        <v>55</v>
      </c>
      <c r="K16" s="96"/>
      <c r="L16" s="96"/>
      <c r="M16" s="208">
        <f>M10-M12+M14</f>
        <v>286.8329419166447</v>
      </c>
      <c r="N16" s="210"/>
      <c r="O16" s="60"/>
      <c r="P16" s="60"/>
      <c r="Q16" s="60"/>
      <c r="R16" s="57"/>
      <c r="S16" s="111"/>
      <c r="T16" s="111"/>
      <c r="U16" s="111"/>
      <c r="V16" s="111"/>
      <c r="W16" s="111"/>
      <c r="X16" s="111"/>
    </row>
    <row r="17" spans="1:24" ht="5.25" customHeight="1" thickBot="1" x14ac:dyDescent="0.25">
      <c r="A17" s="46"/>
      <c r="B17" s="53"/>
      <c r="C17" s="64"/>
      <c r="D17" s="64"/>
      <c r="E17" s="64"/>
      <c r="F17" s="63"/>
      <c r="G17" s="63"/>
      <c r="H17" s="60"/>
      <c r="I17" s="60"/>
      <c r="J17" s="60"/>
      <c r="K17" s="63"/>
      <c r="L17" s="63"/>
      <c r="M17" s="60"/>
      <c r="N17" s="60"/>
      <c r="O17" s="60"/>
      <c r="P17" s="60"/>
      <c r="Q17" s="60"/>
      <c r="R17" s="57"/>
      <c r="S17" s="111"/>
      <c r="T17" s="111"/>
      <c r="U17" s="111"/>
      <c r="V17" s="111"/>
      <c r="W17" s="111"/>
      <c r="X17" s="111"/>
    </row>
    <row r="18" spans="1:24" ht="19.5" customHeight="1" thickBot="1" x14ac:dyDescent="0.25">
      <c r="A18" s="46"/>
      <c r="B18" s="53"/>
      <c r="C18" s="76" t="s">
        <v>57</v>
      </c>
      <c r="D18" s="112"/>
      <c r="E18" s="112"/>
      <c r="F18" s="224">
        <v>0.25</v>
      </c>
      <c r="G18" s="225"/>
      <c r="H18" s="226"/>
      <c r="I18" s="60"/>
      <c r="J18" s="123" t="s">
        <v>72</v>
      </c>
      <c r="K18" s="141"/>
      <c r="L18" s="142"/>
      <c r="M18" s="211">
        <f>(L20-M16)/M16</f>
        <v>3.9881299910656258</v>
      </c>
      <c r="N18" s="212"/>
      <c r="O18" s="60"/>
      <c r="P18" s="60"/>
      <c r="Q18" s="60"/>
      <c r="R18" s="57"/>
      <c r="S18" s="111"/>
      <c r="T18" s="111"/>
      <c r="U18" s="111"/>
      <c r="V18" s="111"/>
      <c r="W18" s="111"/>
      <c r="X18" s="111"/>
    </row>
    <row r="19" spans="1:24" ht="5.25" customHeight="1" thickBot="1" x14ac:dyDescent="0.25">
      <c r="A19" s="46"/>
      <c r="B19" s="53"/>
      <c r="C19" s="64"/>
      <c r="D19" s="64"/>
      <c r="E19" s="64"/>
      <c r="F19" s="63"/>
      <c r="G19" s="63"/>
      <c r="H19" s="60"/>
      <c r="I19" s="62"/>
      <c r="J19" s="135"/>
      <c r="K19" s="140"/>
      <c r="L19" s="140"/>
      <c r="M19" s="135"/>
      <c r="N19" s="135"/>
      <c r="O19" s="60"/>
      <c r="P19" s="60"/>
      <c r="Q19" s="60"/>
      <c r="R19" s="57"/>
      <c r="S19" s="111"/>
      <c r="T19" s="111"/>
      <c r="U19" s="111"/>
      <c r="V19" s="111"/>
      <c r="W19" s="111"/>
      <c r="X19" s="111"/>
    </row>
    <row r="20" spans="1:24" ht="20.100000000000001" customHeight="1" thickBot="1" x14ac:dyDescent="0.25">
      <c r="A20" s="46"/>
      <c r="B20" s="53"/>
      <c r="C20" s="76" t="s">
        <v>58</v>
      </c>
      <c r="D20" s="112"/>
      <c r="E20" s="112"/>
      <c r="F20" s="224">
        <v>0.15</v>
      </c>
      <c r="G20" s="225"/>
      <c r="H20" s="226"/>
      <c r="I20" s="62"/>
      <c r="J20" s="76" t="s">
        <v>63</v>
      </c>
      <c r="K20" s="112"/>
      <c r="L20" s="213">
        <v>1430.76</v>
      </c>
      <c r="M20" s="214"/>
      <c r="N20" s="135"/>
      <c r="O20" s="60"/>
      <c r="P20" s="60"/>
      <c r="Q20" s="60"/>
      <c r="R20" s="57"/>
      <c r="S20" s="111"/>
      <c r="T20" s="111"/>
      <c r="U20" s="111"/>
      <c r="V20" s="111"/>
      <c r="W20" s="111"/>
      <c r="X20" s="111"/>
    </row>
    <row r="21" spans="1:24" ht="5.25" customHeight="1" thickBot="1" x14ac:dyDescent="0.25">
      <c r="A21" s="46"/>
      <c r="B21" s="5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57"/>
      <c r="S21" s="111"/>
      <c r="T21" s="111"/>
      <c r="U21" s="111"/>
      <c r="V21" s="111"/>
      <c r="W21" s="111"/>
      <c r="X21" s="111"/>
    </row>
    <row r="22" spans="1:24" ht="19.5" customHeight="1" thickBot="1" x14ac:dyDescent="0.25">
      <c r="A22" s="46"/>
      <c r="B22" s="53"/>
      <c r="C22" s="62"/>
      <c r="D22" s="62"/>
      <c r="E22" s="62"/>
      <c r="F22" s="9"/>
      <c r="G22" s="9"/>
      <c r="H22" s="60"/>
      <c r="I22" s="60"/>
      <c r="J22" s="76" t="s">
        <v>41</v>
      </c>
      <c r="K22" s="81"/>
      <c r="L22" s="204">
        <v>2019</v>
      </c>
      <c r="M22" s="205"/>
      <c r="N22" s="75" t="s">
        <v>47</v>
      </c>
      <c r="O22" s="60"/>
      <c r="P22" s="60"/>
      <c r="Q22" s="60"/>
      <c r="R22" s="57"/>
      <c r="S22" s="111"/>
      <c r="T22" s="111"/>
      <c r="U22" s="111"/>
      <c r="V22" s="111"/>
      <c r="W22" s="111"/>
      <c r="X22" s="111"/>
    </row>
    <row r="23" spans="1:24" ht="15.75" thickBot="1" x14ac:dyDescent="0.25">
      <c r="A23" s="46"/>
      <c r="B23" s="53"/>
      <c r="C23" s="62"/>
      <c r="D23" s="62"/>
      <c r="E23" s="62"/>
      <c r="F23" s="9"/>
      <c r="G23" s="9"/>
      <c r="H23" s="60"/>
      <c r="I23" s="60"/>
      <c r="J23" s="62"/>
      <c r="K23" s="80"/>
      <c r="L23" s="79"/>
      <c r="M23" s="79"/>
      <c r="N23" s="60"/>
      <c r="O23" s="60"/>
      <c r="P23" s="60"/>
      <c r="Q23" s="60"/>
      <c r="R23" s="57"/>
      <c r="S23" s="111"/>
      <c r="T23" s="111"/>
      <c r="U23" s="111"/>
      <c r="V23" s="111"/>
      <c r="W23" s="111"/>
      <c r="X23" s="111"/>
    </row>
    <row r="24" spans="1:24" ht="15.75" thickBot="1" x14ac:dyDescent="0.25">
      <c r="A24" s="46"/>
      <c r="B24" s="53"/>
      <c r="C24" s="76" t="s">
        <v>46</v>
      </c>
      <c r="D24" s="112"/>
      <c r="E24" s="112"/>
      <c r="F24" s="227">
        <v>186.36</v>
      </c>
      <c r="G24" s="228"/>
      <c r="H24" s="229"/>
      <c r="I24" s="60"/>
      <c r="J24" s="76" t="s">
        <v>44</v>
      </c>
      <c r="K24" s="81"/>
      <c r="L24" s="202">
        <v>6.6000000000000003E-2</v>
      </c>
      <c r="M24" s="203"/>
      <c r="N24" s="60"/>
      <c r="O24" s="60"/>
      <c r="P24" s="60"/>
      <c r="Q24" s="60"/>
      <c r="R24" s="57"/>
      <c r="S24" s="111"/>
      <c r="T24" s="111"/>
      <c r="U24" s="111"/>
      <c r="V24" s="111"/>
      <c r="W24" s="111"/>
      <c r="X24" s="111"/>
    </row>
    <row r="25" spans="1:24" x14ac:dyDescent="0.2">
      <c r="A25" s="46"/>
      <c r="B25" s="5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57"/>
      <c r="S25" s="111"/>
      <c r="T25" s="111"/>
      <c r="U25" s="111"/>
      <c r="V25" s="111"/>
      <c r="W25" s="111"/>
      <c r="X25" s="111"/>
    </row>
    <row r="26" spans="1:24" x14ac:dyDescent="0.2">
      <c r="A26" s="46"/>
      <c r="B26" s="53"/>
      <c r="C26" s="84" t="s">
        <v>19</v>
      </c>
      <c r="D26" s="171"/>
      <c r="E26" s="83"/>
      <c r="F26" s="82">
        <f>$L$22+1</f>
        <v>2020</v>
      </c>
      <c r="G26" s="120">
        <f>$L$22+2</f>
        <v>2021</v>
      </c>
      <c r="H26" s="82">
        <f>$L$22+3</f>
        <v>2022</v>
      </c>
      <c r="I26" s="82">
        <f>$L$22+4</f>
        <v>2023</v>
      </c>
      <c r="J26" s="82">
        <f>$L$22+5</f>
        <v>2024</v>
      </c>
      <c r="K26" s="82">
        <f>$L$22+6</f>
        <v>2025</v>
      </c>
      <c r="L26" s="82">
        <f>$L$22+7</f>
        <v>2026</v>
      </c>
      <c r="M26" s="82">
        <f>$L$22+8</f>
        <v>2027</v>
      </c>
      <c r="N26" s="82">
        <f>$L$22+9</f>
        <v>2028</v>
      </c>
      <c r="O26" s="82">
        <f>$L$22+10</f>
        <v>2029</v>
      </c>
      <c r="P26" s="60"/>
      <c r="Q26" s="60"/>
      <c r="R26" s="57"/>
      <c r="S26" s="111"/>
      <c r="T26" s="111"/>
      <c r="U26" s="111"/>
      <c r="V26" s="111"/>
      <c r="W26" s="111"/>
      <c r="X26" s="111"/>
    </row>
    <row r="27" spans="1:24" x14ac:dyDescent="0.2">
      <c r="A27" s="46"/>
      <c r="B27" s="53"/>
      <c r="C27" s="196" t="str">
        <f>LEFT(C12,FIND("(",C12)-1)&amp;"(Projected)"</f>
        <v>Operating Cash Flow (Projected)</v>
      </c>
      <c r="D27" s="197"/>
      <c r="E27" s="198"/>
      <c r="F27" s="89">
        <f>(G12)*(1+F18)</f>
        <v>3381.25</v>
      </c>
      <c r="G27" s="89">
        <f>($F27)*(1+$F$18)</f>
        <v>4226.5625</v>
      </c>
      <c r="H27" s="89">
        <f>(G$27)*(1+$F$18)</f>
        <v>5283.203125</v>
      </c>
      <c r="I27" s="89">
        <f>(H$27)*(1+$F$18)</f>
        <v>6604.00390625</v>
      </c>
      <c r="J27" s="89">
        <f>(I$27)*(1+$F$18)</f>
        <v>8255.0048828125</v>
      </c>
      <c r="K27" s="89">
        <f>(J$27)*(1+$F$20)</f>
        <v>9493.255615234375</v>
      </c>
      <c r="L27" s="89">
        <f>(K$27)*(1+$F$20)</f>
        <v>10917.243957519531</v>
      </c>
      <c r="M27" s="89">
        <f>(L$27)*(1+$F$20)</f>
        <v>12554.830551147459</v>
      </c>
      <c r="N27" s="89">
        <f>(M$27)*(1+$F$20)</f>
        <v>14438.055133819576</v>
      </c>
      <c r="O27" s="89">
        <f>(N$27)*(1+$F$20)</f>
        <v>16603.76340389251</v>
      </c>
      <c r="P27" s="60"/>
      <c r="Q27" s="60"/>
      <c r="R27" s="57"/>
      <c r="S27" s="111"/>
      <c r="T27" s="111"/>
      <c r="U27" s="111"/>
      <c r="V27" s="111"/>
      <c r="W27" s="111"/>
      <c r="X27" s="111"/>
    </row>
    <row r="28" spans="1:24" x14ac:dyDescent="0.2">
      <c r="A28" s="46"/>
      <c r="B28" s="53"/>
      <c r="C28" s="86" t="s">
        <v>21</v>
      </c>
      <c r="D28" s="172"/>
      <c r="E28" s="85"/>
      <c r="F28" s="90">
        <f>1/(1+$L$24)</f>
        <v>0.9380863039399624</v>
      </c>
      <c r="G28" s="90">
        <f>F$28/(1+$L$24)</f>
        <v>0.88000591363973957</v>
      </c>
      <c r="H28" s="90">
        <f t="shared" ref="H28:O28" si="0">G$28/(1+$L$24)</f>
        <v>0.82552149497161309</v>
      </c>
      <c r="I28" s="90">
        <f t="shared" si="0"/>
        <v>0.77441040804091277</v>
      </c>
      <c r="J28" s="90">
        <f t="shared" si="0"/>
        <v>0.72646379741173805</v>
      </c>
      <c r="K28" s="90">
        <f t="shared" si="0"/>
        <v>0.68148573866016704</v>
      </c>
      <c r="L28" s="90">
        <f t="shared" si="0"/>
        <v>0.63929243776751121</v>
      </c>
      <c r="M28" s="90">
        <f t="shared" si="0"/>
        <v>0.59971148008209307</v>
      </c>
      <c r="N28" s="90">
        <f t="shared" si="0"/>
        <v>0.56258112578057506</v>
      </c>
      <c r="O28" s="90">
        <f t="shared" si="0"/>
        <v>0.52774964894988274</v>
      </c>
      <c r="P28" s="60"/>
      <c r="Q28" s="60"/>
      <c r="R28" s="57"/>
      <c r="S28" s="111"/>
      <c r="T28" s="111"/>
      <c r="U28" s="111"/>
      <c r="V28" s="111"/>
      <c r="W28" s="111"/>
      <c r="X28" s="111"/>
    </row>
    <row r="29" spans="1:24" x14ac:dyDescent="0.2">
      <c r="A29" s="46"/>
      <c r="B29" s="53"/>
      <c r="C29" s="87" t="s">
        <v>22</v>
      </c>
      <c r="D29" s="173"/>
      <c r="E29" s="88"/>
      <c r="F29" s="91">
        <f>F27*F28</f>
        <v>3171.9043151969977</v>
      </c>
      <c r="G29" s="91">
        <f t="shared" ref="G29:O29" si="1">G27*G28</f>
        <v>3719.3999943679619</v>
      </c>
      <c r="H29" s="91">
        <f t="shared" si="1"/>
        <v>4361.3977419886978</v>
      </c>
      <c r="I29" s="91">
        <f t="shared" si="1"/>
        <v>5114.2093597428448</v>
      </c>
      <c r="J29" s="91">
        <f t="shared" si="1"/>
        <v>5996.9621948204085</v>
      </c>
      <c r="K29" s="91">
        <f t="shared" si="1"/>
        <v>6469.5183152377767</v>
      </c>
      <c r="L29" s="91">
        <f t="shared" si="1"/>
        <v>6979.3115033052927</v>
      </c>
      <c r="M29" s="91">
        <f t="shared" si="1"/>
        <v>7529.2760120085231</v>
      </c>
      <c r="N29" s="91">
        <f t="shared" si="1"/>
        <v>8122.5773112662291</v>
      </c>
      <c r="O29" s="91">
        <f t="shared" si="1"/>
        <v>8762.6303076511831</v>
      </c>
      <c r="P29" s="60"/>
      <c r="Q29" s="60"/>
      <c r="R29" s="57"/>
      <c r="S29" s="111"/>
      <c r="T29" s="111"/>
      <c r="U29" s="111"/>
      <c r="V29" s="111"/>
      <c r="W29" s="111"/>
      <c r="X29" s="111"/>
    </row>
    <row r="30" spans="1:24" x14ac:dyDescent="0.2">
      <c r="A30" s="46"/>
      <c r="B30" s="53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57"/>
      <c r="S30" s="111"/>
      <c r="T30" s="111"/>
      <c r="U30" s="111"/>
      <c r="V30" s="111"/>
      <c r="W30" s="111"/>
      <c r="X30" s="111"/>
    </row>
    <row r="31" spans="1:24" x14ac:dyDescent="0.2">
      <c r="A31" s="46"/>
      <c r="B31" s="53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57"/>
      <c r="S31" s="111"/>
      <c r="T31" s="111"/>
      <c r="U31" s="111"/>
      <c r="V31" s="111"/>
      <c r="W31" s="111"/>
      <c r="X31" s="111"/>
    </row>
    <row r="32" spans="1:24" x14ac:dyDescent="0.2">
      <c r="A32" s="46"/>
      <c r="B32" s="53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57"/>
      <c r="S32" s="111"/>
      <c r="T32" s="111"/>
      <c r="U32" s="111"/>
      <c r="V32" s="111"/>
      <c r="W32" s="111"/>
      <c r="X32" s="111"/>
    </row>
    <row r="33" spans="1:24" x14ac:dyDescent="0.2">
      <c r="A33" s="46"/>
      <c r="B33" s="53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57"/>
      <c r="S33" s="111"/>
      <c r="T33" s="111"/>
      <c r="U33" s="111"/>
      <c r="V33" s="111"/>
      <c r="W33" s="111"/>
      <c r="X33" s="111"/>
    </row>
    <row r="34" spans="1:24" x14ac:dyDescent="0.2">
      <c r="A34" s="46"/>
      <c r="B34" s="53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57"/>
      <c r="S34" s="111"/>
      <c r="T34" s="111"/>
      <c r="U34" s="111"/>
      <c r="V34" s="111"/>
      <c r="W34" s="111"/>
      <c r="X34" s="111"/>
    </row>
    <row r="35" spans="1:24" x14ac:dyDescent="0.2">
      <c r="A35" s="46"/>
      <c r="B35" s="53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57"/>
      <c r="S35" s="111"/>
      <c r="T35" s="111"/>
      <c r="U35" s="111"/>
      <c r="V35" s="111"/>
      <c r="W35" s="111"/>
      <c r="X35" s="111"/>
    </row>
    <row r="36" spans="1:24" x14ac:dyDescent="0.2">
      <c r="A36" s="46"/>
      <c r="B36" s="53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57"/>
      <c r="S36" s="111"/>
      <c r="T36" s="111"/>
      <c r="U36" s="111"/>
      <c r="V36" s="111"/>
      <c r="W36" s="111"/>
      <c r="X36" s="111"/>
    </row>
    <row r="37" spans="1:24" x14ac:dyDescent="0.2">
      <c r="A37" s="46"/>
      <c r="B37" s="53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57"/>
      <c r="S37" s="111"/>
      <c r="T37" s="111"/>
      <c r="U37" s="111"/>
      <c r="V37" s="111"/>
      <c r="W37" s="111"/>
      <c r="X37" s="111"/>
    </row>
    <row r="38" spans="1:24" x14ac:dyDescent="0.2">
      <c r="A38" s="46"/>
      <c r="B38" s="53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57"/>
      <c r="S38" s="111"/>
      <c r="T38" s="111"/>
      <c r="U38" s="111"/>
      <c r="V38" s="111"/>
      <c r="W38" s="111"/>
      <c r="X38" s="111"/>
    </row>
    <row r="39" spans="1:24" x14ac:dyDescent="0.2">
      <c r="A39" s="46"/>
      <c r="B39" s="53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57"/>
      <c r="S39" s="111"/>
      <c r="T39" s="111"/>
      <c r="U39" s="111"/>
      <c r="V39" s="111"/>
      <c r="W39" s="111"/>
      <c r="X39" s="111"/>
    </row>
    <row r="40" spans="1:24" x14ac:dyDescent="0.2">
      <c r="A40" s="46"/>
      <c r="B40" s="53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57"/>
      <c r="S40" s="111"/>
      <c r="T40" s="111"/>
      <c r="U40" s="111"/>
      <c r="V40" s="111"/>
      <c r="W40" s="111"/>
      <c r="X40" s="111"/>
    </row>
    <row r="41" spans="1:24" x14ac:dyDescent="0.2">
      <c r="A41" s="46"/>
      <c r="B41" s="53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57"/>
      <c r="S41" s="111"/>
      <c r="T41" s="111"/>
      <c r="U41" s="111"/>
      <c r="V41" s="111"/>
      <c r="W41" s="111"/>
      <c r="X41" s="111"/>
    </row>
    <row r="42" spans="1:24" x14ac:dyDescent="0.2">
      <c r="A42" s="46"/>
      <c r="B42" s="53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57"/>
      <c r="S42" s="111"/>
      <c r="T42" s="111"/>
      <c r="U42" s="111"/>
      <c r="V42" s="111"/>
      <c r="W42" s="111"/>
      <c r="X42" s="111"/>
    </row>
    <row r="43" spans="1:24" x14ac:dyDescent="0.2">
      <c r="A43" s="46"/>
      <c r="B43" s="53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7"/>
      <c r="S43" s="111"/>
      <c r="T43" s="111"/>
      <c r="U43" s="111"/>
      <c r="V43" s="111"/>
      <c r="W43" s="111"/>
      <c r="X43" s="111"/>
    </row>
    <row r="44" spans="1:24" x14ac:dyDescent="0.2">
      <c r="A44" s="46"/>
      <c r="B44" s="53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57"/>
      <c r="S44" s="111"/>
      <c r="T44" s="111"/>
      <c r="U44" s="111"/>
      <c r="V44" s="111"/>
      <c r="W44" s="111"/>
      <c r="X44" s="111"/>
    </row>
    <row r="45" spans="1:24" ht="13.5" thickBot="1" x14ac:dyDescent="0.25">
      <c r="A45" s="46"/>
      <c r="B45" s="53"/>
      <c r="C45" s="60"/>
      <c r="D45" s="60"/>
      <c r="E45" s="60"/>
      <c r="F45" s="60"/>
      <c r="G45" s="60"/>
      <c r="H45" s="60"/>
      <c r="I45" s="66"/>
      <c r="J45" s="60"/>
      <c r="K45" s="60"/>
      <c r="L45" s="60"/>
      <c r="M45" s="60"/>
      <c r="N45" s="60"/>
      <c r="O45" s="60"/>
      <c r="P45" s="60"/>
      <c r="Q45" s="60"/>
      <c r="R45" s="57"/>
      <c r="S45" s="111"/>
      <c r="T45" s="111"/>
      <c r="U45" s="111"/>
      <c r="V45" s="111"/>
      <c r="W45" s="111"/>
      <c r="X45" s="111"/>
    </row>
    <row r="46" spans="1:24" x14ac:dyDescent="0.2">
      <c r="A46" s="46"/>
      <c r="B46" s="53"/>
      <c r="C46" s="60"/>
      <c r="D46" s="60"/>
      <c r="E46" s="60"/>
      <c r="F46" s="60"/>
      <c r="G46" s="60"/>
      <c r="H46" s="60"/>
      <c r="I46" s="46"/>
      <c r="J46" s="60"/>
      <c r="K46" s="60"/>
      <c r="L46" s="60"/>
      <c r="M46" s="60"/>
      <c r="N46" s="60"/>
      <c r="O46" s="60"/>
      <c r="P46" s="60"/>
      <c r="Q46" s="60"/>
      <c r="R46" s="57"/>
      <c r="S46" s="111"/>
      <c r="T46" s="111"/>
      <c r="U46" s="111"/>
      <c r="V46" s="111"/>
      <c r="W46" s="111"/>
      <c r="X46" s="111"/>
    </row>
    <row r="47" spans="1:24" ht="13.5" thickBot="1" x14ac:dyDescent="0.25">
      <c r="A47" s="46"/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7"/>
      <c r="S47" s="111"/>
      <c r="T47" s="111"/>
      <c r="U47" s="111"/>
      <c r="V47" s="111"/>
      <c r="W47" s="111"/>
      <c r="X47" s="111"/>
    </row>
    <row r="48" spans="1:24" x14ac:dyDescent="0.2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111"/>
      <c r="T48" s="111"/>
      <c r="U48" s="111"/>
      <c r="V48" s="111"/>
      <c r="W48" s="111"/>
      <c r="X48" s="111"/>
    </row>
    <row r="49" spans="1:24" ht="15" x14ac:dyDescent="0.2">
      <c r="A49" s="97"/>
      <c r="B49" s="97"/>
      <c r="C49" s="98" t="s">
        <v>65</v>
      </c>
      <c r="D49" s="98"/>
      <c r="E49" s="98"/>
      <c r="F49" s="99"/>
      <c r="G49" s="99"/>
      <c r="H49" s="99"/>
      <c r="I49" s="156"/>
      <c r="J49" s="98" t="s">
        <v>66</v>
      </c>
      <c r="K49" s="99"/>
      <c r="L49" s="99"/>
      <c r="M49" s="99"/>
      <c r="N49" s="99"/>
      <c r="O49" s="97"/>
      <c r="P49" s="97"/>
      <c r="Q49" s="97"/>
      <c r="R49" s="97"/>
      <c r="S49" s="111"/>
      <c r="T49" s="111"/>
      <c r="U49" s="111"/>
      <c r="V49" s="111"/>
      <c r="W49" s="111"/>
      <c r="X49" s="111"/>
    </row>
    <row r="50" spans="1:24" ht="15.75" thickBot="1" x14ac:dyDescent="0.25">
      <c r="A50" s="97"/>
      <c r="B50" s="97"/>
      <c r="C50" s="184"/>
      <c r="D50" s="169"/>
      <c r="E50" s="170"/>
      <c r="F50" s="99"/>
      <c r="G50" s="99"/>
      <c r="H50" s="99"/>
      <c r="I50" s="156"/>
      <c r="J50" s="170"/>
      <c r="K50" s="170"/>
      <c r="L50" s="99"/>
      <c r="M50" s="99"/>
      <c r="N50" s="99"/>
      <c r="O50" s="97"/>
      <c r="P50" s="97"/>
      <c r="Q50" s="97"/>
      <c r="R50" s="97"/>
      <c r="S50" s="111"/>
      <c r="T50" s="111"/>
      <c r="U50" s="111"/>
      <c r="V50" s="111"/>
      <c r="W50" s="111"/>
      <c r="X50" s="111"/>
    </row>
    <row r="51" spans="1:24" ht="15.75" thickBot="1" x14ac:dyDescent="0.25">
      <c r="A51" s="97"/>
      <c r="B51" s="97"/>
      <c r="C51" s="157" t="s">
        <v>49</v>
      </c>
      <c r="D51" s="158"/>
      <c r="E51" s="157" t="s">
        <v>50</v>
      </c>
      <c r="F51" s="159"/>
      <c r="G51" s="99"/>
      <c r="H51" s="99"/>
      <c r="I51" s="156"/>
      <c r="J51" s="157" t="s">
        <v>49</v>
      </c>
      <c r="K51" s="158"/>
      <c r="L51" s="158" t="s">
        <v>50</v>
      </c>
      <c r="M51" s="159"/>
      <c r="N51" s="99"/>
      <c r="O51" s="99"/>
      <c r="P51" s="99"/>
      <c r="Q51" s="97"/>
      <c r="R51" s="97"/>
      <c r="S51" s="111"/>
      <c r="T51" s="111"/>
      <c r="U51" s="111"/>
      <c r="V51" s="111"/>
      <c r="W51" s="111"/>
      <c r="X51" s="111"/>
    </row>
    <row r="52" spans="1:24" ht="15" x14ac:dyDescent="0.2">
      <c r="A52" s="97"/>
      <c r="B52" s="97"/>
      <c r="C52" s="100" t="s">
        <v>48</v>
      </c>
      <c r="D52" s="174"/>
      <c r="E52" s="167">
        <f>E62+0.8*E63</f>
        <v>4.6400000000000011E-2</v>
      </c>
      <c r="F52" s="102"/>
      <c r="G52" s="99"/>
      <c r="H52" s="99"/>
      <c r="I52" s="156"/>
      <c r="J52" s="100" t="s">
        <v>48</v>
      </c>
      <c r="K52" s="101"/>
      <c r="L52" s="162">
        <f>L62+0.8*L63</f>
        <v>5.8800000000000005E-2</v>
      </c>
      <c r="M52" s="102"/>
      <c r="N52" s="99"/>
      <c r="O52" s="99"/>
      <c r="P52" s="99"/>
      <c r="Q52" s="97"/>
      <c r="R52" s="97"/>
      <c r="S52" s="111"/>
      <c r="T52" s="111"/>
      <c r="U52" s="111"/>
      <c r="V52" s="111"/>
      <c r="W52" s="111"/>
      <c r="X52" s="111"/>
    </row>
    <row r="53" spans="1:24" ht="15" x14ac:dyDescent="0.2">
      <c r="A53" s="97"/>
      <c r="B53" s="97"/>
      <c r="C53" s="103">
        <v>1</v>
      </c>
      <c r="D53" s="175"/>
      <c r="E53" s="168">
        <f>E62+C53*E63</f>
        <v>5.6400000000000006E-2</v>
      </c>
      <c r="F53" s="105"/>
      <c r="G53" s="99"/>
      <c r="H53" s="99"/>
      <c r="I53" s="156"/>
      <c r="J53" s="103">
        <v>1</v>
      </c>
      <c r="K53" s="104"/>
      <c r="L53" s="164">
        <f>L62+J53*L63</f>
        <v>7.2000000000000008E-2</v>
      </c>
      <c r="M53" s="105"/>
      <c r="N53" s="99"/>
      <c r="O53" s="99"/>
      <c r="P53" s="99"/>
      <c r="Q53" s="97"/>
      <c r="R53" s="97"/>
      <c r="S53" s="111"/>
      <c r="T53" s="111"/>
      <c r="U53" s="111"/>
      <c r="V53" s="111"/>
      <c r="W53" s="111"/>
      <c r="X53" s="111"/>
    </row>
    <row r="54" spans="1:24" ht="15" x14ac:dyDescent="0.2">
      <c r="A54" s="97"/>
      <c r="B54" s="97"/>
      <c r="C54" s="103">
        <v>1.1000000000000001</v>
      </c>
      <c r="D54" s="175"/>
      <c r="E54" s="168">
        <f>E62+C54*E63</f>
        <v>6.140000000000001E-2</v>
      </c>
      <c r="F54" s="105"/>
      <c r="G54" s="99"/>
      <c r="H54" s="99"/>
      <c r="I54" s="156"/>
      <c r="J54" s="103">
        <v>1.1000000000000001</v>
      </c>
      <c r="K54" s="104"/>
      <c r="L54" s="163">
        <f>L62+J54*L63</f>
        <v>7.8600000000000017E-2</v>
      </c>
      <c r="M54" s="105"/>
      <c r="N54" s="99"/>
      <c r="O54" s="99"/>
      <c r="P54" s="99"/>
      <c r="Q54" s="97"/>
      <c r="R54" s="97"/>
      <c r="S54" s="111"/>
      <c r="T54" s="111"/>
      <c r="U54" s="111"/>
      <c r="V54" s="111"/>
      <c r="W54" s="111"/>
      <c r="X54" s="111"/>
    </row>
    <row r="55" spans="1:24" ht="15" x14ac:dyDescent="0.2">
      <c r="A55" s="97"/>
      <c r="B55" s="97"/>
      <c r="C55" s="103">
        <v>1.2</v>
      </c>
      <c r="D55" s="175"/>
      <c r="E55" s="168">
        <f>E62+C55*E63</f>
        <v>6.6400000000000001E-2</v>
      </c>
      <c r="F55" s="105"/>
      <c r="G55" s="99"/>
      <c r="H55" s="99"/>
      <c r="I55" s="156"/>
      <c r="J55" s="103">
        <v>1.2</v>
      </c>
      <c r="K55" s="104"/>
      <c r="L55" s="164">
        <f>L62+J55*L63</f>
        <v>8.5200000000000012E-2</v>
      </c>
      <c r="M55" s="105"/>
      <c r="N55" s="99"/>
      <c r="O55" s="99"/>
      <c r="P55" s="99"/>
      <c r="Q55" s="97"/>
      <c r="R55" s="97"/>
      <c r="S55" s="111"/>
      <c r="T55" s="111"/>
      <c r="U55" s="111"/>
      <c r="V55" s="111"/>
      <c r="W55" s="111"/>
      <c r="X55" s="111"/>
    </row>
    <row r="56" spans="1:24" ht="15" x14ac:dyDescent="0.2">
      <c r="A56" s="97"/>
      <c r="B56" s="97"/>
      <c r="C56" s="103">
        <v>1.3</v>
      </c>
      <c r="D56" s="175"/>
      <c r="E56" s="168">
        <f>E62+C56*E63</f>
        <v>7.1400000000000005E-2</v>
      </c>
      <c r="F56" s="105"/>
      <c r="G56" s="99"/>
      <c r="H56" s="99"/>
      <c r="I56" s="156"/>
      <c r="J56" s="103">
        <v>1.3</v>
      </c>
      <c r="K56" s="104"/>
      <c r="L56" s="163">
        <f>L62+J56*L63</f>
        <v>9.1800000000000007E-2</v>
      </c>
      <c r="M56" s="105"/>
      <c r="N56" s="99"/>
      <c r="O56" s="99"/>
      <c r="P56" s="99"/>
      <c r="Q56" s="97"/>
      <c r="R56" s="97"/>
      <c r="S56" s="111"/>
      <c r="T56" s="111"/>
      <c r="U56" s="111"/>
      <c r="V56" s="111"/>
      <c r="W56" s="111"/>
      <c r="X56" s="111"/>
    </row>
    <row r="57" spans="1:24" ht="15" x14ac:dyDescent="0.2">
      <c r="A57" s="97"/>
      <c r="B57" s="97"/>
      <c r="C57" s="103">
        <v>1.4</v>
      </c>
      <c r="D57" s="175"/>
      <c r="E57" s="168">
        <f>E62+C57*E63</f>
        <v>7.6399999999999996E-2</v>
      </c>
      <c r="F57" s="105"/>
      <c r="G57" s="99"/>
      <c r="H57" s="99"/>
      <c r="I57" s="156"/>
      <c r="J57" s="103">
        <v>1.4</v>
      </c>
      <c r="K57" s="104"/>
      <c r="L57" s="164">
        <f>L62+J57*L63</f>
        <v>9.8400000000000001E-2</v>
      </c>
      <c r="M57" s="105"/>
      <c r="N57" s="99"/>
      <c r="O57" s="99"/>
      <c r="P57" s="99"/>
      <c r="Q57" s="97"/>
      <c r="R57" s="97"/>
      <c r="S57" s="111"/>
      <c r="T57" s="111"/>
      <c r="U57" s="111"/>
      <c r="V57" s="111"/>
      <c r="W57" s="111"/>
      <c r="X57" s="111"/>
    </row>
    <row r="58" spans="1:24" ht="15" x14ac:dyDescent="0.2">
      <c r="A58" s="97"/>
      <c r="B58" s="97"/>
      <c r="C58" s="103">
        <v>1.5</v>
      </c>
      <c r="D58" s="175"/>
      <c r="E58" s="168">
        <f>E62+C58*E63</f>
        <v>8.1400000000000014E-2</v>
      </c>
      <c r="F58" s="105"/>
      <c r="G58" s="99"/>
      <c r="H58" s="99"/>
      <c r="I58" s="156"/>
      <c r="J58" s="103">
        <v>1.5</v>
      </c>
      <c r="K58" s="104"/>
      <c r="L58" s="163">
        <f>L62+J58*L63</f>
        <v>0.10500000000000001</v>
      </c>
      <c r="M58" s="105"/>
      <c r="N58" s="99"/>
      <c r="O58" s="99"/>
      <c r="P58" s="99"/>
      <c r="Q58" s="97"/>
      <c r="R58" s="97"/>
      <c r="S58" s="111"/>
      <c r="T58" s="111"/>
      <c r="U58" s="111"/>
      <c r="V58" s="111"/>
      <c r="W58" s="111"/>
      <c r="X58" s="111"/>
    </row>
    <row r="59" spans="1:24" ht="15.75" thickBot="1" x14ac:dyDescent="0.25">
      <c r="A59" s="97"/>
      <c r="B59" s="97"/>
      <c r="C59" s="106" t="s">
        <v>51</v>
      </c>
      <c r="D59" s="176"/>
      <c r="E59" s="165">
        <f>E62+1.6*E63</f>
        <v>8.6400000000000018E-2</v>
      </c>
      <c r="F59" s="109"/>
      <c r="G59" s="99"/>
      <c r="H59" s="99"/>
      <c r="I59" s="156"/>
      <c r="J59" s="106" t="s">
        <v>51</v>
      </c>
      <c r="K59" s="107"/>
      <c r="L59" s="108">
        <f>L62+1.6*L63</f>
        <v>0.11160000000000002</v>
      </c>
      <c r="M59" s="109"/>
      <c r="N59" s="99"/>
      <c r="O59" s="99"/>
      <c r="P59" s="99"/>
      <c r="Q59" s="97"/>
      <c r="R59" s="97"/>
      <c r="S59" s="111"/>
      <c r="T59" s="111"/>
      <c r="U59" s="111"/>
      <c r="V59" s="111"/>
      <c r="W59" s="111"/>
      <c r="X59" s="111"/>
    </row>
    <row r="60" spans="1:24" ht="15" x14ac:dyDescent="0.2">
      <c r="A60" s="97"/>
      <c r="B60" s="97"/>
      <c r="C60" s="98"/>
      <c r="D60" s="98"/>
      <c r="E60" s="98"/>
      <c r="F60" s="98"/>
      <c r="G60" s="99"/>
      <c r="H60" s="99"/>
      <c r="I60" s="156"/>
      <c r="J60" s="99"/>
      <c r="K60" s="99"/>
      <c r="L60" s="99"/>
      <c r="M60" s="99"/>
      <c r="N60" s="99"/>
      <c r="O60" s="99"/>
      <c r="P60" s="99"/>
      <c r="Q60" s="97"/>
      <c r="R60" s="97"/>
      <c r="S60" s="111"/>
      <c r="T60" s="111"/>
      <c r="U60" s="111"/>
      <c r="V60" s="111"/>
      <c r="W60" s="111"/>
      <c r="X60" s="111"/>
    </row>
    <row r="61" spans="1:24" s="70" customFormat="1" ht="20.100000000000001" customHeight="1" x14ac:dyDescent="0.2">
      <c r="A61" s="191"/>
      <c r="B61" s="192" t="s">
        <v>67</v>
      </c>
      <c r="C61" s="191"/>
      <c r="D61" s="193"/>
      <c r="E61" s="193"/>
      <c r="F61" s="193"/>
      <c r="G61" s="194"/>
      <c r="H61" s="194"/>
      <c r="I61" s="192" t="s">
        <v>67</v>
      </c>
      <c r="J61" s="191"/>
      <c r="K61" s="194"/>
      <c r="L61" s="194"/>
      <c r="M61" s="194"/>
      <c r="N61" s="194"/>
      <c r="O61" s="194"/>
      <c r="P61" s="194"/>
      <c r="Q61" s="191"/>
      <c r="R61" s="191"/>
      <c r="S61" s="195"/>
      <c r="T61" s="195"/>
      <c r="U61" s="195"/>
      <c r="V61" s="195"/>
      <c r="W61" s="195"/>
      <c r="X61" s="195"/>
    </row>
    <row r="62" spans="1:24" s="189" customFormat="1" ht="20.100000000000001" customHeight="1" x14ac:dyDescent="0.2">
      <c r="A62" s="185"/>
      <c r="B62" s="185"/>
      <c r="C62" s="185"/>
      <c r="D62" s="190" t="s">
        <v>73</v>
      </c>
      <c r="E62" s="186">
        <v>6.4000000000000003E-3</v>
      </c>
      <c r="F62" s="187"/>
      <c r="G62" s="187"/>
      <c r="H62" s="187"/>
      <c r="I62" s="187"/>
      <c r="J62" s="185"/>
      <c r="K62" s="190" t="s">
        <v>73</v>
      </c>
      <c r="L62" s="186">
        <v>6.0000000000000001E-3</v>
      </c>
      <c r="M62" s="187"/>
      <c r="N62" s="187"/>
      <c r="O62" s="187"/>
      <c r="P62" s="187"/>
      <c r="Q62" s="185"/>
      <c r="R62" s="185"/>
      <c r="S62" s="188"/>
      <c r="T62" s="188"/>
      <c r="U62" s="188"/>
      <c r="V62" s="188"/>
      <c r="W62" s="188"/>
      <c r="X62" s="188"/>
    </row>
    <row r="63" spans="1:24" s="189" customFormat="1" ht="20.100000000000001" customHeight="1" x14ac:dyDescent="0.2">
      <c r="A63" s="185"/>
      <c r="B63" s="185"/>
      <c r="C63" s="185"/>
      <c r="D63" s="190" t="s">
        <v>68</v>
      </c>
      <c r="E63" s="186">
        <v>0.05</v>
      </c>
      <c r="F63" s="187"/>
      <c r="G63" s="187"/>
      <c r="H63" s="187"/>
      <c r="I63" s="187"/>
      <c r="J63" s="185"/>
      <c r="K63" s="190" t="s">
        <v>68</v>
      </c>
      <c r="L63" s="186">
        <v>6.6000000000000003E-2</v>
      </c>
      <c r="M63" s="187"/>
      <c r="N63" s="187"/>
      <c r="O63" s="187"/>
      <c r="P63" s="187"/>
      <c r="Q63" s="185"/>
      <c r="R63" s="185"/>
      <c r="S63" s="188"/>
      <c r="T63" s="188"/>
      <c r="U63" s="188"/>
      <c r="V63" s="188"/>
      <c r="W63" s="188"/>
      <c r="X63" s="188"/>
    </row>
    <row r="64" spans="1:24" ht="15" x14ac:dyDescent="0.2">
      <c r="A64" s="97"/>
      <c r="B64" s="97"/>
      <c r="C64" s="98"/>
      <c r="D64" s="98"/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7"/>
      <c r="R64" s="97"/>
      <c r="S64" s="111"/>
      <c r="T64" s="111"/>
      <c r="U64" s="111"/>
      <c r="V64" s="111"/>
      <c r="W64" s="111"/>
      <c r="X64" s="111"/>
    </row>
    <row r="65" spans="1:24" ht="15" x14ac:dyDescent="0.2">
      <c r="A65" s="97"/>
      <c r="B65" s="97"/>
      <c r="C65" s="98" t="s">
        <v>69</v>
      </c>
      <c r="D65" s="98"/>
      <c r="E65" s="98"/>
      <c r="F65" s="99"/>
      <c r="G65" s="99"/>
      <c r="H65" s="99"/>
      <c r="I65" s="99"/>
      <c r="J65" s="98" t="s">
        <v>69</v>
      </c>
      <c r="K65" s="99"/>
      <c r="L65" s="99"/>
      <c r="M65" s="99"/>
      <c r="N65" s="99"/>
      <c r="O65" s="99"/>
      <c r="P65" s="99"/>
      <c r="Q65" s="97"/>
      <c r="R65" s="97"/>
      <c r="S65" s="111"/>
      <c r="T65" s="111"/>
      <c r="U65" s="111"/>
      <c r="V65" s="111"/>
      <c r="W65" s="111"/>
      <c r="X65" s="111"/>
    </row>
    <row r="66" spans="1:24" ht="15" x14ac:dyDescent="0.2">
      <c r="A66" s="97"/>
      <c r="B66" s="97"/>
      <c r="C66" s="166" t="s">
        <v>70</v>
      </c>
      <c r="D66" s="166"/>
      <c r="E66" s="98"/>
      <c r="F66" s="99"/>
      <c r="G66" s="99"/>
      <c r="H66" s="99"/>
      <c r="I66" s="99"/>
      <c r="J66" s="166" t="s">
        <v>71</v>
      </c>
      <c r="K66" s="99"/>
      <c r="L66" s="99"/>
      <c r="M66" s="99"/>
      <c r="N66" s="99"/>
      <c r="O66" s="99"/>
      <c r="P66" s="99"/>
      <c r="Q66" s="97"/>
      <c r="R66" s="97"/>
      <c r="S66" s="111"/>
      <c r="T66" s="111"/>
      <c r="U66" s="111"/>
      <c r="V66" s="111"/>
      <c r="W66" s="111"/>
      <c r="X66" s="111"/>
    </row>
    <row r="67" spans="1:24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111"/>
      <c r="T67" s="111"/>
      <c r="U67" s="111"/>
      <c r="V67" s="111"/>
      <c r="W67" s="111"/>
      <c r="X67" s="111"/>
    </row>
    <row r="68" spans="1:24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111"/>
      <c r="T68" s="111"/>
      <c r="U68" s="111"/>
      <c r="V68" s="111"/>
      <c r="W68" s="111"/>
      <c r="X68" s="111"/>
    </row>
    <row r="69" spans="1:24" ht="15" x14ac:dyDescent="0.2">
      <c r="A69" s="97"/>
      <c r="B69" s="97"/>
      <c r="C69" s="110" t="s">
        <v>5</v>
      </c>
      <c r="D69" s="110"/>
      <c r="E69" s="110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</row>
    <row r="70" spans="1:24" ht="15.75" thickBot="1" x14ac:dyDescent="0.25">
      <c r="A70" s="97"/>
      <c r="B70" s="97"/>
      <c r="C70" s="99"/>
      <c r="D70" s="99"/>
      <c r="E70" s="99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</row>
    <row r="71" spans="1:24" ht="15.75" thickBot="1" x14ac:dyDescent="0.25">
      <c r="A71" s="97"/>
      <c r="B71" s="97"/>
      <c r="C71" s="113" t="s">
        <v>6</v>
      </c>
      <c r="D71" s="177"/>
      <c r="E71" s="114" t="s">
        <v>7</v>
      </c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</row>
    <row r="72" spans="1:24" ht="15" x14ac:dyDescent="0.2">
      <c r="A72" s="97"/>
      <c r="B72" s="97"/>
      <c r="C72" s="181" t="s">
        <v>8</v>
      </c>
      <c r="D72" s="102"/>
      <c r="E72" s="115" t="s">
        <v>12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</row>
    <row r="73" spans="1:24" ht="15" x14ac:dyDescent="0.2">
      <c r="A73" s="97"/>
      <c r="B73" s="97"/>
      <c r="C73" s="182" t="s">
        <v>9</v>
      </c>
      <c r="D73" s="105"/>
      <c r="E73" s="116" t="s">
        <v>13</v>
      </c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</row>
    <row r="74" spans="1:24" ht="15" x14ac:dyDescent="0.2">
      <c r="A74" s="97"/>
      <c r="B74" s="97"/>
      <c r="C74" s="182" t="s">
        <v>10</v>
      </c>
      <c r="D74" s="105"/>
      <c r="E74" s="116" t="s">
        <v>14</v>
      </c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</row>
    <row r="75" spans="1:24" ht="15" x14ac:dyDescent="0.2">
      <c r="A75" s="97"/>
      <c r="B75" s="97"/>
      <c r="C75" s="182" t="s">
        <v>11</v>
      </c>
      <c r="D75" s="105"/>
      <c r="E75" s="116" t="s">
        <v>15</v>
      </c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</row>
    <row r="76" spans="1:24" ht="15" x14ac:dyDescent="0.2">
      <c r="A76" s="97"/>
      <c r="B76" s="97"/>
      <c r="C76" s="182" t="s">
        <v>16</v>
      </c>
      <c r="D76" s="105"/>
      <c r="E76" s="116" t="s">
        <v>18</v>
      </c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</row>
    <row r="77" spans="1:24" ht="15.75" thickBot="1" x14ac:dyDescent="0.25">
      <c r="A77" s="97"/>
      <c r="B77" s="97"/>
      <c r="C77" s="183" t="s">
        <v>17</v>
      </c>
      <c r="D77" s="109"/>
      <c r="E77" s="117" t="s">
        <v>56</v>
      </c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</row>
    <row r="78" spans="1:24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</row>
  </sheetData>
  <mergeCells count="21">
    <mergeCell ref="B2:R2"/>
    <mergeCell ref="B3:R3"/>
    <mergeCell ref="F18:H18"/>
    <mergeCell ref="F20:H20"/>
    <mergeCell ref="F24:H24"/>
    <mergeCell ref="G12:H12"/>
    <mergeCell ref="G14:H14"/>
    <mergeCell ref="G16:H16"/>
    <mergeCell ref="C27:E27"/>
    <mergeCell ref="C12:E12"/>
    <mergeCell ref="L24:M24"/>
    <mergeCell ref="L22:M22"/>
    <mergeCell ref="M8:N8"/>
    <mergeCell ref="M10:N10"/>
    <mergeCell ref="M12:N12"/>
    <mergeCell ref="M16:N16"/>
    <mergeCell ref="M14:N14"/>
    <mergeCell ref="M18:N18"/>
    <mergeCell ref="L20:M20"/>
    <mergeCell ref="F8:H8"/>
    <mergeCell ref="F10:H10"/>
  </mergeCells>
  <phoneticPr fontId="4" type="noConversion"/>
  <dataValidations count="2">
    <dataValidation type="list" allowBlank="1" showInputMessage="1" showErrorMessage="1" sqref="P6" xr:uid="{00000000-0002-0000-0000-000000000000}">
      <formula1>$E$72:$E$77</formula1>
    </dataValidation>
    <dataValidation type="list" allowBlank="1" showInputMessage="1" showErrorMessage="1" sqref="C12" xr:uid="{8B0669CD-BDBF-430F-982D-A0CAC40342C1}">
      <formula1>$AA$6:$AA$7</formula1>
    </dataValidation>
  </dataValidations>
  <hyperlinks>
    <hyperlink ref="C66" r:id="rId1" xr:uid="{6373955D-9D97-44A4-A0C3-3E584D37B2AF}"/>
    <hyperlink ref="J66" r:id="rId2" xr:uid="{2F443149-E928-49C6-B8A4-CCDB24D4A9DC}"/>
  </hyperlinks>
  <printOptions horizontalCentered="1" verticalCentered="1"/>
  <pageMargins left="0.25" right="0.25" top="0.75" bottom="0.5" header="0.5" footer="0.5"/>
  <pageSetup paperSize="9" orientation="portrait" horizontalDpi="4294967292" verticalDpi="4294967292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"/>
  <sheetViews>
    <sheetView zoomScale="85" zoomScaleNormal="85" zoomScaleSheetLayoutView="394" workbookViewId="0">
      <selection activeCell="T22" sqref="T22"/>
    </sheetView>
  </sheetViews>
  <sheetFormatPr defaultColWidth="8.625" defaultRowHeight="12.75" x14ac:dyDescent="0.2"/>
  <cols>
    <col min="1" max="1" width="1.125" style="127" customWidth="1"/>
    <col min="2" max="2" width="11.5" style="127" customWidth="1"/>
    <col min="3" max="8" width="12.625" style="127" customWidth="1"/>
    <col min="9" max="9" width="15.625" style="127" customWidth="1"/>
    <col min="10" max="16" width="12.625" style="127" customWidth="1"/>
    <col min="17" max="17" width="9.125" style="127" customWidth="1"/>
    <col min="18" max="18" width="3.125" style="127" customWidth="1"/>
    <col min="19" max="26" width="8.625" style="127"/>
    <col min="27" max="27" width="0" style="127" hidden="1" customWidth="1"/>
    <col min="28" max="16384" width="8.625" style="127"/>
  </cols>
  <sheetData>
    <row r="1" spans="1:27" ht="7.5" customHeight="1" thickBot="1" x14ac:dyDescent="0.35">
      <c r="A1" s="124"/>
      <c r="B1" s="124"/>
      <c r="C1" s="47"/>
      <c r="D1" s="47"/>
      <c r="E1" s="47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4"/>
      <c r="R1" s="124"/>
      <c r="S1" s="126"/>
      <c r="T1" s="126"/>
      <c r="U1" s="126"/>
      <c r="V1" s="126"/>
      <c r="W1" s="126"/>
      <c r="X1" s="126"/>
    </row>
    <row r="2" spans="1:27" ht="22.5" x14ac:dyDescent="0.3">
      <c r="A2" s="124"/>
      <c r="B2" s="218" t="s">
        <v>59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126"/>
      <c r="T2" s="126"/>
      <c r="U2" s="126"/>
      <c r="V2" s="126"/>
      <c r="W2" s="126"/>
      <c r="X2" s="126"/>
    </row>
    <row r="3" spans="1:27" x14ac:dyDescent="0.2">
      <c r="A3" s="124"/>
      <c r="B3" s="221" t="s">
        <v>30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3"/>
      <c r="S3" s="126"/>
      <c r="T3" s="126"/>
      <c r="U3" s="126"/>
      <c r="V3" s="126"/>
      <c r="W3" s="126"/>
      <c r="X3" s="126"/>
    </row>
    <row r="4" spans="1:27" ht="5.25" customHeight="1" thickBot="1" x14ac:dyDescent="0.25">
      <c r="A4" s="124"/>
      <c r="B4" s="128"/>
      <c r="C4" s="129"/>
      <c r="D4" s="129"/>
      <c r="E4" s="129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29"/>
      <c r="R4" s="131"/>
      <c r="S4" s="126"/>
      <c r="T4" s="126"/>
      <c r="U4" s="126"/>
      <c r="V4" s="126"/>
      <c r="W4" s="126"/>
      <c r="X4" s="126"/>
    </row>
    <row r="5" spans="1:27" ht="5.25" customHeight="1" thickBot="1" x14ac:dyDescent="0.25">
      <c r="A5" s="124"/>
      <c r="B5" s="132"/>
      <c r="C5" s="124"/>
      <c r="D5" s="124"/>
      <c r="E5" s="124"/>
      <c r="F5" s="54"/>
      <c r="G5" s="54"/>
      <c r="H5" s="54"/>
      <c r="I5" s="55"/>
      <c r="J5" s="55"/>
      <c r="K5" s="55"/>
      <c r="L5" s="55"/>
      <c r="M5" s="55"/>
      <c r="N5" s="55"/>
      <c r="O5" s="55"/>
      <c r="P5" s="55"/>
      <c r="Q5" s="56"/>
      <c r="R5" s="133"/>
      <c r="S5" s="126"/>
      <c r="T5" s="126"/>
      <c r="U5" s="126"/>
      <c r="V5" s="126"/>
      <c r="W5" s="126"/>
      <c r="X5" s="126"/>
    </row>
    <row r="6" spans="1:27" ht="18.75" thickBot="1" x14ac:dyDescent="0.3">
      <c r="A6" s="124"/>
      <c r="B6" s="132"/>
      <c r="C6" s="58" t="s">
        <v>0</v>
      </c>
      <c r="D6" s="58"/>
      <c r="E6" s="58"/>
      <c r="F6" s="7"/>
      <c r="G6" s="7"/>
      <c r="H6" s="7"/>
      <c r="I6" s="134"/>
      <c r="J6" s="134"/>
      <c r="K6" s="134"/>
      <c r="L6" s="134"/>
      <c r="M6" s="134"/>
      <c r="N6" s="134"/>
      <c r="O6" s="119" t="s">
        <v>4</v>
      </c>
      <c r="P6" s="118" t="s">
        <v>13</v>
      </c>
      <c r="Q6" s="135"/>
      <c r="R6" s="133"/>
      <c r="S6" s="126"/>
      <c r="T6" s="126"/>
      <c r="U6" s="126"/>
      <c r="V6" s="126"/>
      <c r="W6" s="126"/>
      <c r="X6" s="126"/>
      <c r="AA6" s="127" t="s">
        <v>74</v>
      </c>
    </row>
    <row r="7" spans="1:27" ht="15.75" thickBot="1" x14ac:dyDescent="0.25">
      <c r="A7" s="124"/>
      <c r="B7" s="132"/>
      <c r="C7" s="61"/>
      <c r="D7" s="61"/>
      <c r="E7" s="61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R7" s="133"/>
      <c r="S7" s="126"/>
      <c r="T7" s="126"/>
      <c r="U7" s="126"/>
      <c r="V7" s="126"/>
      <c r="W7" s="126"/>
      <c r="X7" s="126"/>
      <c r="AA7" s="127" t="s">
        <v>75</v>
      </c>
    </row>
    <row r="8" spans="1:27" ht="20.100000000000001" customHeight="1" thickBot="1" x14ac:dyDescent="0.25">
      <c r="A8" s="124"/>
      <c r="B8" s="132"/>
      <c r="C8" s="76" t="s">
        <v>42</v>
      </c>
      <c r="D8" s="112"/>
      <c r="E8" s="112"/>
      <c r="F8" s="215" t="s">
        <v>60</v>
      </c>
      <c r="G8" s="216"/>
      <c r="H8" s="217"/>
      <c r="I8" s="77"/>
      <c r="J8" s="136" t="s">
        <v>61</v>
      </c>
      <c r="K8" s="137"/>
      <c r="L8" s="138"/>
      <c r="M8" s="237">
        <f>SUM(F29:P29)+SUM(F34:O34)</f>
        <v>16447.498276417809</v>
      </c>
      <c r="N8" s="238"/>
      <c r="O8" s="134"/>
      <c r="P8" s="134"/>
      <c r="Q8" s="135"/>
      <c r="R8" s="133"/>
      <c r="S8" s="126"/>
      <c r="T8" s="126"/>
      <c r="U8" s="126"/>
      <c r="V8" s="126"/>
      <c r="W8" s="126"/>
      <c r="X8" s="126"/>
    </row>
    <row r="9" spans="1:27" ht="3.75" customHeight="1" thickBot="1" x14ac:dyDescent="0.25">
      <c r="A9" s="124"/>
      <c r="B9" s="132"/>
      <c r="C9" s="62"/>
      <c r="D9" s="62"/>
      <c r="E9" s="62"/>
      <c r="F9" s="8"/>
      <c r="G9" s="8"/>
      <c r="H9" s="134"/>
      <c r="I9" s="134"/>
      <c r="J9" s="139"/>
      <c r="K9" s="134"/>
      <c r="L9" s="134"/>
      <c r="M9" s="134"/>
      <c r="N9" s="134"/>
      <c r="O9" s="134"/>
      <c r="P9" s="134"/>
      <c r="Q9" s="135"/>
      <c r="R9" s="133"/>
      <c r="S9" s="126"/>
      <c r="T9" s="126"/>
      <c r="U9" s="126"/>
      <c r="V9" s="126"/>
      <c r="W9" s="126"/>
      <c r="X9" s="126"/>
    </row>
    <row r="10" spans="1:27" ht="20.100000000000001" customHeight="1" thickBot="1" x14ac:dyDescent="0.25">
      <c r="A10" s="124"/>
      <c r="B10" s="132"/>
      <c r="C10" s="76" t="s">
        <v>43</v>
      </c>
      <c r="D10" s="112"/>
      <c r="E10" s="112"/>
      <c r="F10" s="215" t="s">
        <v>62</v>
      </c>
      <c r="G10" s="216"/>
      <c r="H10" s="217"/>
      <c r="I10" s="134"/>
      <c r="J10" s="123" t="s">
        <v>54</v>
      </c>
      <c r="K10" s="137"/>
      <c r="L10" s="138"/>
      <c r="M10" s="235">
        <f>IF(F24&lt;&gt;0,M8/F24,0)</f>
        <v>402.43450639632516</v>
      </c>
      <c r="N10" s="239"/>
      <c r="O10" s="134"/>
      <c r="P10" s="134"/>
      <c r="Q10" s="135"/>
      <c r="R10" s="133"/>
      <c r="S10" s="126"/>
      <c r="T10" s="126"/>
      <c r="U10" s="126"/>
      <c r="V10" s="126"/>
      <c r="W10" s="126"/>
      <c r="X10" s="126"/>
    </row>
    <row r="11" spans="1:27" ht="5.25" customHeight="1" thickBot="1" x14ac:dyDescent="0.25">
      <c r="A11" s="124"/>
      <c r="B11" s="132"/>
      <c r="C11" s="140"/>
      <c r="D11" s="140"/>
      <c r="E11" s="140"/>
      <c r="F11" s="140"/>
      <c r="G11" s="140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3"/>
      <c r="S11" s="126"/>
      <c r="T11" s="126"/>
      <c r="U11" s="126"/>
      <c r="V11" s="126"/>
      <c r="W11" s="126"/>
      <c r="X11" s="126"/>
    </row>
    <row r="12" spans="1:27" ht="20.100000000000001" customHeight="1" thickBot="1" x14ac:dyDescent="0.25">
      <c r="A12" s="124"/>
      <c r="B12" s="122"/>
      <c r="C12" s="199" t="s">
        <v>74</v>
      </c>
      <c r="D12" s="200"/>
      <c r="E12" s="201"/>
      <c r="F12" s="121" t="str">
        <f>P6</f>
        <v>USD$</v>
      </c>
      <c r="G12" s="230">
        <v>408</v>
      </c>
      <c r="H12" s="231"/>
      <c r="I12" s="135"/>
      <c r="J12" s="123" t="s">
        <v>2</v>
      </c>
      <c r="K12" s="137"/>
      <c r="L12" s="138"/>
      <c r="M12" s="235">
        <f>IF(F24&lt;&gt;0,G14/F24,0)</f>
        <v>85.245901639344268</v>
      </c>
      <c r="N12" s="239"/>
      <c r="O12" s="135"/>
      <c r="P12" s="135"/>
      <c r="Q12" s="135"/>
      <c r="R12" s="133"/>
      <c r="S12" s="126"/>
      <c r="T12" s="126"/>
      <c r="U12" s="126"/>
      <c r="V12" s="126"/>
      <c r="W12" s="126"/>
      <c r="X12" s="126"/>
    </row>
    <row r="13" spans="1:27" ht="5.25" customHeight="1" thickBot="1" x14ac:dyDescent="0.25">
      <c r="A13" s="124"/>
      <c r="B13" s="132"/>
      <c r="C13" s="64"/>
      <c r="D13" s="64"/>
      <c r="E13" s="64"/>
      <c r="F13" s="140"/>
      <c r="G13" s="140"/>
      <c r="H13" s="135"/>
      <c r="I13" s="135"/>
      <c r="J13" s="135"/>
      <c r="K13" s="140"/>
      <c r="L13" s="140"/>
      <c r="M13" s="135"/>
      <c r="N13" s="135"/>
      <c r="O13" s="135"/>
      <c r="P13" s="135"/>
      <c r="Q13" s="135"/>
      <c r="R13" s="133"/>
      <c r="S13" s="126"/>
      <c r="T13" s="126"/>
      <c r="U13" s="126"/>
      <c r="V13" s="126"/>
      <c r="W13" s="126"/>
      <c r="X13" s="126"/>
    </row>
    <row r="14" spans="1:27" ht="18.75" customHeight="1" thickBot="1" x14ac:dyDescent="0.25">
      <c r="A14" s="124"/>
      <c r="B14" s="122"/>
      <c r="C14" s="76" t="s">
        <v>52</v>
      </c>
      <c r="D14" s="112"/>
      <c r="E14" s="112"/>
      <c r="F14" s="121" t="str">
        <f>P6</f>
        <v>USD$</v>
      </c>
      <c r="G14" s="230">
        <v>3484</v>
      </c>
      <c r="H14" s="231"/>
      <c r="I14" s="135"/>
      <c r="J14" s="123" t="s">
        <v>3</v>
      </c>
      <c r="K14" s="137"/>
      <c r="L14" s="138"/>
      <c r="M14" s="235">
        <f>IF(F24&lt;&gt;0,G16/F24,0)</f>
        <v>2.0308294592610716</v>
      </c>
      <c r="N14" s="239"/>
      <c r="O14" s="135"/>
      <c r="P14" s="135"/>
      <c r="Q14" s="135"/>
      <c r="R14" s="133"/>
      <c r="S14" s="126"/>
      <c r="T14" s="126"/>
      <c r="U14" s="126"/>
      <c r="V14" s="126"/>
      <c r="W14" s="126"/>
      <c r="X14" s="126"/>
    </row>
    <row r="15" spans="1:27" ht="3.75" customHeight="1" thickBot="1" x14ac:dyDescent="0.25">
      <c r="A15" s="124"/>
      <c r="B15" s="132"/>
      <c r="C15" s="64"/>
      <c r="D15" s="64"/>
      <c r="E15" s="64"/>
      <c r="F15" s="140"/>
      <c r="G15" s="140"/>
      <c r="H15" s="135"/>
      <c r="I15" s="135"/>
      <c r="J15" s="135"/>
      <c r="K15" s="140"/>
      <c r="L15" s="140"/>
      <c r="M15" s="135"/>
      <c r="N15" s="135"/>
      <c r="O15" s="135"/>
      <c r="P15" s="135"/>
      <c r="Q15" s="135"/>
      <c r="R15" s="133"/>
      <c r="S15" s="126"/>
      <c r="T15" s="126"/>
      <c r="U15" s="126"/>
      <c r="V15" s="126"/>
      <c r="W15" s="126"/>
      <c r="X15" s="126"/>
    </row>
    <row r="16" spans="1:27" ht="18.75" customHeight="1" thickBot="1" x14ac:dyDescent="0.25">
      <c r="A16" s="124"/>
      <c r="B16" s="122"/>
      <c r="C16" s="76" t="s">
        <v>53</v>
      </c>
      <c r="D16" s="112"/>
      <c r="E16" s="112"/>
      <c r="F16" s="121" t="str">
        <f>P6</f>
        <v>USD$</v>
      </c>
      <c r="G16" s="230">
        <v>83</v>
      </c>
      <c r="H16" s="231"/>
      <c r="I16" s="135"/>
      <c r="J16" s="123" t="s">
        <v>55</v>
      </c>
      <c r="K16" s="123"/>
      <c r="L16" s="123"/>
      <c r="M16" s="235">
        <f>M10-M12+M14</f>
        <v>319.21943421624201</v>
      </c>
      <c r="N16" s="236"/>
      <c r="O16" s="135"/>
      <c r="P16" s="135"/>
      <c r="Q16" s="135"/>
      <c r="R16" s="133"/>
      <c r="S16" s="126"/>
      <c r="T16" s="126"/>
      <c r="U16" s="126"/>
      <c r="V16" s="126"/>
      <c r="W16" s="126"/>
      <c r="X16" s="126"/>
    </row>
    <row r="17" spans="1:24" ht="5.25" customHeight="1" thickBot="1" x14ac:dyDescent="0.25">
      <c r="A17" s="124"/>
      <c r="B17" s="132"/>
      <c r="C17" s="64"/>
      <c r="D17" s="64"/>
      <c r="E17" s="64"/>
      <c r="F17" s="140"/>
      <c r="G17" s="140"/>
      <c r="H17" s="135"/>
      <c r="I17" s="135"/>
      <c r="J17" s="135"/>
      <c r="K17" s="140"/>
      <c r="L17" s="140"/>
      <c r="M17" s="135"/>
      <c r="N17" s="135"/>
      <c r="O17" s="135"/>
      <c r="P17" s="135"/>
      <c r="Q17" s="135"/>
      <c r="R17" s="133"/>
      <c r="S17" s="126"/>
      <c r="T17" s="126"/>
      <c r="U17" s="126"/>
      <c r="V17" s="126"/>
      <c r="W17" s="126"/>
      <c r="X17" s="126"/>
    </row>
    <row r="18" spans="1:24" ht="19.5" customHeight="1" thickBot="1" x14ac:dyDescent="0.25">
      <c r="A18" s="124"/>
      <c r="B18" s="132"/>
      <c r="C18" s="76" t="s">
        <v>57</v>
      </c>
      <c r="D18" s="112"/>
      <c r="E18" s="112"/>
      <c r="F18" s="224">
        <v>0.14560000000000001</v>
      </c>
      <c r="G18" s="225"/>
      <c r="H18" s="226"/>
      <c r="I18" s="135"/>
      <c r="J18" s="123" t="s">
        <v>72</v>
      </c>
      <c r="K18" s="141"/>
      <c r="L18" s="142"/>
      <c r="M18" s="211">
        <f>(L20-M16)/M16</f>
        <v>-0.22310494469455561</v>
      </c>
      <c r="N18" s="212"/>
      <c r="O18" s="135"/>
      <c r="P18" s="135"/>
      <c r="Q18" s="135"/>
      <c r="R18" s="133"/>
      <c r="S18" s="126"/>
      <c r="T18" s="126"/>
    </row>
    <row r="19" spans="1:24" ht="5.25" customHeight="1" thickBot="1" x14ac:dyDescent="0.25">
      <c r="A19" s="124"/>
      <c r="B19" s="132"/>
      <c r="C19" s="64"/>
      <c r="D19" s="64"/>
      <c r="E19" s="64"/>
      <c r="F19" s="140"/>
      <c r="G19" s="140"/>
      <c r="H19" s="135"/>
      <c r="I19" s="62"/>
      <c r="J19" s="135"/>
      <c r="K19" s="140"/>
      <c r="L19" s="140"/>
      <c r="M19" s="135"/>
      <c r="N19" s="135"/>
      <c r="O19" s="135"/>
      <c r="P19" s="135"/>
      <c r="Q19" s="135"/>
      <c r="R19" s="133"/>
      <c r="S19" s="126"/>
      <c r="T19" s="126"/>
      <c r="U19" s="126"/>
      <c r="V19" s="126"/>
      <c r="W19" s="126"/>
      <c r="X19" s="126"/>
    </row>
    <row r="20" spans="1:24" ht="20.100000000000001" customHeight="1" thickBot="1" x14ac:dyDescent="0.25">
      <c r="A20" s="124"/>
      <c r="B20" s="132"/>
      <c r="C20" s="76" t="s">
        <v>58</v>
      </c>
      <c r="D20" s="112"/>
      <c r="E20" s="112"/>
      <c r="F20" s="224">
        <v>0.14560000000000001</v>
      </c>
      <c r="G20" s="225"/>
      <c r="H20" s="226"/>
      <c r="I20" s="62"/>
      <c r="J20" s="76" t="s">
        <v>63</v>
      </c>
      <c r="K20" s="112"/>
      <c r="L20" s="213">
        <v>248</v>
      </c>
      <c r="M20" s="214"/>
      <c r="N20" s="135"/>
      <c r="O20" s="135"/>
      <c r="P20" s="135"/>
      <c r="Q20" s="135"/>
      <c r="R20" s="133"/>
      <c r="S20" s="126"/>
      <c r="T20" s="126"/>
      <c r="U20" s="126"/>
      <c r="V20" s="126"/>
      <c r="W20" s="126"/>
      <c r="X20" s="126"/>
    </row>
    <row r="21" spans="1:24" ht="5.25" customHeight="1" thickBot="1" x14ac:dyDescent="0.25">
      <c r="A21" s="124"/>
      <c r="B21" s="132"/>
      <c r="C21" s="64"/>
      <c r="D21" s="64"/>
      <c r="E21" s="64"/>
      <c r="F21" s="140"/>
      <c r="G21" s="140"/>
      <c r="H21" s="135"/>
      <c r="I21" s="62"/>
      <c r="J21" s="135"/>
      <c r="K21" s="140"/>
      <c r="L21" s="140"/>
      <c r="M21" s="135"/>
      <c r="N21" s="135"/>
      <c r="O21" s="135"/>
      <c r="P21" s="135"/>
      <c r="Q21" s="135"/>
      <c r="R21" s="133"/>
      <c r="S21" s="126"/>
      <c r="T21" s="126"/>
      <c r="U21" s="126"/>
      <c r="V21" s="126"/>
      <c r="W21" s="126"/>
      <c r="X21" s="126"/>
    </row>
    <row r="22" spans="1:24" ht="20.100000000000001" customHeight="1" thickBot="1" x14ac:dyDescent="0.25">
      <c r="A22" s="124"/>
      <c r="B22" s="132"/>
      <c r="C22" s="76" t="s">
        <v>64</v>
      </c>
      <c r="D22" s="112"/>
      <c r="E22" s="112"/>
      <c r="F22" s="224">
        <v>4.8000000000000001E-2</v>
      </c>
      <c r="G22" s="225"/>
      <c r="H22" s="226"/>
      <c r="I22" s="62"/>
      <c r="J22" s="76" t="s">
        <v>41</v>
      </c>
      <c r="K22" s="143"/>
      <c r="L22" s="204">
        <v>2019</v>
      </c>
      <c r="M22" s="205"/>
      <c r="N22" s="75" t="s">
        <v>47</v>
      </c>
      <c r="O22" s="135"/>
      <c r="P22" s="135"/>
      <c r="Q22" s="135"/>
      <c r="R22" s="133"/>
      <c r="S22" s="126"/>
      <c r="T22" s="126"/>
      <c r="U22" s="126"/>
      <c r="V22" s="126"/>
      <c r="W22" s="126"/>
      <c r="X22" s="126"/>
    </row>
    <row r="23" spans="1:24" ht="15.75" thickBot="1" x14ac:dyDescent="0.25">
      <c r="A23" s="124"/>
      <c r="B23" s="132"/>
      <c r="C23" s="62"/>
      <c r="D23" s="62"/>
      <c r="E23" s="62"/>
      <c r="F23" s="9"/>
      <c r="G23" s="9"/>
      <c r="H23" s="135"/>
      <c r="I23" s="135"/>
      <c r="J23" s="62"/>
      <c r="K23" s="80"/>
      <c r="L23" s="78"/>
      <c r="M23" s="78"/>
      <c r="N23" s="135"/>
      <c r="O23" s="135"/>
      <c r="P23" s="135"/>
      <c r="Q23" s="135"/>
      <c r="R23" s="133"/>
      <c r="S23" s="126"/>
      <c r="T23" s="126"/>
      <c r="U23" s="126"/>
      <c r="V23" s="126"/>
      <c r="W23" s="126"/>
      <c r="X23" s="126"/>
    </row>
    <row r="24" spans="1:24" ht="15.75" thickBot="1" x14ac:dyDescent="0.25">
      <c r="A24" s="124"/>
      <c r="B24" s="132"/>
      <c r="C24" s="76" t="s">
        <v>46</v>
      </c>
      <c r="D24" s="112"/>
      <c r="E24" s="112"/>
      <c r="F24" s="227">
        <v>40.869999999999997</v>
      </c>
      <c r="G24" s="228"/>
      <c r="H24" s="229"/>
      <c r="I24" s="135"/>
      <c r="J24" s="76" t="s">
        <v>44</v>
      </c>
      <c r="K24" s="143"/>
      <c r="L24" s="233">
        <v>0.05</v>
      </c>
      <c r="M24" s="234"/>
      <c r="N24" s="135"/>
      <c r="O24" s="135"/>
      <c r="P24" s="135"/>
      <c r="Q24" s="135"/>
      <c r="R24" s="133"/>
      <c r="S24" s="126"/>
      <c r="T24" s="126"/>
      <c r="U24" s="126"/>
      <c r="V24" s="126"/>
      <c r="W24" s="126"/>
      <c r="X24" s="126"/>
    </row>
    <row r="25" spans="1:24" x14ac:dyDescent="0.2">
      <c r="A25" s="124"/>
      <c r="B25" s="132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3"/>
      <c r="S25" s="126"/>
      <c r="T25" s="126"/>
      <c r="U25" s="126"/>
      <c r="V25" s="126"/>
      <c r="W25" s="126"/>
      <c r="X25" s="126"/>
    </row>
    <row r="26" spans="1:24" x14ac:dyDescent="0.2">
      <c r="A26" s="124"/>
      <c r="B26" s="132"/>
      <c r="C26" s="144" t="s">
        <v>19</v>
      </c>
      <c r="D26" s="178"/>
      <c r="E26" s="145"/>
      <c r="F26" s="146">
        <f>$L$22+1</f>
        <v>2020</v>
      </c>
      <c r="G26" s="147">
        <f>$L$22+2</f>
        <v>2021</v>
      </c>
      <c r="H26" s="146">
        <f>$L$22+3</f>
        <v>2022</v>
      </c>
      <c r="I26" s="146">
        <f>$L$22+4</f>
        <v>2023</v>
      </c>
      <c r="J26" s="146">
        <f>$L$22+5</f>
        <v>2024</v>
      </c>
      <c r="K26" s="146">
        <f>$L$22+6</f>
        <v>2025</v>
      </c>
      <c r="L26" s="146">
        <f>$L$22+7</f>
        <v>2026</v>
      </c>
      <c r="M26" s="146">
        <f>$L$22+8</f>
        <v>2027</v>
      </c>
      <c r="N26" s="146">
        <f>$L$22+9</f>
        <v>2028</v>
      </c>
      <c r="O26" s="146">
        <f>$L$22+10</f>
        <v>2029</v>
      </c>
      <c r="P26" s="135"/>
      <c r="Q26" s="135"/>
      <c r="R26" s="133"/>
      <c r="S26" s="126"/>
      <c r="T26" s="126"/>
      <c r="U26" s="126"/>
      <c r="V26" s="126"/>
      <c r="W26" s="126"/>
      <c r="X26" s="126"/>
    </row>
    <row r="27" spans="1:24" x14ac:dyDescent="0.2">
      <c r="A27" s="124"/>
      <c r="B27" s="132"/>
      <c r="C27" s="196" t="str">
        <f>LEFT(C12,FIND("(",C12)-1)&amp;"(Projected)"</f>
        <v>Operating Cash Flow (Projected)</v>
      </c>
      <c r="D27" s="197"/>
      <c r="E27" s="198"/>
      <c r="F27" s="148">
        <f>(G12)*(1+F18)</f>
        <v>467.40479999999997</v>
      </c>
      <c r="G27" s="148">
        <f>($F27)*(1+$F$18)</f>
        <v>535.45893887999989</v>
      </c>
      <c r="H27" s="148">
        <f>(G$27)*(1+$F$18)</f>
        <v>613.42176038092782</v>
      </c>
      <c r="I27" s="148">
        <f>(H$27)*(1+$F$18)</f>
        <v>702.73596869239088</v>
      </c>
      <c r="J27" s="148">
        <f>(I$27)*(1+$F$18)</f>
        <v>805.05432573400299</v>
      </c>
      <c r="K27" s="148">
        <f t="shared" ref="K27:O27" si="0">(J$27)*(1+$F$20)</f>
        <v>922.27023556087374</v>
      </c>
      <c r="L27" s="148">
        <f t="shared" si="0"/>
        <v>1056.5527818585369</v>
      </c>
      <c r="M27" s="148">
        <f t="shared" si="0"/>
        <v>1210.38686689714</v>
      </c>
      <c r="N27" s="148">
        <f t="shared" si="0"/>
        <v>1386.6191947173634</v>
      </c>
      <c r="O27" s="148">
        <f t="shared" si="0"/>
        <v>1588.5109494682115</v>
      </c>
      <c r="P27" s="135"/>
      <c r="Q27" s="135"/>
      <c r="R27" s="133"/>
      <c r="S27" s="126"/>
      <c r="T27" s="126"/>
      <c r="U27" s="126"/>
      <c r="V27" s="126"/>
      <c r="W27" s="126"/>
      <c r="X27" s="126"/>
    </row>
    <row r="28" spans="1:24" x14ac:dyDescent="0.2">
      <c r="A28" s="124"/>
      <c r="B28" s="132"/>
      <c r="C28" s="86" t="s">
        <v>21</v>
      </c>
      <c r="D28" s="172"/>
      <c r="E28" s="85"/>
      <c r="F28" s="149">
        <f>1/(1+$L$24)</f>
        <v>0.95238095238095233</v>
      </c>
      <c r="G28" s="149">
        <f>F$28/(1+$L$24)</f>
        <v>0.90702947845804982</v>
      </c>
      <c r="H28" s="149">
        <f t="shared" ref="H28:O28" si="1">G$28/(1+$L$24)</f>
        <v>0.86383759853147601</v>
      </c>
      <c r="I28" s="149">
        <f t="shared" si="1"/>
        <v>0.82270247479188185</v>
      </c>
      <c r="J28" s="149">
        <f t="shared" si="1"/>
        <v>0.78352616646845885</v>
      </c>
      <c r="K28" s="149">
        <f t="shared" si="1"/>
        <v>0.74621539663662739</v>
      </c>
      <c r="L28" s="149">
        <f t="shared" si="1"/>
        <v>0.71068133013012125</v>
      </c>
      <c r="M28" s="149">
        <f t="shared" si="1"/>
        <v>0.67683936202868689</v>
      </c>
      <c r="N28" s="149">
        <f t="shared" si="1"/>
        <v>0.64460891621779703</v>
      </c>
      <c r="O28" s="149">
        <f t="shared" si="1"/>
        <v>0.6139132535407591</v>
      </c>
      <c r="P28" s="135"/>
      <c r="Q28" s="135"/>
      <c r="R28" s="133"/>
      <c r="S28" s="126"/>
      <c r="T28" s="126"/>
      <c r="U28" s="126"/>
      <c r="V28" s="126"/>
      <c r="W28" s="126"/>
      <c r="X28" s="126"/>
    </row>
    <row r="29" spans="1:24" x14ac:dyDescent="0.2">
      <c r="A29" s="124"/>
      <c r="B29" s="132"/>
      <c r="C29" s="150" t="s">
        <v>22</v>
      </c>
      <c r="D29" s="179"/>
      <c r="E29" s="151"/>
      <c r="F29" s="152">
        <f>F27*F28</f>
        <v>445.14742857142852</v>
      </c>
      <c r="G29" s="152">
        <f t="shared" ref="G29:O29" si="2">G27*G28</f>
        <v>485.67704206802705</v>
      </c>
      <c r="H29" s="152">
        <f t="shared" si="2"/>
        <v>529.89678037441115</v>
      </c>
      <c r="I29" s="152">
        <f t="shared" si="2"/>
        <v>578.14262056850043</v>
      </c>
      <c r="J29" s="152">
        <f t="shared" si="2"/>
        <v>630.78112964121328</v>
      </c>
      <c r="K29" s="152">
        <f t="shared" si="2"/>
        <v>688.2122496352132</v>
      </c>
      <c r="L29" s="152">
        <f t="shared" si="2"/>
        <v>750.87233636390488</v>
      </c>
      <c r="M29" s="152">
        <f t="shared" si="2"/>
        <v>819.23747479856138</v>
      </c>
      <c r="N29" s="152">
        <f t="shared" si="2"/>
        <v>893.82709631355408</v>
      </c>
      <c r="O29" s="152">
        <f t="shared" si="2"/>
        <v>975.20792527315007</v>
      </c>
      <c r="P29" s="135"/>
      <c r="Q29" s="135"/>
      <c r="R29" s="133"/>
      <c r="S29" s="126"/>
      <c r="T29" s="126"/>
      <c r="U29" s="126"/>
      <c r="V29" s="126"/>
      <c r="W29" s="126"/>
      <c r="X29" s="126"/>
    </row>
    <row r="30" spans="1:24" x14ac:dyDescent="0.2">
      <c r="A30" s="124"/>
      <c r="B30" s="132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3"/>
      <c r="S30" s="126"/>
      <c r="T30" s="126"/>
      <c r="U30" s="126"/>
      <c r="V30" s="126"/>
      <c r="W30" s="126"/>
      <c r="X30" s="126"/>
    </row>
    <row r="31" spans="1:24" x14ac:dyDescent="0.2">
      <c r="A31" s="124"/>
      <c r="B31" s="132"/>
      <c r="C31" s="144" t="s">
        <v>19</v>
      </c>
      <c r="D31" s="178"/>
      <c r="E31" s="145"/>
      <c r="F31" s="146">
        <f>$L$22+11</f>
        <v>2030</v>
      </c>
      <c r="G31" s="146">
        <f>$L$22+12</f>
        <v>2031</v>
      </c>
      <c r="H31" s="146">
        <f>$L$22+13</f>
        <v>2032</v>
      </c>
      <c r="I31" s="146">
        <f>$L$22+14</f>
        <v>2033</v>
      </c>
      <c r="J31" s="146">
        <f>$L$22+15</f>
        <v>2034</v>
      </c>
      <c r="K31" s="146">
        <f>$L$22+16</f>
        <v>2035</v>
      </c>
      <c r="L31" s="146">
        <f>$L$22+17</f>
        <v>2036</v>
      </c>
      <c r="M31" s="146">
        <f>$L$22+18</f>
        <v>2037</v>
      </c>
      <c r="N31" s="146">
        <f>$L$22+19</f>
        <v>2038</v>
      </c>
      <c r="O31" s="146">
        <f>$L$22+20</f>
        <v>2039</v>
      </c>
      <c r="P31" s="135"/>
      <c r="Q31" s="135"/>
      <c r="R31" s="133"/>
      <c r="S31" s="126"/>
      <c r="T31" s="126"/>
      <c r="U31" s="126"/>
      <c r="V31" s="126"/>
      <c r="W31" s="126"/>
      <c r="X31" s="126"/>
    </row>
    <row r="32" spans="1:24" x14ac:dyDescent="0.2">
      <c r="A32" s="124"/>
      <c r="B32" s="132"/>
      <c r="C32" s="196" t="str">
        <f>LEFT(C12,FIND("(",C12)-1)&amp;"(Projected)"</f>
        <v>Operating Cash Flow (Projected)</v>
      </c>
      <c r="D32" s="197"/>
      <c r="E32" s="198"/>
      <c r="F32" s="148">
        <f>(O$27)*(1+$F$22)</f>
        <v>1664.7594750426856</v>
      </c>
      <c r="G32" s="148">
        <f t="shared" ref="G32:O32" si="3">(F$32)*(1+$F$22)</f>
        <v>1744.6679298447345</v>
      </c>
      <c r="H32" s="148">
        <f t="shared" si="3"/>
        <v>1828.411990477282</v>
      </c>
      <c r="I32" s="148">
        <f t="shared" si="3"/>
        <v>1916.1757660201915</v>
      </c>
      <c r="J32" s="148">
        <f t="shared" si="3"/>
        <v>2008.1522027891608</v>
      </c>
      <c r="K32" s="148">
        <f t="shared" si="3"/>
        <v>2104.5435085230406</v>
      </c>
      <c r="L32" s="148">
        <f t="shared" si="3"/>
        <v>2205.5615969321466</v>
      </c>
      <c r="M32" s="148">
        <f t="shared" si="3"/>
        <v>2311.4285535848899</v>
      </c>
      <c r="N32" s="148">
        <f t="shared" si="3"/>
        <v>2422.3771241569648</v>
      </c>
      <c r="O32" s="148">
        <f t="shared" si="3"/>
        <v>2538.6512261164994</v>
      </c>
      <c r="P32" s="135"/>
      <c r="Q32" s="135"/>
      <c r="R32" s="133"/>
      <c r="S32" s="126"/>
      <c r="T32" s="126"/>
      <c r="U32" s="126"/>
      <c r="V32" s="126"/>
      <c r="W32" s="126"/>
      <c r="X32" s="126"/>
    </row>
    <row r="33" spans="1:24" x14ac:dyDescent="0.2">
      <c r="A33" s="124"/>
      <c r="B33" s="132"/>
      <c r="C33" s="86" t="s">
        <v>21</v>
      </c>
      <c r="D33" s="172"/>
      <c r="E33" s="85"/>
      <c r="F33" s="149">
        <f>O$28/(1+$L$24)</f>
        <v>0.58467928908643718</v>
      </c>
      <c r="G33" s="149">
        <f t="shared" ref="G33:O33" si="4">F$33/(1+$L$24)</f>
        <v>0.55683741817755916</v>
      </c>
      <c r="H33" s="149">
        <f t="shared" si="4"/>
        <v>0.5303213506452944</v>
      </c>
      <c r="I33" s="149">
        <f t="shared" si="4"/>
        <v>0.50506795299551843</v>
      </c>
      <c r="J33" s="149">
        <f t="shared" si="4"/>
        <v>0.48101709809096993</v>
      </c>
      <c r="K33" s="149">
        <f t="shared" si="4"/>
        <v>0.45811152199139993</v>
      </c>
      <c r="L33" s="149">
        <f t="shared" si="4"/>
        <v>0.43629668761085705</v>
      </c>
      <c r="M33" s="149">
        <f t="shared" si="4"/>
        <v>0.41552065486748291</v>
      </c>
      <c r="N33" s="149">
        <f t="shared" si="4"/>
        <v>0.39573395701665037</v>
      </c>
      <c r="O33" s="149">
        <f t="shared" si="4"/>
        <v>0.37688948287300034</v>
      </c>
      <c r="P33" s="135"/>
      <c r="Q33" s="135"/>
      <c r="R33" s="133"/>
      <c r="S33" s="126"/>
      <c r="T33" s="126"/>
      <c r="U33" s="126"/>
      <c r="V33" s="126"/>
      <c r="W33" s="126"/>
      <c r="X33" s="126"/>
    </row>
    <row r="34" spans="1:24" x14ac:dyDescent="0.2">
      <c r="A34" s="124"/>
      <c r="B34" s="132"/>
      <c r="C34" s="150" t="s">
        <v>22</v>
      </c>
      <c r="D34" s="179"/>
      <c r="E34" s="151"/>
      <c r="F34" s="152">
        <f t="shared" ref="F34:O34" si="5">F32*F33</f>
        <v>973.35038636786783</v>
      </c>
      <c r="G34" s="152">
        <f t="shared" si="5"/>
        <v>971.49638563192889</v>
      </c>
      <c r="H34" s="152">
        <f t="shared" si="5"/>
        <v>969.6459163259633</v>
      </c>
      <c r="I34" s="152">
        <f t="shared" si="5"/>
        <v>967.7989717234376</v>
      </c>
      <c r="J34" s="152">
        <f t="shared" si="5"/>
        <v>965.95554511063108</v>
      </c>
      <c r="K34" s="152">
        <f t="shared" si="5"/>
        <v>964.11562978661084</v>
      </c>
      <c r="L34" s="152">
        <f t="shared" si="5"/>
        <v>962.27921906320773</v>
      </c>
      <c r="M34" s="152">
        <f t="shared" si="5"/>
        <v>960.44630626499224</v>
      </c>
      <c r="N34" s="152">
        <f t="shared" si="5"/>
        <v>958.61688472924948</v>
      </c>
      <c r="O34" s="152">
        <f t="shared" si="5"/>
        <v>956.79094780595574</v>
      </c>
      <c r="P34" s="135"/>
      <c r="Q34" s="135"/>
      <c r="R34" s="133"/>
      <c r="S34" s="126"/>
      <c r="T34" s="126"/>
      <c r="U34" s="126"/>
      <c r="V34" s="126"/>
      <c r="W34" s="126"/>
      <c r="X34" s="126"/>
    </row>
    <row r="35" spans="1:24" x14ac:dyDescent="0.2">
      <c r="A35" s="124"/>
      <c r="B35" s="132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3"/>
      <c r="S35" s="126"/>
      <c r="T35" s="126"/>
      <c r="U35" s="126"/>
      <c r="V35" s="126"/>
      <c r="W35" s="126"/>
      <c r="X35" s="126"/>
    </row>
    <row r="36" spans="1:24" x14ac:dyDescent="0.2">
      <c r="A36" s="124"/>
      <c r="B36" s="132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3"/>
      <c r="S36" s="126"/>
      <c r="T36" s="126"/>
      <c r="U36" s="126"/>
      <c r="V36" s="126"/>
      <c r="W36" s="126"/>
      <c r="X36" s="126"/>
    </row>
    <row r="37" spans="1:24" x14ac:dyDescent="0.2">
      <c r="A37" s="124"/>
      <c r="B37" s="132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3"/>
      <c r="S37" s="126"/>
      <c r="T37" s="126"/>
      <c r="U37" s="126"/>
      <c r="V37" s="126"/>
      <c r="W37" s="126"/>
      <c r="X37" s="126"/>
    </row>
    <row r="38" spans="1:24" x14ac:dyDescent="0.2">
      <c r="A38" s="124"/>
      <c r="B38" s="13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3"/>
      <c r="S38" s="126"/>
      <c r="T38" s="126"/>
      <c r="U38" s="126"/>
      <c r="V38" s="126"/>
      <c r="W38" s="126"/>
      <c r="X38" s="126"/>
    </row>
    <row r="39" spans="1:24" x14ac:dyDescent="0.2">
      <c r="A39" s="124"/>
      <c r="B39" s="13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3"/>
      <c r="S39" s="126"/>
      <c r="T39" s="126"/>
      <c r="U39" s="126"/>
      <c r="V39" s="126"/>
      <c r="W39" s="126"/>
      <c r="X39" s="126"/>
    </row>
    <row r="40" spans="1:24" x14ac:dyDescent="0.2">
      <c r="A40" s="124"/>
      <c r="B40" s="132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3"/>
      <c r="S40" s="126"/>
      <c r="T40" s="126"/>
      <c r="U40" s="126"/>
      <c r="V40" s="126"/>
      <c r="W40" s="126"/>
      <c r="X40" s="126"/>
    </row>
    <row r="41" spans="1:24" x14ac:dyDescent="0.2">
      <c r="A41" s="124"/>
      <c r="B41" s="132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3"/>
      <c r="S41" s="126"/>
      <c r="T41" s="126"/>
      <c r="U41" s="126"/>
      <c r="V41" s="126"/>
      <c r="W41" s="126"/>
      <c r="X41" s="126"/>
    </row>
    <row r="42" spans="1:24" x14ac:dyDescent="0.2">
      <c r="A42" s="124"/>
      <c r="B42" s="132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3"/>
      <c r="S42" s="126"/>
      <c r="T42" s="126"/>
      <c r="U42" s="126"/>
      <c r="V42" s="126"/>
      <c r="W42" s="126"/>
      <c r="X42" s="126"/>
    </row>
    <row r="43" spans="1:24" x14ac:dyDescent="0.2">
      <c r="A43" s="124"/>
      <c r="B43" s="132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3"/>
      <c r="S43" s="126"/>
      <c r="T43" s="126"/>
      <c r="U43" s="126"/>
      <c r="V43" s="126"/>
      <c r="W43" s="126"/>
      <c r="X43" s="126"/>
    </row>
    <row r="44" spans="1:24" x14ac:dyDescent="0.2">
      <c r="A44" s="124"/>
      <c r="B44" s="132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3"/>
      <c r="S44" s="126"/>
      <c r="T44" s="126"/>
      <c r="U44" s="126"/>
      <c r="V44" s="126"/>
      <c r="W44" s="126"/>
      <c r="X44" s="126"/>
    </row>
    <row r="45" spans="1:24" x14ac:dyDescent="0.2">
      <c r="A45" s="124"/>
      <c r="B45" s="132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3"/>
      <c r="S45" s="126"/>
      <c r="T45" s="126"/>
      <c r="U45" s="126"/>
      <c r="V45" s="126"/>
      <c r="W45" s="126"/>
      <c r="X45" s="126"/>
    </row>
    <row r="46" spans="1:24" x14ac:dyDescent="0.2">
      <c r="A46" s="124"/>
      <c r="B46" s="132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3"/>
      <c r="S46" s="126"/>
      <c r="T46" s="126"/>
      <c r="U46" s="126"/>
      <c r="V46" s="126"/>
      <c r="W46" s="126"/>
      <c r="X46" s="126"/>
    </row>
    <row r="47" spans="1:24" x14ac:dyDescent="0.2">
      <c r="A47" s="124"/>
      <c r="B47" s="132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3"/>
      <c r="S47" s="126"/>
      <c r="T47" s="126"/>
      <c r="U47" s="126"/>
      <c r="V47" s="126"/>
      <c r="W47" s="126"/>
      <c r="X47" s="126"/>
    </row>
    <row r="48" spans="1:24" x14ac:dyDescent="0.2">
      <c r="A48" s="124"/>
      <c r="B48" s="132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3"/>
      <c r="S48" s="126"/>
      <c r="T48" s="126"/>
      <c r="U48" s="126"/>
      <c r="V48" s="126"/>
      <c r="W48" s="126"/>
      <c r="X48" s="126"/>
    </row>
    <row r="49" spans="1:24" x14ac:dyDescent="0.2">
      <c r="A49" s="124"/>
      <c r="B49" s="132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3"/>
      <c r="S49" s="126"/>
      <c r="T49" s="126"/>
      <c r="U49" s="126"/>
      <c r="V49" s="126"/>
      <c r="W49" s="126"/>
      <c r="X49" s="126"/>
    </row>
    <row r="50" spans="1:24" ht="13.5" thickBot="1" x14ac:dyDescent="0.25">
      <c r="A50" s="124"/>
      <c r="B50" s="132"/>
      <c r="C50" s="135"/>
      <c r="D50" s="135"/>
      <c r="E50" s="135"/>
      <c r="F50" s="135"/>
      <c r="G50" s="135"/>
      <c r="H50" s="135"/>
      <c r="I50" s="153"/>
      <c r="J50" s="135"/>
      <c r="K50" s="135"/>
      <c r="L50" s="135"/>
      <c r="M50" s="135"/>
      <c r="N50" s="135"/>
      <c r="O50" s="135"/>
      <c r="P50" s="135"/>
      <c r="Q50" s="135"/>
      <c r="R50" s="133"/>
      <c r="S50" s="126"/>
      <c r="T50" s="126"/>
      <c r="U50" s="126"/>
      <c r="V50" s="126"/>
      <c r="W50" s="126"/>
      <c r="X50" s="126"/>
    </row>
    <row r="51" spans="1:24" x14ac:dyDescent="0.2">
      <c r="A51" s="124"/>
      <c r="B51" s="132"/>
      <c r="C51" s="135"/>
      <c r="D51" s="135"/>
      <c r="E51" s="135"/>
      <c r="F51" s="135"/>
      <c r="G51" s="135"/>
      <c r="H51" s="135"/>
      <c r="I51" s="124"/>
      <c r="J51" s="135"/>
      <c r="K51" s="135"/>
      <c r="L51" s="135"/>
      <c r="M51" s="135"/>
      <c r="N51" s="135"/>
      <c r="O51" s="135"/>
      <c r="P51" s="135"/>
      <c r="Q51" s="135"/>
      <c r="R51" s="133"/>
      <c r="S51" s="126"/>
      <c r="T51" s="126"/>
      <c r="U51" s="126"/>
      <c r="V51" s="126"/>
      <c r="W51" s="126"/>
      <c r="X51" s="126"/>
    </row>
    <row r="52" spans="1:24" ht="13.5" thickBot="1" x14ac:dyDescent="0.25">
      <c r="A52" s="124"/>
      <c r="B52" s="154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5"/>
      <c r="S52" s="126"/>
      <c r="T52" s="126"/>
      <c r="U52" s="126"/>
      <c r="V52" s="126"/>
      <c r="W52" s="126"/>
      <c r="X52" s="126"/>
    </row>
    <row r="53" spans="1:24" x14ac:dyDescent="0.2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26"/>
      <c r="T53" s="126"/>
      <c r="U53" s="126"/>
      <c r="V53" s="126"/>
      <c r="W53" s="126"/>
      <c r="X53" s="126"/>
    </row>
    <row r="54" spans="1:24" s="13" customFormat="1" ht="15" x14ac:dyDescent="0.2">
      <c r="A54" s="97"/>
      <c r="B54" s="97"/>
      <c r="C54" s="98" t="s">
        <v>65</v>
      </c>
      <c r="D54" s="98"/>
      <c r="E54" s="98"/>
      <c r="F54" s="99"/>
      <c r="G54" s="99"/>
      <c r="H54" s="99"/>
      <c r="I54" s="156"/>
      <c r="J54" s="98" t="s">
        <v>66</v>
      </c>
      <c r="K54" s="99"/>
      <c r="L54" s="99"/>
      <c r="M54" s="99"/>
      <c r="N54" s="99"/>
      <c r="O54" s="97"/>
      <c r="P54" s="97"/>
      <c r="Q54" s="97"/>
      <c r="R54" s="97"/>
      <c r="S54" s="111"/>
      <c r="T54" s="111"/>
      <c r="U54" s="111"/>
      <c r="V54" s="111"/>
      <c r="W54" s="111"/>
      <c r="X54" s="111"/>
    </row>
    <row r="55" spans="1:24" s="13" customFormat="1" ht="15.75" thickBot="1" x14ac:dyDescent="0.25">
      <c r="A55" s="97"/>
      <c r="B55" s="97"/>
      <c r="C55" s="184"/>
      <c r="D55" s="169"/>
      <c r="E55" s="170"/>
      <c r="F55" s="99"/>
      <c r="G55" s="99"/>
      <c r="H55" s="99"/>
      <c r="I55" s="156"/>
      <c r="J55" s="170"/>
      <c r="K55" s="170"/>
      <c r="L55" s="99"/>
      <c r="M55" s="99"/>
      <c r="N55" s="99"/>
      <c r="O55" s="97"/>
      <c r="P55" s="97"/>
      <c r="Q55" s="97"/>
      <c r="R55" s="97"/>
      <c r="S55" s="111"/>
      <c r="T55" s="111"/>
      <c r="U55" s="111"/>
      <c r="V55" s="111"/>
      <c r="W55" s="111"/>
      <c r="X55" s="111"/>
    </row>
    <row r="56" spans="1:24" s="13" customFormat="1" ht="15.75" thickBot="1" x14ac:dyDescent="0.25">
      <c r="A56" s="97"/>
      <c r="B56" s="97"/>
      <c r="C56" s="157" t="s">
        <v>49</v>
      </c>
      <c r="D56" s="158"/>
      <c r="E56" s="157" t="s">
        <v>50</v>
      </c>
      <c r="F56" s="159"/>
      <c r="G56" s="99"/>
      <c r="H56" s="99"/>
      <c r="I56" s="156"/>
      <c r="J56" s="157" t="s">
        <v>49</v>
      </c>
      <c r="K56" s="158"/>
      <c r="L56" s="158" t="s">
        <v>50</v>
      </c>
      <c r="M56" s="159"/>
      <c r="N56" s="99"/>
      <c r="O56" s="99"/>
      <c r="P56" s="99"/>
      <c r="Q56" s="97"/>
      <c r="R56" s="97"/>
      <c r="S56" s="111"/>
      <c r="T56" s="111"/>
      <c r="U56" s="111"/>
      <c r="V56" s="111"/>
      <c r="W56" s="111"/>
      <c r="X56" s="111"/>
    </row>
    <row r="57" spans="1:24" s="13" customFormat="1" ht="15" x14ac:dyDescent="0.2">
      <c r="A57" s="97"/>
      <c r="B57" s="97"/>
      <c r="C57" s="100" t="s">
        <v>48</v>
      </c>
      <c r="D57" s="174"/>
      <c r="E57" s="167">
        <f>E67+0.8*E68</f>
        <v>4.6400000000000011E-2</v>
      </c>
      <c r="F57" s="102"/>
      <c r="G57" s="99"/>
      <c r="H57" s="99"/>
      <c r="I57" s="156"/>
      <c r="J57" s="100" t="s">
        <v>48</v>
      </c>
      <c r="K57" s="101"/>
      <c r="L57" s="162">
        <f>L67+0.8*L68</f>
        <v>5.8800000000000005E-2</v>
      </c>
      <c r="M57" s="102"/>
      <c r="N57" s="99"/>
      <c r="O57" s="99"/>
      <c r="P57" s="99"/>
      <c r="Q57" s="97"/>
      <c r="R57" s="97"/>
      <c r="S57" s="111"/>
      <c r="T57" s="111"/>
      <c r="U57" s="111"/>
      <c r="V57" s="111"/>
      <c r="W57" s="111"/>
      <c r="X57" s="111"/>
    </row>
    <row r="58" spans="1:24" s="13" customFormat="1" ht="15" x14ac:dyDescent="0.2">
      <c r="A58" s="97"/>
      <c r="B58" s="97"/>
      <c r="C58" s="103">
        <v>1</v>
      </c>
      <c r="D58" s="175"/>
      <c r="E58" s="168">
        <f>E67+C58*E68</f>
        <v>5.6400000000000006E-2</v>
      </c>
      <c r="F58" s="105"/>
      <c r="G58" s="99"/>
      <c r="H58" s="99"/>
      <c r="I58" s="156"/>
      <c r="J58" s="103">
        <v>1</v>
      </c>
      <c r="K58" s="104"/>
      <c r="L58" s="164">
        <f>L67+J58*L68</f>
        <v>7.2000000000000008E-2</v>
      </c>
      <c r="M58" s="105"/>
      <c r="N58" s="99"/>
      <c r="O58" s="99"/>
      <c r="P58" s="99"/>
      <c r="Q58" s="97"/>
      <c r="R58" s="97"/>
      <c r="S58" s="111"/>
      <c r="T58" s="111"/>
      <c r="U58" s="111"/>
      <c r="V58" s="111"/>
      <c r="W58" s="111"/>
      <c r="X58" s="111"/>
    </row>
    <row r="59" spans="1:24" s="13" customFormat="1" ht="15" x14ac:dyDescent="0.2">
      <c r="A59" s="97"/>
      <c r="B59" s="97"/>
      <c r="C59" s="103">
        <v>1.1000000000000001</v>
      </c>
      <c r="D59" s="175"/>
      <c r="E59" s="168">
        <f>E67+C59*E68</f>
        <v>6.140000000000001E-2</v>
      </c>
      <c r="F59" s="105"/>
      <c r="G59" s="99"/>
      <c r="H59" s="99"/>
      <c r="I59" s="156"/>
      <c r="J59" s="103">
        <v>1.1000000000000001</v>
      </c>
      <c r="K59" s="104"/>
      <c r="L59" s="163">
        <f>L67+J59*L68</f>
        <v>7.8600000000000017E-2</v>
      </c>
      <c r="M59" s="105"/>
      <c r="N59" s="99"/>
      <c r="O59" s="99"/>
      <c r="P59" s="99"/>
      <c r="Q59" s="97"/>
      <c r="R59" s="97"/>
      <c r="S59" s="111"/>
      <c r="T59" s="111"/>
      <c r="U59" s="111"/>
      <c r="V59" s="111"/>
      <c r="W59" s="111"/>
      <c r="X59" s="111"/>
    </row>
    <row r="60" spans="1:24" s="13" customFormat="1" ht="15" x14ac:dyDescent="0.2">
      <c r="A60" s="97"/>
      <c r="B60" s="97"/>
      <c r="C60" s="103">
        <v>1.2</v>
      </c>
      <c r="D60" s="175"/>
      <c r="E60" s="168">
        <f>E67+C60*E68</f>
        <v>6.6400000000000001E-2</v>
      </c>
      <c r="F60" s="105"/>
      <c r="G60" s="99"/>
      <c r="H60" s="99"/>
      <c r="I60" s="156"/>
      <c r="J60" s="103">
        <v>1.2</v>
      </c>
      <c r="K60" s="104"/>
      <c r="L60" s="164">
        <f>L67+J60*L68</f>
        <v>8.5200000000000012E-2</v>
      </c>
      <c r="M60" s="105"/>
      <c r="N60" s="99"/>
      <c r="O60" s="99"/>
      <c r="P60" s="99"/>
      <c r="Q60" s="97"/>
      <c r="R60" s="97"/>
      <c r="S60" s="111"/>
      <c r="T60" s="111"/>
      <c r="U60" s="111"/>
      <c r="V60" s="111"/>
      <c r="W60" s="111"/>
      <c r="X60" s="111"/>
    </row>
    <row r="61" spans="1:24" s="13" customFormat="1" ht="15" x14ac:dyDescent="0.2">
      <c r="A61" s="97"/>
      <c r="B61" s="97"/>
      <c r="C61" s="103">
        <v>1.3</v>
      </c>
      <c r="D61" s="175"/>
      <c r="E61" s="168">
        <f>E67+C61*E68</f>
        <v>7.1400000000000005E-2</v>
      </c>
      <c r="F61" s="105"/>
      <c r="G61" s="99"/>
      <c r="H61" s="99"/>
      <c r="I61" s="156"/>
      <c r="J61" s="103">
        <v>1.3</v>
      </c>
      <c r="K61" s="104"/>
      <c r="L61" s="163">
        <f>L67+J61*L68</f>
        <v>9.1800000000000007E-2</v>
      </c>
      <c r="M61" s="105"/>
      <c r="N61" s="99"/>
      <c r="O61" s="99"/>
      <c r="P61" s="99"/>
      <c r="Q61" s="97"/>
      <c r="R61" s="97"/>
      <c r="S61" s="111"/>
      <c r="T61" s="111"/>
      <c r="U61" s="111"/>
      <c r="V61" s="111"/>
      <c r="W61" s="111"/>
      <c r="X61" s="111"/>
    </row>
    <row r="62" spans="1:24" s="13" customFormat="1" ht="15" x14ac:dyDescent="0.2">
      <c r="A62" s="97"/>
      <c r="B62" s="97"/>
      <c r="C62" s="103">
        <v>1.4</v>
      </c>
      <c r="D62" s="175"/>
      <c r="E62" s="168">
        <f>E67+C62*E68</f>
        <v>7.6399999999999996E-2</v>
      </c>
      <c r="F62" s="105"/>
      <c r="G62" s="99"/>
      <c r="H62" s="99"/>
      <c r="I62" s="156"/>
      <c r="J62" s="103">
        <v>1.4</v>
      </c>
      <c r="K62" s="104"/>
      <c r="L62" s="164">
        <f>L67+J62*L68</f>
        <v>9.8400000000000001E-2</v>
      </c>
      <c r="M62" s="105"/>
      <c r="N62" s="99"/>
      <c r="O62" s="99"/>
      <c r="P62" s="99"/>
      <c r="Q62" s="97"/>
      <c r="R62" s="97"/>
      <c r="S62" s="111"/>
      <c r="T62" s="111"/>
      <c r="U62" s="111"/>
      <c r="V62" s="111"/>
      <c r="W62" s="111"/>
      <c r="X62" s="111"/>
    </row>
    <row r="63" spans="1:24" s="13" customFormat="1" ht="15" x14ac:dyDescent="0.2">
      <c r="A63" s="97"/>
      <c r="B63" s="97"/>
      <c r="C63" s="103">
        <v>1.5</v>
      </c>
      <c r="D63" s="175"/>
      <c r="E63" s="168">
        <f>E67+C63*E68</f>
        <v>8.1400000000000014E-2</v>
      </c>
      <c r="F63" s="105"/>
      <c r="G63" s="99"/>
      <c r="H63" s="99"/>
      <c r="I63" s="156"/>
      <c r="J63" s="103">
        <v>1.5</v>
      </c>
      <c r="K63" s="104"/>
      <c r="L63" s="163">
        <f>L67+J63*L68</f>
        <v>0.10500000000000001</v>
      </c>
      <c r="M63" s="105"/>
      <c r="N63" s="99"/>
      <c r="O63" s="99"/>
      <c r="P63" s="99"/>
      <c r="Q63" s="97"/>
      <c r="R63" s="97"/>
      <c r="S63" s="111"/>
      <c r="T63" s="111"/>
      <c r="U63" s="111"/>
      <c r="V63" s="111"/>
      <c r="W63" s="111"/>
      <c r="X63" s="111"/>
    </row>
    <row r="64" spans="1:24" s="13" customFormat="1" ht="15.75" thickBot="1" x14ac:dyDescent="0.25">
      <c r="A64" s="97"/>
      <c r="B64" s="97"/>
      <c r="C64" s="106" t="s">
        <v>51</v>
      </c>
      <c r="D64" s="176"/>
      <c r="E64" s="165">
        <f>E67+1.6*E68</f>
        <v>8.6400000000000018E-2</v>
      </c>
      <c r="F64" s="109"/>
      <c r="G64" s="99"/>
      <c r="H64" s="99"/>
      <c r="I64" s="156"/>
      <c r="J64" s="106" t="s">
        <v>51</v>
      </c>
      <c r="K64" s="107"/>
      <c r="L64" s="108">
        <f>L67+1.6*L68</f>
        <v>0.11160000000000002</v>
      </c>
      <c r="M64" s="109"/>
      <c r="N64" s="99"/>
      <c r="O64" s="99"/>
      <c r="P64" s="99"/>
      <c r="Q64" s="97"/>
      <c r="R64" s="97"/>
      <c r="S64" s="111"/>
      <c r="T64" s="111"/>
      <c r="U64" s="111"/>
      <c r="V64" s="111"/>
      <c r="W64" s="111"/>
      <c r="X64" s="111"/>
    </row>
    <row r="65" spans="1:24" s="13" customFormat="1" ht="15" x14ac:dyDescent="0.2">
      <c r="A65" s="97"/>
      <c r="B65" s="97"/>
      <c r="C65" s="98"/>
      <c r="D65" s="98"/>
      <c r="E65" s="98"/>
      <c r="F65" s="98"/>
      <c r="G65" s="99"/>
      <c r="H65" s="99"/>
      <c r="I65" s="156"/>
      <c r="J65" s="99"/>
      <c r="K65" s="99"/>
      <c r="L65" s="99"/>
      <c r="M65" s="99"/>
      <c r="N65" s="99"/>
      <c r="O65" s="99"/>
      <c r="P65" s="99"/>
      <c r="Q65" s="97"/>
      <c r="R65" s="97"/>
      <c r="S65" s="111"/>
      <c r="T65" s="111"/>
      <c r="U65" s="111"/>
      <c r="V65" s="111"/>
      <c r="W65" s="111"/>
      <c r="X65" s="111"/>
    </row>
    <row r="66" spans="1:24" s="70" customFormat="1" ht="20.100000000000001" customHeight="1" x14ac:dyDescent="0.2">
      <c r="A66" s="191"/>
      <c r="B66" s="192" t="s">
        <v>67</v>
      </c>
      <c r="C66" s="191"/>
      <c r="D66" s="193"/>
      <c r="E66" s="193"/>
      <c r="F66" s="193"/>
      <c r="G66" s="194"/>
      <c r="H66" s="194"/>
      <c r="I66" s="192" t="s">
        <v>67</v>
      </c>
      <c r="J66" s="191"/>
      <c r="K66" s="194"/>
      <c r="L66" s="194"/>
      <c r="M66" s="194"/>
      <c r="N66" s="194"/>
      <c r="O66" s="194"/>
      <c r="P66" s="194"/>
      <c r="Q66" s="191"/>
      <c r="R66" s="191"/>
      <c r="S66" s="195"/>
      <c r="T66" s="195"/>
      <c r="U66" s="195"/>
      <c r="V66" s="195"/>
      <c r="W66" s="195"/>
      <c r="X66" s="195"/>
    </row>
    <row r="67" spans="1:24" s="70" customFormat="1" ht="20.100000000000001" customHeight="1" x14ac:dyDescent="0.2">
      <c r="A67" s="191"/>
      <c r="B67" s="191"/>
      <c r="C67" s="191"/>
      <c r="D67" s="190" t="s">
        <v>73</v>
      </c>
      <c r="E67" s="186">
        <v>6.4000000000000003E-3</v>
      </c>
      <c r="F67" s="194"/>
      <c r="G67" s="194"/>
      <c r="H67" s="194"/>
      <c r="I67" s="194"/>
      <c r="J67" s="191"/>
      <c r="K67" s="190" t="s">
        <v>73</v>
      </c>
      <c r="L67" s="186">
        <v>6.0000000000000001E-3</v>
      </c>
      <c r="M67" s="194"/>
      <c r="N67" s="194"/>
      <c r="O67" s="194"/>
      <c r="P67" s="194"/>
      <c r="Q67" s="191"/>
      <c r="R67" s="191"/>
      <c r="S67" s="195"/>
      <c r="T67" s="195"/>
      <c r="U67" s="195"/>
      <c r="V67" s="195"/>
      <c r="W67" s="195"/>
      <c r="X67" s="195"/>
    </row>
    <row r="68" spans="1:24" s="70" customFormat="1" ht="20.100000000000001" customHeight="1" x14ac:dyDescent="0.2">
      <c r="A68" s="191"/>
      <c r="B68" s="191"/>
      <c r="C68" s="191"/>
      <c r="D68" s="190" t="s">
        <v>68</v>
      </c>
      <c r="E68" s="186">
        <v>0.05</v>
      </c>
      <c r="F68" s="194"/>
      <c r="G68" s="194"/>
      <c r="H68" s="194"/>
      <c r="I68" s="194"/>
      <c r="J68" s="191"/>
      <c r="K68" s="190" t="s">
        <v>68</v>
      </c>
      <c r="L68" s="186">
        <v>6.6000000000000003E-2</v>
      </c>
      <c r="M68" s="194"/>
      <c r="N68" s="194"/>
      <c r="O68" s="194"/>
      <c r="P68" s="194"/>
      <c r="Q68" s="191"/>
      <c r="R68" s="191"/>
      <c r="S68" s="195"/>
      <c r="T68" s="195"/>
      <c r="U68" s="195"/>
      <c r="V68" s="195"/>
      <c r="W68" s="195"/>
      <c r="X68" s="195"/>
    </row>
    <row r="69" spans="1:24" s="13" customFormat="1" ht="15" x14ac:dyDescent="0.2">
      <c r="A69" s="97"/>
      <c r="B69" s="97"/>
      <c r="C69" s="98"/>
      <c r="D69" s="98"/>
      <c r="E69" s="98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7"/>
      <c r="R69" s="97"/>
      <c r="S69" s="111"/>
      <c r="T69" s="111"/>
      <c r="U69" s="111"/>
      <c r="V69" s="111"/>
      <c r="W69" s="111"/>
      <c r="X69" s="111"/>
    </row>
    <row r="70" spans="1:24" s="13" customFormat="1" ht="15" x14ac:dyDescent="0.2">
      <c r="A70" s="97"/>
      <c r="B70" s="97"/>
      <c r="C70" s="98" t="s">
        <v>69</v>
      </c>
      <c r="D70" s="98"/>
      <c r="E70" s="98"/>
      <c r="F70" s="99"/>
      <c r="G70" s="99"/>
      <c r="H70" s="99"/>
      <c r="I70" s="99"/>
      <c r="J70" s="98" t="s">
        <v>69</v>
      </c>
      <c r="K70" s="99"/>
      <c r="L70" s="99"/>
      <c r="M70" s="99"/>
      <c r="N70" s="99"/>
      <c r="O70" s="99"/>
      <c r="P70" s="99"/>
      <c r="Q70" s="97"/>
      <c r="R70" s="97"/>
      <c r="S70" s="111"/>
      <c r="T70" s="111"/>
      <c r="U70" s="111"/>
      <c r="V70" s="111"/>
      <c r="W70" s="111"/>
      <c r="X70" s="111"/>
    </row>
    <row r="71" spans="1:24" s="13" customFormat="1" ht="15" x14ac:dyDescent="0.2">
      <c r="A71" s="97"/>
      <c r="B71" s="97"/>
      <c r="C71" s="166" t="s">
        <v>70</v>
      </c>
      <c r="D71" s="166"/>
      <c r="E71" s="98"/>
      <c r="F71" s="99"/>
      <c r="G71" s="99"/>
      <c r="H71" s="99"/>
      <c r="I71" s="99"/>
      <c r="J71" s="166" t="s">
        <v>71</v>
      </c>
      <c r="K71" s="99"/>
      <c r="L71" s="99"/>
      <c r="M71" s="99"/>
      <c r="N71" s="99"/>
      <c r="O71" s="99"/>
      <c r="P71" s="99"/>
      <c r="Q71" s="97"/>
      <c r="R71" s="97"/>
      <c r="S71" s="111"/>
      <c r="T71" s="111"/>
      <c r="U71" s="111"/>
      <c r="V71" s="111"/>
      <c r="W71" s="111"/>
      <c r="X71" s="111"/>
    </row>
    <row r="72" spans="1:24" s="13" customFormat="1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111"/>
      <c r="T72" s="111"/>
      <c r="U72" s="111"/>
      <c r="V72" s="111"/>
      <c r="W72" s="111"/>
      <c r="X72" s="111"/>
    </row>
    <row r="73" spans="1:24" ht="15" x14ac:dyDescent="0.2">
      <c r="A73" s="156"/>
      <c r="B73" s="156"/>
      <c r="C73" s="110"/>
      <c r="D73" s="110"/>
      <c r="E73" s="110"/>
      <c r="F73" s="110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156"/>
      <c r="R73" s="156"/>
      <c r="S73" s="126"/>
      <c r="T73" s="126"/>
      <c r="U73" s="126"/>
      <c r="V73" s="126"/>
      <c r="W73" s="126"/>
      <c r="X73" s="126"/>
    </row>
    <row r="74" spans="1:24" ht="15" x14ac:dyDescent="0.2">
      <c r="A74" s="156"/>
      <c r="B74" s="156"/>
      <c r="C74" s="110" t="s">
        <v>5</v>
      </c>
      <c r="D74" s="110"/>
      <c r="E74" s="110"/>
      <c r="F74" s="110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156"/>
      <c r="R74" s="156"/>
      <c r="S74" s="126"/>
      <c r="T74" s="126"/>
      <c r="U74" s="126"/>
      <c r="V74" s="126"/>
      <c r="W74" s="126"/>
      <c r="X74" s="126"/>
    </row>
    <row r="75" spans="1:24" ht="15.75" thickBot="1" x14ac:dyDescent="0.25">
      <c r="A75" s="156"/>
      <c r="B75" s="156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156"/>
      <c r="R75" s="156"/>
      <c r="S75" s="126"/>
      <c r="T75" s="126"/>
      <c r="U75" s="126"/>
      <c r="V75" s="126"/>
      <c r="W75" s="126"/>
      <c r="X75" s="126"/>
    </row>
    <row r="76" spans="1:24" ht="15.75" thickBot="1" x14ac:dyDescent="0.25">
      <c r="A76" s="156"/>
      <c r="B76" s="156"/>
      <c r="C76" s="160" t="s">
        <v>6</v>
      </c>
      <c r="D76" s="180"/>
      <c r="E76" s="161" t="s">
        <v>7</v>
      </c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156"/>
      <c r="R76" s="156"/>
      <c r="S76" s="126"/>
      <c r="T76" s="126"/>
      <c r="U76" s="126"/>
      <c r="V76" s="126"/>
      <c r="W76" s="126"/>
      <c r="X76" s="126"/>
    </row>
    <row r="77" spans="1:24" ht="15" x14ac:dyDescent="0.2">
      <c r="A77" s="156"/>
      <c r="B77" s="156"/>
      <c r="C77" s="181" t="s">
        <v>8</v>
      </c>
      <c r="D77" s="102"/>
      <c r="E77" s="115" t="s">
        <v>12</v>
      </c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156"/>
      <c r="R77" s="156"/>
      <c r="S77" s="126"/>
      <c r="T77" s="126"/>
      <c r="U77" s="126"/>
      <c r="V77" s="126"/>
      <c r="W77" s="126"/>
      <c r="X77" s="126"/>
    </row>
    <row r="78" spans="1:24" ht="15" x14ac:dyDescent="0.2">
      <c r="A78" s="156"/>
      <c r="B78" s="156"/>
      <c r="C78" s="182" t="s">
        <v>9</v>
      </c>
      <c r="D78" s="105"/>
      <c r="E78" s="116" t="s">
        <v>13</v>
      </c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156"/>
      <c r="R78" s="156"/>
      <c r="S78" s="126"/>
      <c r="T78" s="126"/>
      <c r="U78" s="126"/>
      <c r="V78" s="126"/>
      <c r="W78" s="126"/>
      <c r="X78" s="126"/>
    </row>
    <row r="79" spans="1:24" ht="15" x14ac:dyDescent="0.2">
      <c r="A79" s="156"/>
      <c r="B79" s="156"/>
      <c r="C79" s="182" t="s">
        <v>10</v>
      </c>
      <c r="D79" s="105"/>
      <c r="E79" s="116" t="s">
        <v>14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156"/>
      <c r="R79" s="156"/>
      <c r="S79" s="126"/>
      <c r="T79" s="126"/>
      <c r="U79" s="126"/>
      <c r="V79" s="126"/>
      <c r="W79" s="126"/>
      <c r="X79" s="126"/>
    </row>
    <row r="80" spans="1:24" ht="15" x14ac:dyDescent="0.2">
      <c r="A80" s="156"/>
      <c r="B80" s="156"/>
      <c r="C80" s="182" t="s">
        <v>11</v>
      </c>
      <c r="D80" s="105"/>
      <c r="E80" s="116" t="s">
        <v>15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156"/>
      <c r="R80" s="156"/>
      <c r="S80" s="126"/>
      <c r="T80" s="126"/>
      <c r="U80" s="126"/>
      <c r="V80" s="126"/>
      <c r="W80" s="126"/>
      <c r="X80" s="126"/>
    </row>
    <row r="81" spans="1:24" ht="15" x14ac:dyDescent="0.2">
      <c r="A81" s="156"/>
      <c r="B81" s="156"/>
      <c r="C81" s="182" t="s">
        <v>16</v>
      </c>
      <c r="D81" s="105"/>
      <c r="E81" s="116" t="s">
        <v>18</v>
      </c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156"/>
      <c r="R81" s="156"/>
      <c r="S81" s="126"/>
      <c r="T81" s="126"/>
      <c r="U81" s="126"/>
      <c r="V81" s="126"/>
      <c r="W81" s="126"/>
      <c r="X81" s="126"/>
    </row>
    <row r="82" spans="1:24" ht="15.75" thickBot="1" x14ac:dyDescent="0.25">
      <c r="A82" s="156"/>
      <c r="B82" s="156"/>
      <c r="C82" s="183" t="s">
        <v>17</v>
      </c>
      <c r="D82" s="109"/>
      <c r="E82" s="117" t="s">
        <v>56</v>
      </c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26"/>
      <c r="T82" s="126"/>
      <c r="U82" s="126"/>
      <c r="V82" s="126"/>
      <c r="W82" s="126"/>
      <c r="X82" s="126"/>
    </row>
    <row r="83" spans="1:24" x14ac:dyDescent="0.2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26"/>
      <c r="T83" s="126"/>
      <c r="U83" s="126"/>
      <c r="V83" s="126"/>
      <c r="W83" s="126"/>
      <c r="X83" s="126"/>
    </row>
  </sheetData>
  <mergeCells count="23">
    <mergeCell ref="M16:N16"/>
    <mergeCell ref="B2:R2"/>
    <mergeCell ref="B3:R3"/>
    <mergeCell ref="F8:H8"/>
    <mergeCell ref="M8:N8"/>
    <mergeCell ref="F10:H10"/>
    <mergeCell ref="M10:N10"/>
    <mergeCell ref="C12:E12"/>
    <mergeCell ref="G12:H12"/>
    <mergeCell ref="M12:N12"/>
    <mergeCell ref="G14:H14"/>
    <mergeCell ref="M14:N14"/>
    <mergeCell ref="G16:H16"/>
    <mergeCell ref="C27:E27"/>
    <mergeCell ref="C32:E32"/>
    <mergeCell ref="F24:H24"/>
    <mergeCell ref="L24:M24"/>
    <mergeCell ref="F18:H18"/>
    <mergeCell ref="M18:N18"/>
    <mergeCell ref="F20:H20"/>
    <mergeCell ref="L20:M20"/>
    <mergeCell ref="F22:H22"/>
    <mergeCell ref="L22:M22"/>
  </mergeCells>
  <dataValidations count="2">
    <dataValidation type="list" allowBlank="1" showInputMessage="1" showErrorMessage="1" sqref="P6" xr:uid="{00000000-0002-0000-0100-000000000000}">
      <formula1>$E$77:$E$82</formula1>
    </dataValidation>
    <dataValidation type="list" allowBlank="1" showInputMessage="1" showErrorMessage="1" sqref="C12:D12" xr:uid="{8D86B985-1EE3-44DD-B51A-CD1E72612E1C}">
      <formula1>$AA$6:$AA$7</formula1>
    </dataValidation>
  </dataValidations>
  <hyperlinks>
    <hyperlink ref="C71" r:id="rId1" xr:uid="{C903F493-BD93-4B65-96F3-0EEFC45C56D2}"/>
    <hyperlink ref="J71" r:id="rId2" xr:uid="{0937E8D1-F987-46A9-A230-B7DAA5CE1EB8}"/>
  </hyperlinks>
  <printOptions horizontalCentered="1" verticalCentered="1"/>
  <pageMargins left="0.25" right="0.25" top="0.75" bottom="0.5" header="0.5" footer="0.5"/>
  <pageSetup paperSize="9" orientation="portrait" horizontalDpi="4294967292" verticalDpi="4294967292" r:id="rId3"/>
  <headerFooter alignWithMargins="0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8"/>
  <sheetViews>
    <sheetView workbookViewId="0">
      <selection activeCell="B23" sqref="B23"/>
    </sheetView>
  </sheetViews>
  <sheetFormatPr defaultColWidth="8.625" defaultRowHeight="12.75" x14ac:dyDescent="0.2"/>
  <cols>
    <col min="1" max="1" width="20.875" style="13" customWidth="1"/>
    <col min="2" max="11" width="10.125" style="12" customWidth="1"/>
    <col min="12" max="16384" width="8.625" style="13"/>
  </cols>
  <sheetData>
    <row r="1" spans="1:11" ht="22.5" x14ac:dyDescent="0.3">
      <c r="A1" s="11" t="s">
        <v>34</v>
      </c>
    </row>
    <row r="2" spans="1:11" x14ac:dyDescent="0.2">
      <c r="A2" s="13" t="s">
        <v>37</v>
      </c>
    </row>
    <row r="4" spans="1:11" ht="26.25" customHeight="1" x14ac:dyDescent="0.3">
      <c r="A4" s="24" t="s">
        <v>39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D5" s="12" t="s">
        <v>31</v>
      </c>
    </row>
    <row r="7" spans="1:11" ht="15" x14ac:dyDescent="0.2">
      <c r="A7" s="25" t="s">
        <v>20</v>
      </c>
      <c r="B7" s="5" t="e">
        <f>#REF!</f>
        <v>#REF!</v>
      </c>
      <c r="C7" s="17"/>
      <c r="D7" s="17"/>
      <c r="E7" s="17"/>
      <c r="F7" s="17"/>
      <c r="G7" s="17"/>
      <c r="H7" s="17"/>
      <c r="I7" s="17"/>
      <c r="J7" s="17"/>
      <c r="K7" s="17"/>
    </row>
    <row r="8" spans="1:11" ht="15" x14ac:dyDescent="0.2">
      <c r="A8" s="25" t="s">
        <v>32</v>
      </c>
      <c r="B8" s="6" t="e">
        <f>#REF!</f>
        <v>#REF!</v>
      </c>
      <c r="C8" s="17"/>
      <c r="D8" s="17"/>
      <c r="E8" s="17"/>
      <c r="F8" s="17"/>
      <c r="G8" s="17"/>
      <c r="H8" s="17"/>
      <c r="I8" s="17"/>
      <c r="J8" s="17"/>
      <c r="K8" s="17"/>
    </row>
    <row r="9" spans="1:11" ht="15" x14ac:dyDescent="0.2">
      <c r="A9" s="25" t="s">
        <v>44</v>
      </c>
      <c r="B9" s="6" t="e">
        <f>#REF!</f>
        <v>#REF!</v>
      </c>
      <c r="C9" s="17"/>
      <c r="D9" s="17"/>
      <c r="E9" s="17"/>
      <c r="F9" s="17"/>
      <c r="G9" s="17"/>
      <c r="H9" s="17"/>
      <c r="I9" s="17"/>
      <c r="J9" s="17"/>
      <c r="K9" s="17"/>
    </row>
    <row r="10" spans="1:11" s="19" customFormat="1" ht="15" x14ac:dyDescent="0.2">
      <c r="A10" s="18" t="s">
        <v>19</v>
      </c>
      <c r="B10" s="18" t="e">
        <f>#REF!+1</f>
        <v>#REF!</v>
      </c>
      <c r="C10" s="18" t="e">
        <f>B10+1</f>
        <v>#REF!</v>
      </c>
      <c r="D10" s="18" t="e">
        <f t="shared" ref="D10:K10" si="0">C10+1</f>
        <v>#REF!</v>
      </c>
      <c r="E10" s="18" t="e">
        <f t="shared" si="0"/>
        <v>#REF!</v>
      </c>
      <c r="F10" s="18" t="e">
        <f t="shared" si="0"/>
        <v>#REF!</v>
      </c>
      <c r="G10" s="18" t="e">
        <f t="shared" si="0"/>
        <v>#REF!</v>
      </c>
      <c r="H10" s="18" t="e">
        <f t="shared" si="0"/>
        <v>#REF!</v>
      </c>
      <c r="I10" s="18" t="e">
        <f t="shared" si="0"/>
        <v>#REF!</v>
      </c>
      <c r="J10" s="18" t="e">
        <f t="shared" si="0"/>
        <v>#REF!</v>
      </c>
      <c r="K10" s="18" t="e">
        <f t="shared" si="0"/>
        <v>#REF!</v>
      </c>
    </row>
    <row r="11" spans="1:11" ht="15" x14ac:dyDescent="0.2">
      <c r="A11" s="20" t="s">
        <v>23</v>
      </c>
      <c r="B11" s="26" t="e">
        <f>B7*(1+B8)</f>
        <v>#REF!</v>
      </c>
      <c r="C11" s="26" t="e">
        <f>B11*(1+B8)</f>
        <v>#REF!</v>
      </c>
      <c r="D11" s="26" t="e">
        <f>C11*(1+B8)</f>
        <v>#REF!</v>
      </c>
      <c r="E11" s="26" t="e">
        <f>D11*(1+B8)</f>
        <v>#REF!</v>
      </c>
      <c r="F11" s="26" t="e">
        <f>E11*(1+B8)</f>
        <v>#REF!</v>
      </c>
      <c r="G11" s="26" t="e">
        <f>F11*(1+B8)</f>
        <v>#REF!</v>
      </c>
      <c r="H11" s="26" t="e">
        <f>G11*(1+B8)</f>
        <v>#REF!</v>
      </c>
      <c r="I11" s="26" t="e">
        <f>H11*(1+B8)</f>
        <v>#REF!</v>
      </c>
      <c r="J11" s="26" t="e">
        <f>I11*(1+B8)</f>
        <v>#REF!</v>
      </c>
      <c r="K11" s="26" t="e">
        <f>J11*(1+B8)</f>
        <v>#REF!</v>
      </c>
    </row>
    <row r="12" spans="1:11" ht="15" x14ac:dyDescent="0.2">
      <c r="A12" s="27" t="s">
        <v>21</v>
      </c>
      <c r="B12" s="28" t="e">
        <f>1/(1+$B$9)</f>
        <v>#REF!</v>
      </c>
      <c r="C12" s="28" t="e">
        <f>B12/(1+$B$9)</f>
        <v>#REF!</v>
      </c>
      <c r="D12" s="28" t="e">
        <f t="shared" ref="D12:K12" si="1">C12/(1+$B$9)</f>
        <v>#REF!</v>
      </c>
      <c r="E12" s="28" t="e">
        <f t="shared" si="1"/>
        <v>#REF!</v>
      </c>
      <c r="F12" s="28" t="e">
        <f t="shared" si="1"/>
        <v>#REF!</v>
      </c>
      <c r="G12" s="28" t="e">
        <f t="shared" si="1"/>
        <v>#REF!</v>
      </c>
      <c r="H12" s="28" t="e">
        <f t="shared" si="1"/>
        <v>#REF!</v>
      </c>
      <c r="I12" s="28" t="e">
        <f t="shared" si="1"/>
        <v>#REF!</v>
      </c>
      <c r="J12" s="28" t="e">
        <f t="shared" si="1"/>
        <v>#REF!</v>
      </c>
      <c r="K12" s="28" t="e">
        <f t="shared" si="1"/>
        <v>#REF!</v>
      </c>
    </row>
    <row r="13" spans="1:11" ht="15" x14ac:dyDescent="0.2">
      <c r="A13" s="29" t="s">
        <v>22</v>
      </c>
      <c r="B13" s="30" t="e">
        <f t="shared" ref="B13:K13" si="2">B11*B12</f>
        <v>#REF!</v>
      </c>
      <c r="C13" s="30" t="e">
        <f t="shared" si="2"/>
        <v>#REF!</v>
      </c>
      <c r="D13" s="30" t="e">
        <f t="shared" si="2"/>
        <v>#REF!</v>
      </c>
      <c r="E13" s="30" t="e">
        <f t="shared" si="2"/>
        <v>#REF!</v>
      </c>
      <c r="F13" s="30" t="e">
        <f t="shared" si="2"/>
        <v>#REF!</v>
      </c>
      <c r="G13" s="30" t="e">
        <f t="shared" si="2"/>
        <v>#REF!</v>
      </c>
      <c r="H13" s="30" t="e">
        <f t="shared" si="2"/>
        <v>#REF!</v>
      </c>
      <c r="I13" s="30" t="e">
        <f t="shared" si="2"/>
        <v>#REF!</v>
      </c>
      <c r="J13" s="30" t="e">
        <f t="shared" si="2"/>
        <v>#REF!</v>
      </c>
      <c r="K13" s="30" t="e">
        <f t="shared" si="2"/>
        <v>#REF!</v>
      </c>
    </row>
    <row r="14" spans="1:11" ht="15" x14ac:dyDescent="0.2">
      <c r="A14" s="31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ht="15" x14ac:dyDescent="0.2">
      <c r="A15" s="38" t="s">
        <v>45</v>
      </c>
      <c r="B15" s="39" t="e">
        <f>SUM(B13:K13)</f>
        <v>#REF!</v>
      </c>
      <c r="D15" s="22"/>
      <c r="E15" s="22"/>
      <c r="F15" s="22"/>
      <c r="G15" s="22"/>
      <c r="H15" s="22"/>
      <c r="I15" s="22"/>
      <c r="J15" s="22"/>
      <c r="K15" s="22"/>
    </row>
    <row r="17" spans="1:9" ht="15" x14ac:dyDescent="0.2">
      <c r="A17" s="32" t="s">
        <v>24</v>
      </c>
      <c r="B17" s="33"/>
      <c r="C17" s="33"/>
      <c r="D17" s="33"/>
      <c r="E17" s="33"/>
      <c r="F17" s="33"/>
      <c r="G17" s="33"/>
      <c r="H17" s="33"/>
      <c r="I17" s="34"/>
    </row>
    <row r="18" spans="1:9" ht="15" x14ac:dyDescent="0.2">
      <c r="A18" s="35" t="s">
        <v>25</v>
      </c>
      <c r="B18" s="36"/>
      <c r="C18" s="36"/>
      <c r="D18" s="36"/>
      <c r="E18" s="36"/>
      <c r="F18" s="36"/>
      <c r="G18" s="36"/>
      <c r="H18" s="36"/>
      <c r="I18" s="37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3"/>
  <sheetViews>
    <sheetView workbookViewId="0">
      <selection activeCell="C26" sqref="C26"/>
    </sheetView>
  </sheetViews>
  <sheetFormatPr defaultColWidth="11" defaultRowHeight="12.75" x14ac:dyDescent="0.2"/>
  <cols>
    <col min="1" max="1" width="27" style="13" customWidth="1"/>
    <col min="2" max="2" width="14.5" style="12" customWidth="1"/>
    <col min="3" max="3" width="15.125" style="12" customWidth="1"/>
    <col min="4" max="4" width="13.875" style="12" customWidth="1"/>
    <col min="5" max="11" width="14" style="12" bestFit="1" customWidth="1"/>
    <col min="12" max="16384" width="11" style="13"/>
  </cols>
  <sheetData>
    <row r="1" spans="1:11" ht="22.5" x14ac:dyDescent="0.3">
      <c r="A1" s="11" t="s">
        <v>34</v>
      </c>
    </row>
    <row r="2" spans="1:11" x14ac:dyDescent="0.2">
      <c r="A2" s="13" t="s">
        <v>37</v>
      </c>
    </row>
    <row r="4" spans="1:11" ht="26.25" customHeight="1" x14ac:dyDescent="0.3">
      <c r="A4" s="248" t="s">
        <v>38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</row>
    <row r="5" spans="1:11" x14ac:dyDescent="0.2">
      <c r="D5" s="12" t="s">
        <v>30</v>
      </c>
    </row>
    <row r="7" spans="1:11" ht="15" x14ac:dyDescent="0.2">
      <c r="A7" s="246" t="s">
        <v>35</v>
      </c>
      <c r="B7" s="247"/>
      <c r="C7" s="3" t="str">
        <f>'VMI Calculator (10 years)'!F12</f>
        <v>USD$</v>
      </c>
      <c r="D7" s="15" t="s">
        <v>36</v>
      </c>
      <c r="E7" s="16"/>
      <c r="F7" s="16"/>
      <c r="G7" s="16"/>
      <c r="H7" s="16"/>
      <c r="I7" s="16"/>
      <c r="J7" s="16"/>
      <c r="K7" s="16"/>
    </row>
    <row r="8" spans="1:11" ht="15" x14ac:dyDescent="0.2">
      <c r="A8" s="246" t="s">
        <v>26</v>
      </c>
      <c r="B8" s="247"/>
      <c r="C8" s="4">
        <f>'VMI Calculator (10 years)'!F20</f>
        <v>0.15</v>
      </c>
      <c r="D8" s="1"/>
      <c r="E8" s="2"/>
      <c r="F8" s="2"/>
      <c r="G8" s="2"/>
      <c r="H8" s="2"/>
      <c r="I8" s="2"/>
      <c r="J8" s="2"/>
      <c r="K8" s="2"/>
    </row>
    <row r="9" spans="1:11" ht="15" x14ac:dyDescent="0.2">
      <c r="A9" s="255" t="s">
        <v>44</v>
      </c>
      <c r="B9" s="256"/>
      <c r="C9" s="6">
        <f>'VMI Calculator (10 years)'!L24</f>
        <v>6.6000000000000003E-2</v>
      </c>
      <c r="D9" s="17"/>
      <c r="E9" s="17"/>
      <c r="F9" s="17"/>
      <c r="G9" s="17"/>
      <c r="H9" s="17"/>
      <c r="I9" s="17"/>
      <c r="J9" s="17"/>
      <c r="K9" s="17"/>
    </row>
    <row r="11" spans="1:11" ht="15" x14ac:dyDescent="0.2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s="19" customFormat="1" ht="15" x14ac:dyDescent="0.2">
      <c r="A12" s="18" t="s">
        <v>19</v>
      </c>
      <c r="B12" s="18">
        <f>'VMI Calculator (10 years)'!L22+1</f>
        <v>2020</v>
      </c>
      <c r="C12" s="18">
        <f>B12+1</f>
        <v>2021</v>
      </c>
      <c r="D12" s="18">
        <f t="shared" ref="D12:K12" si="0">C12+1</f>
        <v>2022</v>
      </c>
      <c r="E12" s="18">
        <f t="shared" si="0"/>
        <v>2023</v>
      </c>
      <c r="F12" s="18">
        <f t="shared" si="0"/>
        <v>2024</v>
      </c>
      <c r="G12" s="18">
        <f t="shared" si="0"/>
        <v>2025</v>
      </c>
      <c r="H12" s="18">
        <f t="shared" si="0"/>
        <v>2026</v>
      </c>
      <c r="I12" s="18">
        <f t="shared" si="0"/>
        <v>2027</v>
      </c>
      <c r="J12" s="18">
        <f t="shared" si="0"/>
        <v>2028</v>
      </c>
      <c r="K12" s="18">
        <f t="shared" si="0"/>
        <v>2029</v>
      </c>
    </row>
    <row r="13" spans="1:11" s="70" customFormat="1" ht="15" x14ac:dyDescent="0.2">
      <c r="A13" s="68" t="s">
        <v>40</v>
      </c>
      <c r="B13" s="69" t="e">
        <f>C7*(1+C8)</f>
        <v>#VALUE!</v>
      </c>
      <c r="C13" s="69" t="e">
        <f>B13*(1+$C$8)</f>
        <v>#VALUE!</v>
      </c>
      <c r="D13" s="69" t="e">
        <f t="shared" ref="D13:K13" si="1">C13*(1+$C$8)</f>
        <v>#VALUE!</v>
      </c>
      <c r="E13" s="69" t="e">
        <f t="shared" si="1"/>
        <v>#VALUE!</v>
      </c>
      <c r="F13" s="69" t="e">
        <f t="shared" si="1"/>
        <v>#VALUE!</v>
      </c>
      <c r="G13" s="69" t="e">
        <f t="shared" si="1"/>
        <v>#VALUE!</v>
      </c>
      <c r="H13" s="69" t="e">
        <f t="shared" si="1"/>
        <v>#VALUE!</v>
      </c>
      <c r="I13" s="69" t="e">
        <f t="shared" si="1"/>
        <v>#VALUE!</v>
      </c>
      <c r="J13" s="69" t="e">
        <f t="shared" si="1"/>
        <v>#VALUE!</v>
      </c>
      <c r="K13" s="69" t="e">
        <f t="shared" si="1"/>
        <v>#VALUE!</v>
      </c>
    </row>
    <row r="14" spans="1:11" s="70" customFormat="1" ht="15" x14ac:dyDescent="0.2">
      <c r="A14" s="71" t="s">
        <v>21</v>
      </c>
      <c r="B14" s="72">
        <f>1/(1+$C$9)</f>
        <v>0.9380863039399624</v>
      </c>
      <c r="C14" s="72">
        <f>B14/(1+$C$9)</f>
        <v>0.88000591363973957</v>
      </c>
      <c r="D14" s="72">
        <f t="shared" ref="D14:K14" si="2">C14/(1+$C$9)</f>
        <v>0.82552149497161309</v>
      </c>
      <c r="E14" s="72">
        <f t="shared" si="2"/>
        <v>0.77441040804091277</v>
      </c>
      <c r="F14" s="72">
        <f t="shared" si="2"/>
        <v>0.72646379741173805</v>
      </c>
      <c r="G14" s="72">
        <f t="shared" si="2"/>
        <v>0.68148573866016704</v>
      </c>
      <c r="H14" s="72">
        <f t="shared" si="2"/>
        <v>0.63929243776751121</v>
      </c>
      <c r="I14" s="72">
        <f t="shared" si="2"/>
        <v>0.59971148008209307</v>
      </c>
      <c r="J14" s="72">
        <f t="shared" si="2"/>
        <v>0.56258112578057506</v>
      </c>
      <c r="K14" s="72">
        <f t="shared" si="2"/>
        <v>0.52774964894988274</v>
      </c>
    </row>
    <row r="15" spans="1:11" s="70" customFormat="1" ht="15" x14ac:dyDescent="0.2">
      <c r="A15" s="73" t="s">
        <v>22</v>
      </c>
      <c r="B15" s="74" t="e">
        <f t="shared" ref="B15:K15" si="3">B13*B14</f>
        <v>#VALUE!</v>
      </c>
      <c r="C15" s="74" t="e">
        <f t="shared" si="3"/>
        <v>#VALUE!</v>
      </c>
      <c r="D15" s="74" t="e">
        <f t="shared" si="3"/>
        <v>#VALUE!</v>
      </c>
      <c r="E15" s="74" t="e">
        <f t="shared" si="3"/>
        <v>#VALUE!</v>
      </c>
      <c r="F15" s="74" t="e">
        <f t="shared" si="3"/>
        <v>#VALUE!</v>
      </c>
      <c r="G15" s="74" t="e">
        <f t="shared" si="3"/>
        <v>#VALUE!</v>
      </c>
      <c r="H15" s="74" t="e">
        <f t="shared" si="3"/>
        <v>#VALUE!</v>
      </c>
      <c r="I15" s="74" t="e">
        <f t="shared" si="3"/>
        <v>#VALUE!</v>
      </c>
      <c r="J15" s="74" t="e">
        <f t="shared" si="3"/>
        <v>#VALUE!</v>
      </c>
      <c r="K15" s="74" t="e">
        <f t="shared" si="3"/>
        <v>#VALUE!</v>
      </c>
    </row>
    <row r="16" spans="1:11" ht="15" x14ac:dyDescent="0.2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ht="15" x14ac:dyDescent="0.2">
      <c r="A17" s="253" t="s">
        <v>28</v>
      </c>
      <c r="B17" s="254"/>
      <c r="C17" s="10">
        <f>'VMI Calculator (10 years)'!F24</f>
        <v>186.36</v>
      </c>
      <c r="D17" s="23" t="s">
        <v>36</v>
      </c>
    </row>
    <row r="18" spans="1:11" ht="15.75" thickBot="1" x14ac:dyDescent="0.25">
      <c r="A18" s="42"/>
      <c r="B18" s="43"/>
      <c r="C18" s="40"/>
      <c r="D18" s="41"/>
    </row>
    <row r="19" spans="1:11" ht="20.25" customHeight="1" thickBot="1" x14ac:dyDescent="0.25">
      <c r="A19" s="249" t="s">
        <v>27</v>
      </c>
      <c r="B19" s="250"/>
      <c r="C19" s="45" t="e">
        <f>B15+C15+D15+E15+F15+G15+H15+I15+J15+K15</f>
        <v>#VALUE!</v>
      </c>
      <c r="D19" s="44" t="s">
        <v>36</v>
      </c>
      <c r="E19" s="22"/>
      <c r="F19" s="22"/>
      <c r="G19" s="22"/>
      <c r="H19" s="22"/>
      <c r="I19" s="22"/>
      <c r="J19" s="22"/>
      <c r="K19" s="22"/>
    </row>
    <row r="20" spans="1:11" ht="20.25" customHeight="1" thickBot="1" x14ac:dyDescent="0.25">
      <c r="A20" s="251" t="s">
        <v>29</v>
      </c>
      <c r="B20" s="252"/>
      <c r="C20" s="257" t="e">
        <f>C19/C17</f>
        <v>#VALUE!</v>
      </c>
      <c r="D20" s="258"/>
    </row>
    <row r="22" spans="1:11" ht="15" x14ac:dyDescent="0.2">
      <c r="A22" s="240" t="s">
        <v>33</v>
      </c>
      <c r="B22" s="241"/>
      <c r="C22" s="241"/>
      <c r="D22" s="241"/>
      <c r="E22" s="241"/>
      <c r="F22" s="241"/>
      <c r="G22" s="241"/>
      <c r="H22" s="241"/>
      <c r="I22" s="241"/>
      <c r="J22" s="242"/>
    </row>
    <row r="23" spans="1:11" ht="15" x14ac:dyDescent="0.2">
      <c r="A23" s="243" t="s">
        <v>25</v>
      </c>
      <c r="B23" s="244"/>
      <c r="C23" s="244"/>
      <c r="D23" s="244"/>
      <c r="E23" s="244"/>
      <c r="F23" s="244"/>
      <c r="G23" s="244"/>
      <c r="H23" s="244"/>
      <c r="I23" s="244"/>
      <c r="J23" s="245"/>
    </row>
  </sheetData>
  <mergeCells count="10">
    <mergeCell ref="A22:J22"/>
    <mergeCell ref="A23:J23"/>
    <mergeCell ref="A7:B7"/>
    <mergeCell ref="A8:B8"/>
    <mergeCell ref="A4:K4"/>
    <mergeCell ref="A19:B19"/>
    <mergeCell ref="A20:B20"/>
    <mergeCell ref="A17:B17"/>
    <mergeCell ref="A9:B9"/>
    <mergeCell ref="C20:D20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VMI Calculator (10 years)</vt:lpstr>
      <vt:lpstr>VMI Calculator (20 years)</vt:lpstr>
      <vt:lpstr>'VMI Calculator (10 years)'!Print_Area</vt:lpstr>
      <vt:lpstr>'VMI Calculator (20 years)'!Print_Area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dania</cp:lastModifiedBy>
  <dcterms:created xsi:type="dcterms:W3CDTF">2007-04-04T13:06:54Z</dcterms:created>
  <dcterms:modified xsi:type="dcterms:W3CDTF">2020-08-03T12:58:41Z</dcterms:modified>
</cp:coreProperties>
</file>