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PatelSoham\Documents\"/>
    </mc:Choice>
  </mc:AlternateContent>
  <xr:revisionPtr revIDLastSave="0" documentId="13_ncr:1_{6BCA1A9D-C191-49BA-B9D5-B68D8841F9FA}" xr6:coauthVersionLast="47" xr6:coauthVersionMax="47" xr10:uidLastSave="{00000000-0000-0000-0000-000000000000}"/>
  <bookViews>
    <workbookView xWindow="-108" yWindow="-108" windowWidth="23256" windowHeight="12456" activeTab="3" xr2:uid="{00000000-000D-0000-FFFF-FFFF00000000}"/>
  </bookViews>
  <sheets>
    <sheet name="TABLE" sheetId="1" r:id="rId1"/>
    <sheet name="Sheet1" sheetId="2" r:id="rId2"/>
    <sheet name="Sheet2" sheetId="3" r:id="rId3"/>
    <sheet name="Sheet3" sheetId="5" r:id="rId4"/>
  </sheets>
  <definedNames>
    <definedName name="_xlnm._FilterDatabase" localSheetId="1" hidden="1">Sheet1!$U$1:$AK$1</definedName>
    <definedName name="_xlnm._FilterDatabase" localSheetId="2" hidden="1">Sheet2!$A$1:$C$7</definedName>
    <definedName name="NativeTimeline_Date">#N/A</definedName>
    <definedName name="Slicer_Customer_Gender">#N/A</definedName>
    <definedName name="Slicer_Quantity">#N/A</definedName>
    <definedName name="Slicer_Year">#N/A</definedName>
  </definedNames>
  <calcPr calcId="191029"/>
  <pivotCaches>
    <pivotCache cacheId="0" r:id="rId5"/>
    <pivotCache cacheId="1" r:id="rId6"/>
    <pivotCache cacheId="2" r:id="rId7"/>
    <pivotCache cacheId="3"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9" i="2" l="1" a="1"/>
  <c r="W19" i="2" s="1"/>
  <c r="V5" i="2" a="1"/>
  <c r="V5" i="2" s="1"/>
  <c r="C25" i="3"/>
  <c r="B25" i="3"/>
  <c r="A25" i="3"/>
  <c r="C24" i="3"/>
  <c r="B24" i="3"/>
  <c r="A24" i="3"/>
  <c r="C23" i="3"/>
  <c r="B23" i="3"/>
  <c r="A23" i="3"/>
  <c r="C22" i="3"/>
  <c r="B22" i="3"/>
  <c r="A22" i="3"/>
  <c r="C21" i="3"/>
  <c r="B21" i="3"/>
  <c r="A21" i="3"/>
  <c r="C20" i="3"/>
  <c r="B20" i="3"/>
  <c r="A20" i="3"/>
  <c r="C16" i="3"/>
  <c r="B16" i="3"/>
  <c r="A16" i="3"/>
  <c r="C15" i="3"/>
  <c r="B15" i="3"/>
  <c r="A15" i="3"/>
  <c r="C14" i="3"/>
  <c r="B14" i="3"/>
  <c r="A14" i="3"/>
  <c r="C13" i="3"/>
  <c r="B13" i="3"/>
  <c r="A13" i="3"/>
  <c r="C12" i="3"/>
  <c r="B12" i="3"/>
  <c r="A12" i="3"/>
  <c r="C11" i="3"/>
  <c r="B11" i="3"/>
  <c r="A11" i="3"/>
  <c r="C7" i="3"/>
  <c r="B7" i="3"/>
  <c r="A7" i="3"/>
  <c r="C6" i="3"/>
  <c r="B6" i="3"/>
  <c r="A6" i="3"/>
  <c r="C5" i="3"/>
  <c r="B5" i="3"/>
  <c r="A5" i="3"/>
  <c r="C4" i="3"/>
  <c r="B4" i="3"/>
  <c r="A4" i="3"/>
  <c r="C3" i="3"/>
  <c r="B3" i="3"/>
  <c r="A3" i="3"/>
  <c r="C2" i="3"/>
  <c r="B2" i="3"/>
  <c r="A2" i="3"/>
  <c r="Y5" i="2"/>
  <c r="X5" i="2"/>
  <c r="W23" i="2" a="1"/>
  <c r="W23" i="2" s="1"/>
  <c r="W24" i="2" a="1"/>
  <c r="W24" i="2"/>
  <c r="W25" i="2" a="1"/>
  <c r="W25" i="2"/>
  <c r="W26" i="2" a="1"/>
  <c r="W26" i="2"/>
  <c r="W27" i="2" a="1"/>
  <c r="W27" i="2" s="1"/>
  <c r="W28" i="2" a="1"/>
  <c r="W28" i="2"/>
  <c r="W29" i="2" a="1"/>
  <c r="W29" i="2"/>
  <c r="W30" i="2" a="1"/>
  <c r="W30" i="2"/>
  <c r="W31" i="2" a="1"/>
  <c r="W31" i="2" s="1"/>
  <c r="W32" i="2" a="1"/>
  <c r="W32" i="2"/>
  <c r="W33" i="2" a="1"/>
  <c r="W33" i="2"/>
  <c r="W34" i="2" a="1"/>
  <c r="W34" i="2"/>
  <c r="W35" i="2" a="1"/>
  <c r="W35" i="2" s="1"/>
  <c r="W36" i="2" a="1"/>
  <c r="W36" i="2"/>
  <c r="W37" i="2" a="1"/>
  <c r="W37" i="2"/>
  <c r="W38" i="2" a="1"/>
  <c r="W38" i="2"/>
  <c r="W39" i="2" a="1"/>
  <c r="W39" i="2" s="1"/>
  <c r="W40" i="2" a="1"/>
  <c r="W40" i="2"/>
  <c r="W41" i="2" a="1"/>
  <c r="W41" i="2"/>
  <c r="W42" i="2" a="1"/>
  <c r="W42" i="2"/>
  <c r="W43" i="2" a="1"/>
  <c r="W43" i="2" s="1"/>
  <c r="W44" i="2" a="1"/>
  <c r="W44" i="2"/>
  <c r="W45" i="2" a="1"/>
  <c r="W45" i="2"/>
  <c r="W46" i="2" a="1"/>
  <c r="W46" i="2"/>
  <c r="W47" i="2" a="1"/>
  <c r="W47" i="2" s="1"/>
  <c r="W48" i="2" a="1"/>
  <c r="W48" i="2"/>
  <c r="W49" i="2" a="1"/>
  <c r="W49" i="2"/>
  <c r="W50" i="2" a="1"/>
  <c r="W50" i="2"/>
  <c r="W51" i="2" a="1"/>
  <c r="W51" i="2" s="1"/>
  <c r="W52" i="2" a="1"/>
  <c r="W52" i="2"/>
  <c r="W53" i="2" a="1"/>
  <c r="W53" i="2"/>
  <c r="W54" i="2" a="1"/>
  <c r="W54" i="2"/>
  <c r="W55" i="2" a="1"/>
  <c r="W55" i="2" s="1"/>
  <c r="W56" i="2" a="1"/>
  <c r="W56" i="2"/>
  <c r="W57" i="2" a="1"/>
  <c r="W57" i="2"/>
  <c r="W58" i="2" a="1"/>
  <c r="W58" i="2"/>
  <c r="W59" i="2" a="1"/>
  <c r="W59" i="2" s="1"/>
  <c r="W60" i="2" a="1"/>
  <c r="W60" i="2"/>
  <c r="W61" i="2" a="1"/>
  <c r="W61" i="2"/>
  <c r="W62" i="2" a="1"/>
  <c r="W62" i="2"/>
  <c r="W63" i="2" a="1"/>
  <c r="W63" i="2" s="1"/>
  <c r="W64" i="2" a="1"/>
  <c r="W64" i="2"/>
  <c r="W65" i="2" a="1"/>
  <c r="W65" i="2"/>
  <c r="W66" i="2" a="1"/>
  <c r="W66" i="2"/>
  <c r="W67" i="2" a="1"/>
  <c r="W67" i="2" s="1"/>
  <c r="W68" i="2" a="1"/>
  <c r="W68" i="2"/>
  <c r="W69" i="2" a="1"/>
  <c r="W69" i="2"/>
  <c r="W70" i="2" a="1"/>
  <c r="W70" i="2"/>
  <c r="W71" i="2" a="1"/>
  <c r="W71" i="2" s="1"/>
  <c r="W72" i="2" a="1"/>
  <c r="W72" i="2"/>
  <c r="W73" i="2" a="1"/>
  <c r="W73" i="2"/>
  <c r="W74" i="2" a="1"/>
  <c r="W74" i="2"/>
  <c r="W75" i="2" a="1"/>
  <c r="W75" i="2" s="1"/>
  <c r="W76" i="2" a="1"/>
  <c r="W76" i="2"/>
  <c r="W77" i="2" a="1"/>
  <c r="W77" i="2"/>
  <c r="W78" i="2" a="1"/>
  <c r="W78" i="2"/>
  <c r="W79" i="2" a="1"/>
  <c r="W79" i="2" s="1"/>
  <c r="W80" i="2" a="1"/>
  <c r="W80" i="2"/>
  <c r="W81" i="2" a="1"/>
  <c r="W81" i="2"/>
  <c r="W82" i="2" a="1"/>
  <c r="W82" i="2"/>
  <c r="W83" i="2" a="1"/>
  <c r="W83" i="2" s="1"/>
  <c r="W84" i="2" a="1"/>
  <c r="W84" i="2"/>
  <c r="W85" i="2" a="1"/>
  <c r="W85" i="2"/>
  <c r="W86" i="2" a="1"/>
  <c r="W86" i="2"/>
  <c r="W87" i="2" a="1"/>
  <c r="W87" i="2" s="1"/>
  <c r="W88" i="2" a="1"/>
  <c r="W88" i="2"/>
  <c r="W89" i="2" a="1"/>
  <c r="W89" i="2"/>
  <c r="W90" i="2" a="1"/>
  <c r="W90" i="2"/>
  <c r="W91" i="2" a="1"/>
  <c r="W91" i="2" s="1"/>
  <c r="W92" i="2" a="1"/>
  <c r="W92" i="2"/>
  <c r="W93" i="2" a="1"/>
  <c r="W93" i="2"/>
  <c r="W94" i="2" a="1"/>
  <c r="W94" i="2"/>
  <c r="W95" i="2" a="1"/>
  <c r="W95" i="2" s="1"/>
  <c r="W96" i="2" a="1"/>
  <c r="W96" i="2"/>
  <c r="W97" i="2" a="1"/>
  <c r="W97" i="2"/>
  <c r="W98" i="2" a="1"/>
  <c r="W98" i="2"/>
  <c r="W99" i="2" a="1"/>
  <c r="W99" i="2" s="1"/>
  <c r="W100" i="2" a="1"/>
  <c r="W100" i="2"/>
  <c r="W101" i="2" a="1"/>
  <c r="W101" i="2"/>
  <c r="W102" i="2" a="1"/>
  <c r="W102" i="2"/>
  <c r="W103" i="2" a="1"/>
  <c r="W103" i="2" s="1"/>
  <c r="W104" i="2" a="1"/>
  <c r="W104" i="2"/>
  <c r="W105" i="2" a="1"/>
  <c r="W105" i="2"/>
  <c r="W106" i="2" a="1"/>
  <c r="W106" i="2"/>
  <c r="W107" i="2" a="1"/>
  <c r="W107" i="2" s="1"/>
  <c r="W108" i="2" a="1"/>
  <c r="W108" i="2"/>
  <c r="W109" i="2" a="1"/>
  <c r="W109" i="2"/>
  <c r="W110" i="2" a="1"/>
  <c r="W110" i="2"/>
  <c r="W111" i="2" a="1"/>
  <c r="W111" i="2" s="1"/>
  <c r="W112" i="2" a="1"/>
  <c r="W112" i="2"/>
  <c r="W113" i="2" a="1"/>
  <c r="W113" i="2"/>
  <c r="W114" i="2" a="1"/>
  <c r="W114" i="2"/>
  <c r="W115" i="2" a="1"/>
  <c r="W115" i="2" s="1"/>
  <c r="W116" i="2" a="1"/>
  <c r="W116" i="2"/>
  <c r="W117" i="2" a="1"/>
  <c r="W117" i="2"/>
  <c r="W118" i="2" a="1"/>
  <c r="W118" i="2"/>
  <c r="W119" i="2" a="1"/>
  <c r="W119" i="2" s="1"/>
  <c r="W120" i="2" a="1"/>
  <c r="W120" i="2"/>
  <c r="W121" i="2" a="1"/>
  <c r="W121" i="2"/>
  <c r="W122" i="2" a="1"/>
  <c r="W122" i="2"/>
  <c r="W123" i="2" a="1"/>
  <c r="W123" i="2" s="1"/>
  <c r="W124" i="2" a="1"/>
  <c r="W124" i="2"/>
  <c r="W125" i="2" a="1"/>
  <c r="W125" i="2"/>
  <c r="W126" i="2" a="1"/>
  <c r="W126" i="2"/>
  <c r="W127" i="2" a="1"/>
  <c r="W127" i="2" s="1"/>
  <c r="W128" i="2" a="1"/>
  <c r="W128" i="2"/>
  <c r="W129" i="2" a="1"/>
  <c r="W129" i="2"/>
  <c r="W130" i="2" a="1"/>
  <c r="W130" i="2"/>
  <c r="W131" i="2" a="1"/>
  <c r="W131" i="2" s="1"/>
  <c r="W132" i="2" a="1"/>
  <c r="W132" i="2"/>
  <c r="W133" i="2" a="1"/>
  <c r="W133" i="2"/>
  <c r="W134" i="2" a="1"/>
  <c r="W134" i="2"/>
  <c r="W135" i="2" a="1"/>
  <c r="W135" i="2" s="1"/>
  <c r="W136" i="2" a="1"/>
  <c r="W136" i="2"/>
  <c r="W137" i="2" a="1"/>
  <c r="W137" i="2"/>
  <c r="W138" i="2" a="1"/>
  <c r="W138" i="2"/>
  <c r="W139" i="2" a="1"/>
  <c r="W139" i="2" s="1"/>
  <c r="W140" i="2" a="1"/>
  <c r="W140" i="2"/>
  <c r="W141" i="2" a="1"/>
  <c r="W141" i="2"/>
  <c r="W142" i="2" a="1"/>
  <c r="W142" i="2"/>
  <c r="W143" i="2" a="1"/>
  <c r="W143" i="2" s="1"/>
  <c r="W144" i="2" a="1"/>
  <c r="W144" i="2"/>
  <c r="W145" i="2" a="1"/>
  <c r="W145" i="2"/>
  <c r="W146" i="2" a="1"/>
  <c r="W146" i="2"/>
  <c r="W147" i="2" a="1"/>
  <c r="W147" i="2" s="1"/>
  <c r="W148" i="2" a="1"/>
  <c r="W148" i="2"/>
  <c r="W149" i="2" a="1"/>
  <c r="W149" i="2"/>
  <c r="W150" i="2" a="1"/>
  <c r="W150" i="2"/>
  <c r="W151" i="2" a="1"/>
  <c r="W151" i="2" s="1"/>
  <c r="W152" i="2" a="1"/>
  <c r="W152" i="2"/>
  <c r="W153" i="2" a="1"/>
  <c r="W153" i="2"/>
  <c r="W154" i="2" a="1"/>
  <c r="W154" i="2"/>
  <c r="W155" i="2" a="1"/>
  <c r="W155" i="2" s="1"/>
  <c r="W156" i="2" a="1"/>
  <c r="W156" i="2"/>
  <c r="W157" i="2" a="1"/>
  <c r="W157" i="2"/>
  <c r="W158" i="2" a="1"/>
  <c r="W158" i="2"/>
  <c r="W159" i="2" a="1"/>
  <c r="W159" i="2" s="1"/>
  <c r="W160" i="2" a="1"/>
  <c r="W160" i="2"/>
  <c r="W161" i="2" a="1"/>
  <c r="W161" i="2"/>
  <c r="W162" i="2" a="1"/>
  <c r="W162" i="2"/>
  <c r="W163" i="2" a="1"/>
  <c r="W163" i="2" s="1"/>
  <c r="W164" i="2" a="1"/>
  <c r="W164" i="2"/>
  <c r="W165" i="2" a="1"/>
  <c r="W165" i="2"/>
  <c r="W166" i="2" a="1"/>
  <c r="W166" i="2"/>
  <c r="W167" i="2" a="1"/>
  <c r="W167" i="2" s="1"/>
  <c r="W168" i="2" a="1"/>
  <c r="W168" i="2"/>
  <c r="W169" i="2" a="1"/>
  <c r="W169" i="2"/>
  <c r="W170" i="2" a="1"/>
  <c r="W170" i="2"/>
  <c r="W171" i="2" a="1"/>
  <c r="W171" i="2" s="1"/>
  <c r="W172" i="2" a="1"/>
  <c r="W172" i="2"/>
  <c r="W173" i="2" a="1"/>
  <c r="W173" i="2"/>
  <c r="W174" i="2" a="1"/>
  <c r="W174" i="2"/>
  <c r="W175" i="2" a="1"/>
  <c r="W175" i="2" s="1"/>
  <c r="W176" i="2" a="1"/>
  <c r="W176" i="2"/>
  <c r="W177" i="2" a="1"/>
  <c r="W177" i="2"/>
  <c r="W178" i="2" a="1"/>
  <c r="W178" i="2"/>
  <c r="W179" i="2" a="1"/>
  <c r="W179" i="2" s="1"/>
  <c r="W180" i="2" a="1"/>
  <c r="W180" i="2"/>
  <c r="W181" i="2" a="1"/>
  <c r="W181" i="2"/>
  <c r="W182" i="2" a="1"/>
  <c r="W182" i="2"/>
  <c r="W183" i="2" a="1"/>
  <c r="W183" i="2" s="1"/>
  <c r="W184" i="2" a="1"/>
  <c r="W184" i="2"/>
  <c r="W185" i="2" a="1"/>
  <c r="W185" i="2"/>
  <c r="W186" i="2" a="1"/>
  <c r="W186" i="2"/>
  <c r="W187" i="2" a="1"/>
  <c r="W187" i="2" s="1"/>
  <c r="W188" i="2" a="1"/>
  <c r="W188" i="2"/>
  <c r="W189" i="2" a="1"/>
  <c r="W189" i="2"/>
  <c r="W190" i="2" a="1"/>
  <c r="W190" i="2"/>
  <c r="W191" i="2" a="1"/>
  <c r="W191" i="2" s="1"/>
  <c r="W192" i="2" a="1"/>
  <c r="W192" i="2"/>
  <c r="W193" i="2" a="1"/>
  <c r="W193" i="2"/>
  <c r="W194" i="2" a="1"/>
  <c r="W194" i="2"/>
  <c r="W195" i="2" a="1"/>
  <c r="W195" i="2" s="1"/>
  <c r="W196" i="2" a="1"/>
  <c r="W196" i="2"/>
  <c r="W197" i="2" a="1"/>
  <c r="W197" i="2"/>
  <c r="W198" i="2" a="1"/>
  <c r="W198" i="2"/>
  <c r="W199" i="2" a="1"/>
  <c r="W199" i="2" s="1"/>
  <c r="W200" i="2" a="1"/>
  <c r="W200" i="2"/>
  <c r="W201" i="2" a="1"/>
  <c r="W201" i="2"/>
  <c r="W202" i="2" a="1"/>
  <c r="W202" i="2"/>
  <c r="W203" i="2" a="1"/>
  <c r="W203" i="2" s="1"/>
  <c r="W204" i="2" a="1"/>
  <c r="W204" i="2"/>
  <c r="W205" i="2" a="1"/>
  <c r="W205" i="2"/>
  <c r="W206" i="2" a="1"/>
  <c r="W206" i="2"/>
  <c r="W207" i="2" a="1"/>
  <c r="W207" i="2" s="1"/>
  <c r="W6" i="2" a="1"/>
  <c r="W6" i="2" s="1"/>
  <c r="W7" i="2" a="1"/>
  <c r="W7" i="2"/>
  <c r="W8" i="2" a="1"/>
  <c r="W8" i="2"/>
  <c r="W9" i="2" a="1"/>
  <c r="W9" i="2"/>
  <c r="W10" i="2" a="1"/>
  <c r="W10" i="2" s="1"/>
  <c r="W11" i="2" a="1"/>
  <c r="W11" i="2"/>
  <c r="W12" i="2" a="1"/>
  <c r="W12" i="2"/>
  <c r="W13" i="2" a="1"/>
  <c r="W13" i="2"/>
  <c r="W14" i="2" a="1"/>
  <c r="W14" i="2" s="1"/>
  <c r="W15" i="2" a="1"/>
  <c r="W15" i="2"/>
  <c r="W16" i="2" a="1"/>
  <c r="W16" i="2"/>
  <c r="W17" i="2" a="1"/>
  <c r="W17" i="2"/>
  <c r="W18" i="2" a="1"/>
  <c r="W18" i="2" s="1"/>
  <c r="W20" i="2" a="1"/>
  <c r="W20" i="2"/>
  <c r="W21" i="2" a="1"/>
  <c r="W21" i="2"/>
  <c r="W22" i="2" a="1"/>
  <c r="W22" i="2" s="1"/>
  <c r="W5" i="2" a="1"/>
  <c r="W5" i="2" s="1"/>
  <c r="V204" i="2" a="1"/>
  <c r="V204" i="2" s="1"/>
  <c r="V205" i="2" a="1"/>
  <c r="V205" i="2"/>
  <c r="V206" i="2" a="1"/>
  <c r="V206" i="2"/>
  <c r="V207" i="2" a="1"/>
  <c r="V207" i="2"/>
  <c r="U207" i="2"/>
  <c r="U205" i="2"/>
  <c r="U206" i="2"/>
  <c r="V6" i="2" a="1"/>
  <c r="V6" i="2" s="1"/>
  <c r="V7" i="2" a="1"/>
  <c r="V7" i="2"/>
  <c r="V8" i="2" a="1"/>
  <c r="V8" i="2"/>
  <c r="V9" i="2" a="1"/>
  <c r="V9" i="2"/>
  <c r="V10" i="2" a="1"/>
  <c r="V10" i="2" s="1"/>
  <c r="V11" i="2" a="1"/>
  <c r="V11" i="2"/>
  <c r="V12" i="2" a="1"/>
  <c r="V12" i="2"/>
  <c r="V13" i="2" a="1"/>
  <c r="V13" i="2"/>
  <c r="V14" i="2" a="1"/>
  <c r="V14" i="2" s="1"/>
  <c r="V15" i="2" a="1"/>
  <c r="V15" i="2"/>
  <c r="V16" i="2" a="1"/>
  <c r="V16" i="2"/>
  <c r="V17" i="2" a="1"/>
  <c r="V17" i="2"/>
  <c r="V18" i="2" a="1"/>
  <c r="V18" i="2" s="1"/>
  <c r="V19" i="2" a="1"/>
  <c r="V19" i="2"/>
  <c r="V20" i="2" a="1"/>
  <c r="V20" i="2"/>
  <c r="V21" i="2" a="1"/>
  <c r="V21" i="2"/>
  <c r="V22" i="2" a="1"/>
  <c r="V22" i="2" s="1"/>
  <c r="V23" i="2" a="1"/>
  <c r="V23" i="2"/>
  <c r="V24" i="2" a="1"/>
  <c r="V24" i="2"/>
  <c r="V25" i="2" a="1"/>
  <c r="V25" i="2"/>
  <c r="V26" i="2" a="1"/>
  <c r="V26" i="2" s="1"/>
  <c r="V27" i="2" a="1"/>
  <c r="V27" i="2"/>
  <c r="V28" i="2" a="1"/>
  <c r="V28" i="2"/>
  <c r="V29" i="2" a="1"/>
  <c r="V29" i="2"/>
  <c r="V30" i="2" a="1"/>
  <c r="V30" i="2" s="1"/>
  <c r="V31" i="2" a="1"/>
  <c r="V31" i="2"/>
  <c r="V32" i="2" a="1"/>
  <c r="V32" i="2"/>
  <c r="V33" i="2" a="1"/>
  <c r="V33" i="2"/>
  <c r="V34" i="2" a="1"/>
  <c r="V34" i="2" s="1"/>
  <c r="V35" i="2" a="1"/>
  <c r="V35" i="2"/>
  <c r="V36" i="2" a="1"/>
  <c r="V36" i="2"/>
  <c r="V37" i="2" a="1"/>
  <c r="V37" i="2"/>
  <c r="V38" i="2" a="1"/>
  <c r="V38" i="2" s="1"/>
  <c r="V39" i="2" a="1"/>
  <c r="V39" i="2"/>
  <c r="V40" i="2" a="1"/>
  <c r="V40" i="2"/>
  <c r="V41" i="2" a="1"/>
  <c r="V41" i="2"/>
  <c r="V42" i="2" a="1"/>
  <c r="V42" i="2" s="1"/>
  <c r="V43" i="2" a="1"/>
  <c r="V43" i="2"/>
  <c r="V44" i="2" a="1"/>
  <c r="V44" i="2"/>
  <c r="V45" i="2" a="1"/>
  <c r="V45" i="2"/>
  <c r="V46" i="2" a="1"/>
  <c r="V46" i="2" s="1"/>
  <c r="V47" i="2" a="1"/>
  <c r="V47" i="2"/>
  <c r="V48" i="2" a="1"/>
  <c r="V48" i="2"/>
  <c r="V49" i="2" a="1"/>
  <c r="V49" i="2"/>
  <c r="V50" i="2" a="1"/>
  <c r="V50" i="2" s="1"/>
  <c r="V51" i="2" a="1"/>
  <c r="V51" i="2"/>
  <c r="V52" i="2" a="1"/>
  <c r="V52" i="2"/>
  <c r="V53" i="2" a="1"/>
  <c r="V53" i="2"/>
  <c r="V54" i="2" a="1"/>
  <c r="V54" i="2" s="1"/>
  <c r="V55" i="2" a="1"/>
  <c r="V55" i="2"/>
  <c r="V56" i="2" a="1"/>
  <c r="V56" i="2"/>
  <c r="V57" i="2" a="1"/>
  <c r="V57" i="2"/>
  <c r="V58" i="2" a="1"/>
  <c r="V58" i="2" s="1"/>
  <c r="V59" i="2" a="1"/>
  <c r="V59" i="2"/>
  <c r="V60" i="2" a="1"/>
  <c r="V60" i="2"/>
  <c r="V61" i="2" a="1"/>
  <c r="V61" i="2"/>
  <c r="V62" i="2" a="1"/>
  <c r="V62" i="2" s="1"/>
  <c r="V63" i="2" a="1"/>
  <c r="V63" i="2"/>
  <c r="V64" i="2" a="1"/>
  <c r="V64" i="2"/>
  <c r="V65" i="2" a="1"/>
  <c r="V65" i="2"/>
  <c r="V66" i="2" a="1"/>
  <c r="V66" i="2" s="1"/>
  <c r="V67" i="2" a="1"/>
  <c r="V67" i="2"/>
  <c r="V68" i="2" a="1"/>
  <c r="V68" i="2"/>
  <c r="V69" i="2" a="1"/>
  <c r="V69" i="2"/>
  <c r="V70" i="2" a="1"/>
  <c r="V70" i="2" s="1"/>
  <c r="V71" i="2" a="1"/>
  <c r="V71" i="2"/>
  <c r="V72" i="2" a="1"/>
  <c r="V72" i="2"/>
  <c r="V73" i="2" a="1"/>
  <c r="V73" i="2"/>
  <c r="V74" i="2" a="1"/>
  <c r="V74" i="2" s="1"/>
  <c r="V75" i="2" a="1"/>
  <c r="V75" i="2"/>
  <c r="V76" i="2" a="1"/>
  <c r="V76" i="2"/>
  <c r="V77" i="2" a="1"/>
  <c r="V77" i="2"/>
  <c r="V78" i="2" a="1"/>
  <c r="V78" i="2" s="1"/>
  <c r="V79" i="2" a="1"/>
  <c r="V79" i="2"/>
  <c r="V80" i="2" a="1"/>
  <c r="V80" i="2"/>
  <c r="V81" i="2" a="1"/>
  <c r="V81" i="2"/>
  <c r="V82" i="2" a="1"/>
  <c r="V82" i="2" s="1"/>
  <c r="V83" i="2" a="1"/>
  <c r="V83" i="2"/>
  <c r="V84" i="2" a="1"/>
  <c r="V84" i="2"/>
  <c r="V85" i="2" a="1"/>
  <c r="V85" i="2"/>
  <c r="V86" i="2" a="1"/>
  <c r="V86" i="2" s="1"/>
  <c r="V87" i="2" a="1"/>
  <c r="V87" i="2"/>
  <c r="V88" i="2" a="1"/>
  <c r="V88" i="2"/>
  <c r="V89" i="2" a="1"/>
  <c r="V89" i="2"/>
  <c r="V90" i="2" a="1"/>
  <c r="V90" i="2" s="1"/>
  <c r="V91" i="2" a="1"/>
  <c r="V91" i="2"/>
  <c r="V92" i="2" a="1"/>
  <c r="V92" i="2"/>
  <c r="V93" i="2" a="1"/>
  <c r="V93" i="2"/>
  <c r="V94" i="2" a="1"/>
  <c r="V94" i="2" s="1"/>
  <c r="V95" i="2" a="1"/>
  <c r="V95" i="2"/>
  <c r="V96" i="2" a="1"/>
  <c r="V96" i="2"/>
  <c r="V97" i="2" a="1"/>
  <c r="V97" i="2"/>
  <c r="V98" i="2" a="1"/>
  <c r="V98" i="2" s="1"/>
  <c r="V99" i="2" a="1"/>
  <c r="V99" i="2"/>
  <c r="V100" i="2" a="1"/>
  <c r="V100" i="2"/>
  <c r="V101" i="2" a="1"/>
  <c r="V101" i="2"/>
  <c r="V102" i="2" a="1"/>
  <c r="V102" i="2" s="1"/>
  <c r="V103" i="2" a="1"/>
  <c r="V103" i="2"/>
  <c r="V104" i="2" a="1"/>
  <c r="V104" i="2"/>
  <c r="V105" i="2" a="1"/>
  <c r="V105" i="2"/>
  <c r="V106" i="2" a="1"/>
  <c r="V106" i="2" s="1"/>
  <c r="V107" i="2" a="1"/>
  <c r="V107" i="2"/>
  <c r="V108" i="2" a="1"/>
  <c r="V108" i="2"/>
  <c r="V109" i="2" a="1"/>
  <c r="V109" i="2"/>
  <c r="V110" i="2" a="1"/>
  <c r="V110" i="2" s="1"/>
  <c r="V111" i="2" a="1"/>
  <c r="V111" i="2"/>
  <c r="V112" i="2" a="1"/>
  <c r="V112" i="2"/>
  <c r="V113" i="2" a="1"/>
  <c r="V113" i="2"/>
  <c r="V114" i="2" a="1"/>
  <c r="V114" i="2" s="1"/>
  <c r="V115" i="2" a="1"/>
  <c r="V115" i="2"/>
  <c r="V116" i="2" a="1"/>
  <c r="V116" i="2"/>
  <c r="V117" i="2" a="1"/>
  <c r="V117" i="2"/>
  <c r="V118" i="2" a="1"/>
  <c r="V118" i="2" s="1"/>
  <c r="V119" i="2" a="1"/>
  <c r="V119" i="2"/>
  <c r="V120" i="2" a="1"/>
  <c r="V120" i="2"/>
  <c r="V121" i="2" a="1"/>
  <c r="V121" i="2"/>
  <c r="V122" i="2" a="1"/>
  <c r="V122" i="2" s="1"/>
  <c r="V123" i="2" a="1"/>
  <c r="V123" i="2"/>
  <c r="V124" i="2" a="1"/>
  <c r="V124" i="2"/>
  <c r="V125" i="2" a="1"/>
  <c r="V125" i="2"/>
  <c r="V126" i="2" a="1"/>
  <c r="V126" i="2" s="1"/>
  <c r="V127" i="2" a="1"/>
  <c r="V127" i="2"/>
  <c r="V128" i="2" a="1"/>
  <c r="V128" i="2"/>
  <c r="V129" i="2" a="1"/>
  <c r="V129" i="2"/>
  <c r="V130" i="2" a="1"/>
  <c r="V130" i="2" s="1"/>
  <c r="V131" i="2" a="1"/>
  <c r="V131" i="2"/>
  <c r="V132" i="2" a="1"/>
  <c r="V132" i="2"/>
  <c r="V133" i="2" a="1"/>
  <c r="V133" i="2"/>
  <c r="V134" i="2" a="1"/>
  <c r="V134" i="2" s="1"/>
  <c r="V135" i="2" a="1"/>
  <c r="V135" i="2"/>
  <c r="V136" i="2" a="1"/>
  <c r="V136" i="2"/>
  <c r="V137" i="2" a="1"/>
  <c r="V137" i="2"/>
  <c r="V138" i="2" a="1"/>
  <c r="V138" i="2" s="1"/>
  <c r="V139" i="2" a="1"/>
  <c r="V139" i="2"/>
  <c r="V140" i="2" a="1"/>
  <c r="V140" i="2"/>
  <c r="V141" i="2" a="1"/>
  <c r="V141" i="2"/>
  <c r="V142" i="2" a="1"/>
  <c r="V142" i="2" s="1"/>
  <c r="V143" i="2" a="1"/>
  <c r="V143" i="2"/>
  <c r="V144" i="2" a="1"/>
  <c r="V144" i="2"/>
  <c r="V145" i="2" a="1"/>
  <c r="V145" i="2"/>
  <c r="V146" i="2" a="1"/>
  <c r="V146" i="2" s="1"/>
  <c r="V147" i="2" a="1"/>
  <c r="V147" i="2"/>
  <c r="V148" i="2" a="1"/>
  <c r="V148" i="2"/>
  <c r="V149" i="2" a="1"/>
  <c r="V149" i="2"/>
  <c r="V150" i="2" a="1"/>
  <c r="V150" i="2" s="1"/>
  <c r="V151" i="2" a="1"/>
  <c r="V151" i="2"/>
  <c r="V152" i="2" a="1"/>
  <c r="V152" i="2"/>
  <c r="V153" i="2" a="1"/>
  <c r="V153" i="2"/>
  <c r="V154" i="2" a="1"/>
  <c r="V154" i="2" s="1"/>
  <c r="V155" i="2" a="1"/>
  <c r="V155" i="2"/>
  <c r="V156" i="2" a="1"/>
  <c r="V156" i="2"/>
  <c r="V157" i="2" a="1"/>
  <c r="V157" i="2"/>
  <c r="V158" i="2" a="1"/>
  <c r="V158" i="2" s="1"/>
  <c r="V159" i="2" a="1"/>
  <c r="V159" i="2"/>
  <c r="V160" i="2" a="1"/>
  <c r="V160" i="2"/>
  <c r="V161" i="2" a="1"/>
  <c r="V161" i="2"/>
  <c r="V162" i="2" a="1"/>
  <c r="V162" i="2" s="1"/>
  <c r="V163" i="2" a="1"/>
  <c r="V163" i="2"/>
  <c r="V164" i="2" a="1"/>
  <c r="V164" i="2"/>
  <c r="V165" i="2" a="1"/>
  <c r="V165" i="2"/>
  <c r="V166" i="2" a="1"/>
  <c r="V166" i="2" s="1"/>
  <c r="V167" i="2" a="1"/>
  <c r="V167" i="2"/>
  <c r="V168" i="2" a="1"/>
  <c r="V168" i="2"/>
  <c r="V169" i="2" a="1"/>
  <c r="V169" i="2"/>
  <c r="V170" i="2" a="1"/>
  <c r="V170" i="2" s="1"/>
  <c r="V171" i="2" a="1"/>
  <c r="V171" i="2"/>
  <c r="V172" i="2" a="1"/>
  <c r="V172" i="2"/>
  <c r="V173" i="2" a="1"/>
  <c r="V173" i="2"/>
  <c r="V174" i="2" a="1"/>
  <c r="V174" i="2" s="1"/>
  <c r="V175" i="2" a="1"/>
  <c r="V175" i="2"/>
  <c r="V176" i="2" a="1"/>
  <c r="V176" i="2"/>
  <c r="V177" i="2" a="1"/>
  <c r="V177" i="2"/>
  <c r="V178" i="2" a="1"/>
  <c r="V178" i="2" s="1"/>
  <c r="V179" i="2" a="1"/>
  <c r="V179" i="2"/>
  <c r="V180" i="2" a="1"/>
  <c r="V180" i="2"/>
  <c r="V181" i="2" a="1"/>
  <c r="V181" i="2"/>
  <c r="V182" i="2" a="1"/>
  <c r="V182" i="2" s="1"/>
  <c r="V183" i="2" a="1"/>
  <c r="V183" i="2"/>
  <c r="V184" i="2" a="1"/>
  <c r="V184" i="2"/>
  <c r="V185" i="2" a="1"/>
  <c r="V185" i="2"/>
  <c r="V186" i="2" a="1"/>
  <c r="V186" i="2" s="1"/>
  <c r="V187" i="2" a="1"/>
  <c r="V187" i="2"/>
  <c r="V188" i="2" a="1"/>
  <c r="V188" i="2"/>
  <c r="V189" i="2" a="1"/>
  <c r="V189" i="2"/>
  <c r="V190" i="2" a="1"/>
  <c r="V190" i="2" s="1"/>
  <c r="V191" i="2" a="1"/>
  <c r="V191" i="2"/>
  <c r="V192" i="2" a="1"/>
  <c r="V192" i="2"/>
  <c r="V193" i="2" a="1"/>
  <c r="V193" i="2"/>
  <c r="V194" i="2" a="1"/>
  <c r="V194" i="2" s="1"/>
  <c r="V195" i="2" a="1"/>
  <c r="V195" i="2"/>
  <c r="V196" i="2" a="1"/>
  <c r="V196" i="2"/>
  <c r="V197" i="2" a="1"/>
  <c r="V197" i="2"/>
  <c r="V198" i="2" a="1"/>
  <c r="V198" i="2" s="1"/>
  <c r="V199" i="2" a="1"/>
  <c r="V199" i="2"/>
  <c r="V200" i="2" a="1"/>
  <c r="V200" i="2"/>
  <c r="V201" i="2" a="1"/>
  <c r="V201" i="2"/>
  <c r="V202" i="2" a="1"/>
  <c r="V202" i="2" s="1"/>
  <c r="V203" i="2" a="1"/>
  <c r="V203"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102" i="2"/>
  <c r="U103" i="2"/>
  <c r="U104" i="2"/>
  <c r="U105" i="2"/>
  <c r="U106" i="2"/>
  <c r="U107" i="2"/>
  <c r="U108" i="2"/>
  <c r="U109" i="2"/>
  <c r="U110" i="2"/>
  <c r="U111" i="2"/>
  <c r="U112" i="2"/>
  <c r="U113" i="2"/>
  <c r="U114" i="2"/>
  <c r="U115" i="2"/>
  <c r="U116" i="2"/>
  <c r="U117" i="2"/>
  <c r="U118" i="2"/>
  <c r="U119" i="2"/>
  <c r="U120" i="2"/>
  <c r="U121"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148" i="2"/>
  <c r="U149" i="2"/>
  <c r="U150" i="2"/>
  <c r="U151" i="2"/>
  <c r="U152" i="2"/>
  <c r="U153" i="2"/>
  <c r="U154" i="2"/>
  <c r="U155" i="2"/>
  <c r="U156" i="2"/>
  <c r="U157" i="2"/>
  <c r="U158"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0" i="2"/>
  <c r="U201" i="2"/>
  <c r="U202" i="2"/>
  <c r="U203" i="2"/>
  <c r="U204"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5" i="2"/>
  <c r="U2" i="2"/>
  <c r="Q216" i="2"/>
  <c r="P216" i="2"/>
  <c r="O216" i="2"/>
  <c r="N216" i="2"/>
  <c r="M216" i="2"/>
  <c r="L216" i="2"/>
  <c r="M215" i="2"/>
  <c r="N215" i="2"/>
  <c r="O215" i="2"/>
  <c r="P215" i="2"/>
  <c r="Q215" i="2"/>
  <c r="L215" i="2"/>
  <c r="M214" i="2"/>
  <c r="N214" i="2"/>
  <c r="O214" i="2"/>
  <c r="P214" i="2"/>
  <c r="Q214" i="2"/>
  <c r="L214" i="2"/>
  <c r="Q212" i="2"/>
  <c r="P212" i="2"/>
  <c r="O212" i="2"/>
  <c r="N212" i="2"/>
  <c r="M212" i="2"/>
  <c r="L212" i="2"/>
  <c r="Q211" i="2"/>
  <c r="P211" i="2"/>
  <c r="O211" i="2"/>
  <c r="N211" i="2"/>
  <c r="M211" i="2"/>
  <c r="L211" i="2"/>
  <c r="M210" i="2"/>
  <c r="N210" i="2"/>
  <c r="O210" i="2"/>
  <c r="P210" i="2"/>
  <c r="Q210" i="2"/>
  <c r="L210" i="2"/>
  <c r="M208" i="2"/>
  <c r="N208" i="2"/>
  <c r="O208" i="2"/>
  <c r="P208" i="2"/>
  <c r="Q208" i="2"/>
  <c r="L208" i="2"/>
  <c r="M207" i="2"/>
  <c r="N207" i="2"/>
  <c r="O207" i="2"/>
  <c r="P207" i="2"/>
  <c r="Q207" i="2"/>
  <c r="L207" i="2"/>
  <c r="M206" i="2"/>
  <c r="N206" i="2"/>
  <c r="O206" i="2"/>
  <c r="P206" i="2"/>
  <c r="Q206" i="2"/>
  <c r="L206" i="2"/>
  <c r="AK2" i="2"/>
  <c r="AJ2" i="2"/>
  <c r="AI2" i="2"/>
  <c r="AH2" i="2"/>
  <c r="AG2" i="2"/>
  <c r="AF2" i="2"/>
  <c r="AE2" i="2"/>
  <c r="AD2" i="2"/>
  <c r="AC2" i="2"/>
  <c r="AB2" i="2"/>
  <c r="AA2" i="2"/>
  <c r="Z2" i="2"/>
  <c r="Y2" i="2"/>
  <c r="X2" i="2"/>
  <c r="W2" i="2"/>
  <c r="V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<sst xmlns="http://schemas.openxmlformats.org/spreadsheetml/2006/main" count="2544" uniqueCount="77">
  <si>
    <t>index</t>
  </si>
  <si>
    <t>Date</t>
  </si>
  <si>
    <t>Year</t>
  </si>
  <si>
    <t>Month</t>
  </si>
  <si>
    <t>Customer Age</t>
  </si>
  <si>
    <t>Customer Gender</t>
  </si>
  <si>
    <t>Country</t>
  </si>
  <si>
    <t>State</t>
  </si>
  <si>
    <t>Product Category</t>
  </si>
  <si>
    <t>Sub Category</t>
  </si>
  <si>
    <t>Quantity</t>
  </si>
  <si>
    <t>Unit Cost</t>
  </si>
  <si>
    <t>Unit Price</t>
  </si>
  <si>
    <t>Cost</t>
  </si>
  <si>
    <t>Revenue</t>
  </si>
  <si>
    <t>February</t>
  </si>
  <si>
    <t>F</t>
  </si>
  <si>
    <t>United States</t>
  </si>
  <si>
    <t>Washington</t>
  </si>
  <si>
    <t>Accessories</t>
  </si>
  <si>
    <t>Tires and Tubes</t>
  </si>
  <si>
    <t>Row Labels</t>
  </si>
  <si>
    <t>Sum of Revenue</t>
  </si>
  <si>
    <t>Clothing</t>
  </si>
  <si>
    <t>Gloves</t>
  </si>
  <si>
    <t>March</t>
  </si>
  <si>
    <t>April</t>
  </si>
  <si>
    <t>June</t>
  </si>
  <si>
    <t>Helmets</t>
  </si>
  <si>
    <t>July</t>
  </si>
  <si>
    <t>August</t>
  </si>
  <si>
    <t>September</t>
  </si>
  <si>
    <t>October</t>
  </si>
  <si>
    <t>November</t>
  </si>
  <si>
    <t>December</t>
  </si>
  <si>
    <t>California</t>
  </si>
  <si>
    <t>Bike Stands</t>
  </si>
  <si>
    <t>M</t>
  </si>
  <si>
    <t>Bikes</t>
  </si>
  <si>
    <t>Mountain Bikes</t>
  </si>
  <si>
    <t>Oregon</t>
  </si>
  <si>
    <t>Hydration Packs</t>
  </si>
  <si>
    <t>Jerseys</t>
  </si>
  <si>
    <t>May</t>
  </si>
  <si>
    <t>Fenders</t>
  </si>
  <si>
    <t>January</t>
  </si>
  <si>
    <t>Cleaners</t>
  </si>
  <si>
    <t>Socks</t>
  </si>
  <si>
    <t>Caps</t>
  </si>
  <si>
    <t>Touring Bikes</t>
  </si>
  <si>
    <t>Bottles and Cages</t>
  </si>
  <si>
    <t>Vests</t>
  </si>
  <si>
    <t>Road Bikes</t>
  </si>
  <si>
    <t>MEAN</t>
  </si>
  <si>
    <t>MODE</t>
  </si>
  <si>
    <t>MEDIAN</t>
  </si>
  <si>
    <t>SUM</t>
  </si>
  <si>
    <t>SUMIF</t>
  </si>
  <si>
    <t>SUMIFS</t>
  </si>
  <si>
    <t>COUNT</t>
  </si>
  <si>
    <t>COUNTA</t>
  </si>
  <si>
    <t>COUNTIFS</t>
  </si>
  <si>
    <t>IF</t>
  </si>
  <si>
    <t>IFS</t>
  </si>
  <si>
    <t>IFSNA</t>
  </si>
  <si>
    <t>DATE</t>
  </si>
  <si>
    <t>TIME</t>
  </si>
  <si>
    <t>Grand Total</t>
  </si>
  <si>
    <t>Column Labels</t>
  </si>
  <si>
    <t>Sum of COUNT</t>
  </si>
  <si>
    <t>Sum of SUM</t>
  </si>
  <si>
    <t>Sum of MODE</t>
  </si>
  <si>
    <t>(All)</t>
  </si>
  <si>
    <t>Revenue1</t>
  </si>
  <si>
    <t>Unit Price1</t>
  </si>
  <si>
    <t>Unit Cost1</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</si>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</sst>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5" tint="-0.249977111117893"/>
        <bgColor theme="7"/>
      </patternFill>
    </fill>
    <fill>
      <patternFill patternType="solid">
        <fgColor theme="5"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14" fontId="0" fillId="0" borderId="0" xfId="0" applyNumberFormat="1"/>
    <xf numFmtId="0" fontId="16" fillId="35" borderId="10" xfId="0" applyFont="1" applyFill="1" applyBorder="1" applyAlignment="1">
      <alignment horizontal="center"/>
    </xf>
    <xf numFmtId="0" fontId="16" fillId="34" borderId="10" xfId="0" applyFont="1" applyFill="1" applyBorder="1" applyAlignment="1">
      <alignment horizontal="center"/>
    </xf>
    <xf numFmtId="0" fontId="16" fillId="33" borderId="10" xfId="0" applyFont="1" applyFill="1" applyBorder="1" applyAlignment="1">
      <alignment horizontal="center"/>
    </xf>
    <xf numFmtId="0" fontId="16" fillId="36" borderId="10" xfId="0" applyFont="1" applyFill="1" applyBorder="1" applyAlignment="1">
      <alignment horizontal="center"/>
    </xf>
    <xf numFmtId="22" fontId="16" fillId="36" borderId="10" xfId="0" applyNumberFormat="1" applyFont="1" applyFill="1" applyBorder="1" applyAlignment="1">
      <alignment horizontal="center"/>
    </xf>
    <xf numFmtId="14" fontId="16" fillId="36" borderId="10" xfId="0" applyNumberFormat="1" applyFont="1" applyFill="1" applyBorder="1" applyAlignment="1">
      <alignment horizontal="center"/>
    </xf>
    <xf numFmtId="0" fontId="13" fillId="37" borderId="10" xfId="0" applyFont="1" applyFill="1" applyBorder="1" applyAlignment="1">
      <alignment horizontal="center"/>
    </xf>
    <xf numFmtId="0" fontId="17" fillId="38" borderId="10" xfId="0" applyFont="1" applyFill="1" applyBorder="1" applyAlignment="1">
      <alignment horizontal="center"/>
    </xf>
    <xf numFmtId="0" fontId="16" fillId="34" borderId="11" xfId="0" applyFont="1" applyFill="1" applyBorder="1" applyAlignment="1">
      <alignment horizontal="center"/>
    </xf>
    <xf numFmtId="0" fontId="16" fillId="34" borderId="12" xfId="0" applyFont="1" applyFill="1" applyBorder="1" applyAlignment="1">
      <alignment horizontal="center"/>
    </xf>
    <xf numFmtId="0" fontId="16" fillId="34" borderId="13" xfId="0" applyFont="1" applyFill="1" applyBorder="1" applyAlignment="1">
      <alignment horizontal="center"/>
    </xf>
    <xf numFmtId="0" fontId="16" fillId="34" borderId="14" xfId="0" applyFont="1" applyFill="1" applyBorder="1" applyAlignment="1">
      <alignment horizontal="center"/>
    </xf>
    <xf numFmtId="0" fontId="16" fillId="34" borderId="15" xfId="0" applyFont="1" applyFill="1" applyBorder="1" applyAlignment="1">
      <alignment horizontal="center"/>
    </xf>
    <xf numFmtId="0" fontId="16" fillId="34" borderId="16" xfId="0" applyFont="1" applyFill="1" applyBorder="1" applyAlignment="1">
      <alignment horizontal="center"/>
    </xf>
    <xf numFmtId="0" fontId="16" fillId="34" borderId="17" xfId="0" applyFont="1" applyFill="1" applyBorder="1" applyAlignment="1">
      <alignment horizontal="center"/>
    </xf>
    <xf numFmtId="0" fontId="16" fillId="34" borderId="18" xfId="0" applyFont="1" applyFill="1" applyBorder="1" applyAlignment="1">
      <alignment horizontal="center"/>
    </xf>
    <xf numFmtId="0" fontId="16" fillId="35" borderId="11" xfId="0" applyFont="1" applyFill="1" applyBorder="1" applyAlignment="1">
      <alignment horizontal="center"/>
    </xf>
    <xf numFmtId="0" fontId="16" fillId="35" borderId="12" xfId="0" applyFont="1" applyFill="1" applyBorder="1" applyAlignment="1">
      <alignment horizontal="center"/>
    </xf>
    <xf numFmtId="0" fontId="16" fillId="35" borderId="13" xfId="0" applyFont="1" applyFill="1" applyBorder="1" applyAlignment="1">
      <alignment horizontal="center"/>
    </xf>
    <xf numFmtId="0" fontId="16" fillId="35" borderId="14" xfId="0" applyFont="1" applyFill="1" applyBorder="1" applyAlignment="1">
      <alignment horizontal="center"/>
    </xf>
    <xf numFmtId="0" fontId="16" fillId="35" borderId="15" xfId="0" applyFont="1" applyFill="1" applyBorder="1" applyAlignment="1">
      <alignment horizontal="center"/>
    </xf>
    <xf numFmtId="0" fontId="16" fillId="35" borderId="16" xfId="0" applyFont="1" applyFill="1" applyBorder="1" applyAlignment="1">
      <alignment horizontal="center"/>
    </xf>
    <xf numFmtId="0" fontId="16" fillId="35" borderId="17" xfId="0" applyFont="1" applyFill="1" applyBorder="1" applyAlignment="1">
      <alignment horizontal="center"/>
    </xf>
    <xf numFmtId="0" fontId="16" fillId="35" borderId="18" xfId="0" applyFont="1" applyFill="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3" borderId="13" xfId="0" applyFont="1" applyFill="1" applyBorder="1" applyAlignment="1">
      <alignment horizontal="center"/>
    </xf>
    <xf numFmtId="0" fontId="16" fillId="33" borderId="14" xfId="0" applyFont="1" applyFill="1" applyBorder="1" applyAlignment="1">
      <alignment horizontal="center"/>
    </xf>
    <xf numFmtId="0" fontId="16" fillId="33" borderId="15" xfId="0" applyFont="1" applyFill="1" applyBorder="1" applyAlignment="1">
      <alignment horizontal="center"/>
    </xf>
    <xf numFmtId="0" fontId="16" fillId="33" borderId="16" xfId="0" applyFont="1" applyFill="1" applyBorder="1" applyAlignment="1">
      <alignment horizontal="center"/>
    </xf>
    <xf numFmtId="0" fontId="16" fillId="33" borderId="17" xfId="0" applyFont="1" applyFill="1" applyBorder="1" applyAlignment="1">
      <alignment horizontal="center"/>
    </xf>
    <xf numFmtId="0" fontId="16" fillId="33" borderId="18" xfId="0" applyFont="1" applyFill="1"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Calibri"/>
        <family val="2"/>
        <scheme val="minor"/>
      </font>
      <fill>
        <patternFill patternType="solid">
          <fgColor indexed="64"/>
          <bgColor theme="2" tint="-0.249977111117893"/>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2" tint="-0.249977111117893"/>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2" tint="-0.249977111117893"/>
        </patternFill>
      </fil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2" tint="-0.249977111117893"/>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Calibri"/>
        <family val="2"/>
        <scheme val="minor"/>
      </font>
      <fill>
        <patternFill patternType="solid">
          <fgColor indexed="64"/>
          <bgColor theme="4" tint="0.39997558519241921"/>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4" tint="0.39997558519241921"/>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4" tint="0.39997558519241921"/>
        </patternFill>
      </fil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4" tint="0.39997558519241921"/>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3.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[SalesForCourse_quizz_table.xlsx]Sheet3!PivotTable7</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15883985724805"/>
          <c:y val="0.22841936424613593"/>
          <c:w val="0.55801071741032371"/>
          <c:h val="0.56695902595508896"/>
        </c:manualLayout>
      </c:layout>
      <c:barChart>
        <c:barDir val="col"/>
        <c:grouping val="clustered"/>
        <c:varyColors val="0"/>
        <c:ser>
          <c:idx val="0"/>
          <c:order val="0"/>
          <c:tx>
            <c:strRef>
              <c:f>Sheet3!$B$3</c:f>
              <c:strCache>
                <c:ptCount val="1"/>
                <c:pt idx="0">
                  <c:v>Revenue1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Sheet3!$A$4:$A$8</c:f>
              <c:multiLvlStrCache>
                <c:ptCount val="3"/>
                <c:lvl>
                  <c:pt idx="0">
                    <c:v>Accessories</c:v>
                  </c:pt>
                  <c:pt idx="1">
                    <c:v>Bikes</c:v>
                  </c:pt>
                  <c:pt idx="2">
                    <c:v>Clothing</c:v>
                  </c:pt>
                </c:lvl>
                <c:lvl>
                  <c:pt idx="0">
                    <c:v>3</c:v>
                  </c:pt>
                </c:lvl>
              </c:multiLvlStrCache>
            </c:multiLvlStrRef>
          </c:cat>
          <c:val>
            <c:numRef>
              <c:f>Sheet3!$B$4:$B$8</c:f>
              <c:numCache>
                <c:formatCode>General</c:formatCode>
                <c:ptCount val="3"/>
                <c:pt idx="0">
                  <c:v>4345</c:v>
                </c:pt>
                <c:pt idx="1">
                  <c:v>2107</c:v>
                </c:pt>
                <c:pt idx="2">
                  <c:v>2189</c:v>
                </c:pt>
              </c:numCache>
            </c:numRef>
          </c:val>
          <c:extLst>
            <c:ext xmlns:c16="http://schemas.microsoft.com/office/drawing/2014/chart" uri="{C3380CC4-5D6E-409C-BE32-E72D297353CC}">
              <c16:uniqueId val="{00000000-B6CD-4784-9576-38D2B332E5E6}"/>
            </c:ext>
          </c:extLst>
        </c:ser>
        <c:ser>
          <c:idx val="1"/>
          <c:order val="1"/>
          <c:tx>
            <c:strRef>
              <c:f>Sheet3!$C$3</c:f>
              <c:strCache>
                <c:ptCount val="1"/>
                <c:pt idx="0">
                  <c:v>Unit Price1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Sheet3!$A$4:$A$8</c:f>
              <c:multiLvlStrCache>
                <c:ptCount val="3"/>
                <c:lvl>
                  <c:pt idx="0">
                    <c:v>Accessories</c:v>
                  </c:pt>
                  <c:pt idx="1">
                    <c:v>Bikes</c:v>
                  </c:pt>
                  <c:pt idx="2">
                    <c:v>Clothing</c:v>
                  </c:pt>
                </c:lvl>
                <c:lvl>
                  <c:pt idx="0">
                    <c:v>3</c:v>
                  </c:pt>
                </c:lvl>
              </c:multiLvlStrCache>
            </c:multiLvlStrRef>
          </c:cat>
          <c:val>
            <c:numRef>
              <c:f>Sheet3!$C$4:$C$8</c:f>
              <c:numCache>
                <c:formatCode>General</c:formatCode>
                <c:ptCount val="3"/>
                <c:pt idx="0">
                  <c:v>1448.333333</c:v>
                </c:pt>
                <c:pt idx="1">
                  <c:v>702.33333300000004</c:v>
                </c:pt>
                <c:pt idx="2">
                  <c:v>729.66666699999996</c:v>
                </c:pt>
              </c:numCache>
            </c:numRef>
          </c:val>
          <c:extLst>
            <c:ext xmlns:c16="http://schemas.microsoft.com/office/drawing/2014/chart" uri="{C3380CC4-5D6E-409C-BE32-E72D297353CC}">
              <c16:uniqueId val="{00000002-B6CD-4784-9576-38D2B332E5E6}"/>
            </c:ext>
          </c:extLst>
        </c:ser>
        <c:ser>
          <c:idx val="2"/>
          <c:order val="2"/>
          <c:tx>
            <c:strRef>
              <c:f>Sheet3!$D$3</c:f>
              <c:strCache>
                <c:ptCount val="1"/>
                <c:pt idx="0">
                  <c:v>Unit Cost1</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Sheet3!$A$4:$A$8</c:f>
              <c:multiLvlStrCache>
                <c:ptCount val="3"/>
                <c:lvl>
                  <c:pt idx="0">
                    <c:v>Accessories</c:v>
                  </c:pt>
                  <c:pt idx="1">
                    <c:v>Bikes</c:v>
                  </c:pt>
                  <c:pt idx="2">
                    <c:v>Clothing</c:v>
                  </c:pt>
                </c:lvl>
                <c:lvl>
                  <c:pt idx="0">
                    <c:v>3</c:v>
                  </c:pt>
                </c:lvl>
              </c:multiLvlStrCache>
            </c:multiLvlStrRef>
          </c:cat>
          <c:val>
            <c:numRef>
              <c:f>Sheet3!$D$4:$D$8</c:f>
              <c:numCache>
                <c:formatCode>General</c:formatCode>
                <c:ptCount val="3"/>
                <c:pt idx="0">
                  <c:v>1213.0000000000002</c:v>
                </c:pt>
                <c:pt idx="1">
                  <c:v>674.66000000000008</c:v>
                </c:pt>
                <c:pt idx="2">
                  <c:v>604.66000000000008</c:v>
                </c:pt>
              </c:numCache>
            </c:numRef>
          </c:val>
          <c:extLst>
            <c:ext xmlns:c16="http://schemas.microsoft.com/office/drawing/2014/chart" uri="{C3380CC4-5D6E-409C-BE32-E72D297353CC}">
              <c16:uniqueId val="{00000003-B6CD-4784-9576-38D2B332E5E6}"/>
            </c:ext>
          </c:extLst>
        </c:ser>
        <c:dLbls>
          <c:showLegendKey val="0"/>
          <c:showVal val="0"/>
          <c:showCatName val="0"/>
          <c:showSerName val="0"/>
          <c:showPercent val="0"/>
          <c:showBubbleSize val="0"/>
        </c:dLbls>
        <c:gapWidth val="100"/>
        <c:overlap val="-24"/>
        <c:axId val="905306624"/>
        <c:axId val="905309536"/>
      </c:barChart>
      <c:catAx>
        <c:axId val="9053066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5309536"/>
        <c:crosses val="autoZero"/>
        <c:auto val="1"/>
        <c:lblAlgn val="ctr"/>
        <c:lblOffset val="100"/>
        <c:noMultiLvlLbl val="0"/>
      </c:catAx>
      <c:valAx>
        <c:axId val="9053095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530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[SalesForCourse_quizz_table.xlsx]Sheet3!PivotTable1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'State': </a:t>
            </a:r>
            <a:r>
              <a:rPr lang="en-US">
                <a:solidFill>
                  <a:srgbClr val="DD5A13"/>
                </a:solidFill>
              </a:rPr>
              <a:t>California</a:t>
            </a:r>
            <a:r>
              <a:rPr lang="en-US"/>
              <a:t> accounts for the majority of 'Quantity'.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D2D2"/>
          </a:solidFill>
          <a:ln w="19050">
            <a:solidFill>
              <a:schemeClr val="lt1"/>
            </a:solidFill>
          </a:ln>
          <a:effectLst/>
        </c:spPr>
      </c:pivotFmt>
      <c:pivotFmt>
        <c:idx val="2"/>
        <c:spPr>
          <a:solidFill>
            <a:srgbClr val="ED733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strRef>
              <c:f>Sheet3!$C$26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FD9-4FA3-8A09-9D2D5DCD088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FD9-4FA3-8A09-9D2D5DCD088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FD9-4FA3-8A09-9D2D5DCD0883}"/>
              </c:ext>
            </c:extLst>
          </c:dPt>
          <c:cat>
            <c:strRef>
              <c:f>Sheet3!$B$27:$B$30</c:f>
              <c:strCache>
                <c:ptCount val="3"/>
                <c:pt idx="0">
                  <c:v>California</c:v>
                </c:pt>
                <c:pt idx="1">
                  <c:v>Washington</c:v>
                </c:pt>
                <c:pt idx="2">
                  <c:v>Oregon</c:v>
                </c:pt>
              </c:strCache>
            </c:strRef>
          </c:cat>
          <c:val>
            <c:numRef>
              <c:f>Sheet3!$C$27:$C$30</c:f>
              <c:numCache>
                <c:formatCode>General</c:formatCode>
                <c:ptCount val="3"/>
                <c:pt idx="0">
                  <c:v>198</c:v>
                </c:pt>
                <c:pt idx="1">
                  <c:v>177</c:v>
                </c:pt>
                <c:pt idx="2">
                  <c:v>20</c:v>
                </c:pt>
              </c:numCache>
            </c:numRef>
          </c:val>
          <c:extLst>
            <c:ext xmlns:c16="http://schemas.microsoft.com/office/drawing/2014/chart" uri="{C3380CC4-5D6E-409C-BE32-E72D297353CC}">
              <c16:uniqueId val="{00000006-FFD9-4FA3-8A09-9D2D5DCD0883}"/>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[SalesForCourse_quizz_table.xlsx]Sheet3!PivotTable2</c:name>
    <c:fmtId val="3"/>
  </c:pivotSource>
  <c:chart>
    <c:autoTitleDeleted val="1"/>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pivotFmt>
      <c:pivotFmt>
        <c:idx val="2"/>
      </c:pivotFmt>
      <c:pivotFmt>
        <c:idx val="3"/>
        <c:spPr>
          <a:solidFill>
            <a:schemeClr val="lt1"/>
          </a:solidFill>
          <a:ln w="19050">
            <a:solidFill>
              <a:schemeClr val="accent1"/>
            </a:solidFill>
          </a:ln>
          <a:effectLst/>
        </c:spPr>
      </c:pivotFmt>
      <c:pivotFmt>
        <c:idx val="4"/>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lt1"/>
          </a:solidFill>
          <a:ln w="19050">
            <a:solidFill>
              <a:schemeClr val="accent1"/>
            </a:solidFill>
          </a:ln>
          <a:effectLst/>
        </c:spPr>
      </c:pivotFmt>
      <c:pivotFmt>
        <c:idx val="6"/>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lt1"/>
          </a:solidFill>
          <a:ln w="19050">
            <a:solidFill>
              <a:schemeClr val="accent1"/>
            </a:solidFill>
          </a:ln>
          <a:effectLst/>
        </c:spPr>
      </c:pivotFmt>
      <c:pivotFmt>
        <c:idx val="8"/>
        <c:spPr>
          <a:solidFill>
            <a:schemeClr val="lt1"/>
          </a:solidFill>
          <a:ln w="19050">
            <a:solidFill>
              <a:schemeClr val="accent1"/>
            </a:solidFill>
          </a:ln>
          <a:effectLst/>
        </c:spPr>
      </c:pivotFmt>
      <c:pivotFmt>
        <c:idx val="9"/>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lt1"/>
          </a:solidFill>
          <a:ln w="19050">
            <a:solidFill>
              <a:schemeClr val="accent1"/>
            </a:solidFill>
          </a:ln>
          <a:effectLst/>
        </c:spPr>
      </c:pivotFmt>
      <c:pivotFmt>
        <c:idx val="11"/>
        <c:spPr>
          <a:solidFill>
            <a:schemeClr val="lt1"/>
          </a:solidFill>
          <a:ln w="19050">
            <a:solidFill>
              <a:schemeClr val="accent1"/>
            </a:solidFill>
          </a:ln>
          <a:effectLst/>
        </c:spPr>
      </c:pivotFmt>
    </c:pivotFmts>
    <c:plotArea>
      <c:layout>
        <c:manualLayout>
          <c:layoutTarget val="inner"/>
          <c:xMode val="edge"/>
          <c:yMode val="edge"/>
          <c:x val="0.26698162729658792"/>
          <c:y val="0.10944807955343608"/>
          <c:w val="0.46043450451046558"/>
          <c:h val="0.77171416953162542"/>
        </c:manualLayout>
      </c:layout>
      <c:doughnutChart>
        <c:varyColors val="1"/>
        <c:ser>
          <c:idx val="0"/>
          <c:order val="0"/>
          <c:tx>
            <c:strRef>
              <c:f>Sheet3!$F$26</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76DB-4706-9AD1-85031F48D50D}"/>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76DB-4706-9AD1-85031F48D50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Sheet3!$E$27:$E$29</c:f>
              <c:strCache>
                <c:ptCount val="2"/>
                <c:pt idx="0">
                  <c:v>F</c:v>
                </c:pt>
                <c:pt idx="1">
                  <c:v>M</c:v>
                </c:pt>
              </c:strCache>
            </c:strRef>
          </c:cat>
          <c:val>
            <c:numRef>
              <c:f>Sheet3!$F$27:$F$29</c:f>
              <c:numCache>
                <c:formatCode>General</c:formatCode>
                <c:ptCount val="2"/>
                <c:pt idx="0">
                  <c:v>312</c:v>
                </c:pt>
                <c:pt idx="1">
                  <c:v>83</c:v>
                </c:pt>
              </c:numCache>
            </c:numRef>
          </c:val>
          <c:extLst>
            <c:ext xmlns:c16="http://schemas.microsoft.com/office/drawing/2014/chart" uri="{C3380CC4-5D6E-409C-BE32-E72D297353CC}">
              <c16:uniqueId val="{00000004-76DB-4706-9AD1-85031F48D50D}"/>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00000">
          <a:schemeClr val="accent1">
            <a:lumMod val="5000"/>
            <a:lumOff val="9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76200</xdr:colOff>
      <xdr:row>0</xdr:row>
      <xdr:rowOff>53340</xdr:rowOff>
    </xdr:from>
    <xdr:to>
      <xdr:col>15</xdr:col>
      <xdr:colOff>510540</xdr:colOff>
      <xdr:row>15</xdr:row>
      <xdr:rowOff>53340</xdr:rowOff>
    </xdr:to>
    <xdr:graphicFrame macro="">
      <xdr:nvGraphicFramePr>
        <xdr:cNvPr id="2" name="Chart 1">
          <a:extLst>
            <a:ext uri="{FF2B5EF4-FFF2-40B4-BE49-F238E27FC236}">
              <a16:creationId xmlns:a16="http://schemas.microsoft.com/office/drawing/2014/main" id="{FC0A3CFA-B02F-F4F1-E222-9F22AD5231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365760</xdr:colOff>
      <xdr:row>8</xdr:row>
      <xdr:rowOff>76201</xdr:rowOff>
    </xdr:from>
    <xdr:to>
      <xdr:col>6</xdr:col>
      <xdr:colOff>601980</xdr:colOff>
      <xdr:row>14</xdr:row>
      <xdr:rowOff>7620</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73FA894E-9DD3-7DF9-ED04-1C1952EF904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819400" y="1539241"/>
              <a:ext cx="2118360" cy="1028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944880</xdr:colOff>
      <xdr:row>14</xdr:row>
      <xdr:rowOff>129540</xdr:rowOff>
    </xdr:from>
    <xdr:to>
      <xdr:col>5</xdr:col>
      <xdr:colOff>556260</xdr:colOff>
      <xdr:row>22</xdr:row>
      <xdr:rowOff>38100</xdr:rowOff>
    </xdr:to>
    <mc:AlternateContent xmlns:mc="http://schemas.openxmlformats.org/markup-compatibility/2006" xmlns:tsle="http://schemas.microsoft.com/office/drawing/2012/timeslicer">
      <mc:Choice Requires="tsle">
        <xdr:graphicFrame macro="">
          <xdr:nvGraphicFramePr>
            <xdr:cNvPr id="5" name="Date">
              <a:extLst>
                <a:ext uri="{FF2B5EF4-FFF2-40B4-BE49-F238E27FC236}">
                  <a16:creationId xmlns:a16="http://schemas.microsoft.com/office/drawing/2014/main" id="{D197A28F-C212-1B2C-C876-E7782DE6E3A8}"/>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944880" y="268986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403860</xdr:colOff>
      <xdr:row>8</xdr:row>
      <xdr:rowOff>121920</xdr:rowOff>
    </xdr:from>
    <xdr:to>
      <xdr:col>3</xdr:col>
      <xdr:colOff>160020</xdr:colOff>
      <xdr:row>14</xdr:row>
      <xdr:rowOff>38099</xdr:rowOff>
    </xdr:to>
    <mc:AlternateContent xmlns:mc="http://schemas.openxmlformats.org/markup-compatibility/2006" xmlns:a14="http://schemas.microsoft.com/office/drawing/2010/main">
      <mc:Choice Requires="a14">
        <xdr:graphicFrame macro="">
          <xdr:nvGraphicFramePr>
            <xdr:cNvPr id="6" name="Customer Gender">
              <a:extLst>
                <a:ext uri="{FF2B5EF4-FFF2-40B4-BE49-F238E27FC236}">
                  <a16:creationId xmlns:a16="http://schemas.microsoft.com/office/drawing/2014/main" id="{B2045A3C-1DFE-EA7F-3CEA-759CB9F08736}"/>
                </a:ext>
              </a:extLst>
            </xdr:cNvPr>
            <xdr:cNvGraphicFramePr/>
          </xdr:nvGraphicFramePr>
          <xdr:xfrm>
            <a:off x="0" y="0"/>
            <a:ext cx="0" cy="0"/>
          </xdr:xfrm>
          <a:graphic>
            <a:graphicData uri="http://schemas.microsoft.com/office/drawing/2010/slicer">
              <sle:slicer xmlns:sle="http://schemas.microsoft.com/office/drawing/2010/slicer" name="Customer Gender"/>
            </a:graphicData>
          </a:graphic>
        </xdr:graphicFrame>
      </mc:Choice>
      <mc:Fallback xmlns="">
        <xdr:sp macro="" textlink="">
          <xdr:nvSpPr>
            <xdr:cNvPr id="0" name=""/>
            <xdr:cNvSpPr>
              <a:spLocks noTextEdit="1"/>
            </xdr:cNvSpPr>
          </xdr:nvSpPr>
          <xdr:spPr>
            <a:xfrm>
              <a:off x="403860" y="1584960"/>
              <a:ext cx="2209800" cy="1013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68580</xdr:colOff>
      <xdr:row>2</xdr:row>
      <xdr:rowOff>1</xdr:rowOff>
    </xdr:from>
    <xdr:to>
      <xdr:col>7</xdr:col>
      <xdr:colOff>22860</xdr:colOff>
      <xdr:row>8</xdr:row>
      <xdr:rowOff>7620</xdr:rowOff>
    </xdr:to>
    <mc:AlternateContent xmlns:mc="http://schemas.openxmlformats.org/markup-compatibility/2006" xmlns:a14="http://schemas.microsoft.com/office/drawing/2010/main">
      <mc:Choice Requires="a14">
        <xdr:graphicFrame macro="">
          <xdr:nvGraphicFramePr>
            <xdr:cNvPr id="8" name="Quantity">
              <a:extLst>
                <a:ext uri="{FF2B5EF4-FFF2-40B4-BE49-F238E27FC236}">
                  <a16:creationId xmlns:a16="http://schemas.microsoft.com/office/drawing/2014/main" id="{760685F3-115A-CB1B-E921-7A10198209CF}"/>
                </a:ext>
              </a:extLst>
            </xdr:cNvPr>
            <xdr:cNvGraphicFramePr/>
          </xdr:nvGraphicFramePr>
          <xdr:xfrm>
            <a:off x="0" y="0"/>
            <a:ext cx="0" cy="0"/>
          </xdr:xfrm>
          <a:graphic>
            <a:graphicData uri="http://schemas.microsoft.com/office/drawing/2010/slicer">
              <sle:slicer xmlns:sle="http://schemas.microsoft.com/office/drawing/2010/slicer" name="Quantity"/>
            </a:graphicData>
          </a:graphic>
        </xdr:graphicFrame>
      </mc:Choice>
      <mc:Fallback xmlns="">
        <xdr:sp macro="" textlink="">
          <xdr:nvSpPr>
            <xdr:cNvPr id="0" name=""/>
            <xdr:cNvSpPr>
              <a:spLocks noTextEdit="1"/>
            </xdr:cNvSpPr>
          </xdr:nvSpPr>
          <xdr:spPr>
            <a:xfrm>
              <a:off x="3185160" y="365761"/>
              <a:ext cx="1783080" cy="1104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76200</xdr:colOff>
      <xdr:row>15</xdr:row>
      <xdr:rowOff>60960</xdr:rowOff>
    </xdr:from>
    <xdr:to>
      <xdr:col>13</xdr:col>
      <xdr:colOff>76200</xdr:colOff>
      <xdr:row>28</xdr:row>
      <xdr:rowOff>68580</xdr:rowOff>
    </xdr:to>
    <xdr:graphicFrame macro="">
      <xdr:nvGraphicFramePr>
        <xdr:cNvPr id="4" name="Chart 3" descr="Chart type: Doughnut. 'State': California accounts for the majority of 'Quantity'.&#10;&#10;Description automatically generated">
          <a:extLst>
            <a:ext uri="{FF2B5EF4-FFF2-40B4-BE49-F238E27FC236}">
              <a16:creationId xmlns:a16="http://schemas.microsoft.com/office/drawing/2014/main" id="{1AB8428D-FFAB-42D7-BB5C-B765D39D27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16</xdr:row>
      <xdr:rowOff>0</xdr:rowOff>
    </xdr:from>
    <xdr:to>
      <xdr:col>18</xdr:col>
      <xdr:colOff>45720</xdr:colOff>
      <xdr:row>28</xdr:row>
      <xdr:rowOff>45720</xdr:rowOff>
    </xdr:to>
    <xdr:graphicFrame macro="">
      <xdr:nvGraphicFramePr>
        <xdr:cNvPr id="7" name="Chart 6" descr="Chart type: Doughnut. 'Customer Gender': F accounts for the majority of 'Quantity'.&#10;&#10;Description automatically generated">
          <a:extLst>
            <a:ext uri="{FF2B5EF4-FFF2-40B4-BE49-F238E27FC236}">
              <a16:creationId xmlns:a16="http://schemas.microsoft.com/office/drawing/2014/main" id="{3B698F68-E43A-4A9C-B4F7-71E9D4D33A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elSoham" refreshedDate="44911.62140960648" createdVersion="8" refreshedVersion="8" minRefreshableVersion="3" recordCount="6" xr:uid="{2E5D446C-0B92-45CD-AF9B-F985C5ADFE2F}">
  <cacheSource type="worksheet">
    <worksheetSource name="Table4"/>
  </cacheSource>
  <cacheFields count="3">
    <cacheField name="MEAN" numFmtId="0">
      <sharedItems containsSemiMixedTypes="0" containsString="0" containsNumber="1" minValue="100.50738916256158" maxValue="596.58128078817731" count="5">
        <n v="381.9448768472908"/>
        <n v="389.77339901970441"/>
        <n v="579.90147783251234"/>
        <n v="596.58128078817731"/>
        <n v="100.50738916256158"/>
      </sharedItems>
    </cacheField>
    <cacheField name="MEDIAN" numFmtId="0">
      <sharedItems containsSemiMixedTypes="0" containsString="0" containsNumber="1" containsInteger="1" minValue="101" maxValue="265" count="5">
        <n v="140"/>
        <n v="159"/>
        <n v="216"/>
        <n v="265"/>
        <n v="101"/>
      </sharedItems>
    </cacheField>
    <cacheField name="MODE" numFmtId="0">
      <sharedItems containsSemiMixedTypes="0" containsString="0" containsNumber="1" containsInteger="1" minValue="60" maxValue="229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elSoham" refreshedDate="44911.621598495367" createdVersion="8" refreshedVersion="8" minRefreshableVersion="3" recordCount="6" xr:uid="{5AD081D7-76BB-40D6-A8B1-6A176B32A8FA}">
  <cacheSource type="worksheet">
    <worksheetSource name="Table3"/>
  </cacheSource>
  <cacheFields count="3">
    <cacheField name="SUM" numFmtId="0">
      <sharedItems containsSemiMixedTypes="0" containsString="0" containsNumber="1" minValue="20403" maxValue="121106" count="5">
        <n v="77534.810000000027"/>
        <n v="79124.000000999993"/>
        <n v="117720"/>
        <n v="121106"/>
        <n v="20403"/>
      </sharedItems>
    </cacheField>
    <cacheField name="SUMIF" numFmtId="0">
      <sharedItems containsSemiMixedTypes="0" containsString="0" containsNumber="1" containsInteger="1" minValue="7573" maxValue="50361" count="3">
        <n v="50038"/>
        <n v="50361"/>
        <n v="7573"/>
      </sharedItems>
    </cacheField>
    <cacheField name="SUMIFS" numFmtId="0">
      <sharedItems containsSemiMixedTypes="0" containsString="0" containsNumber="1" containsInteger="1" minValue="1595" maxValue="24137" count="3">
        <n v="23924"/>
        <n v="24137"/>
        <n v="1595"/>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elSoham" refreshedDate="44911.621718750001" createdVersion="8" refreshedVersion="8" minRefreshableVersion="3" recordCount="6" xr:uid="{7595F3AE-57B3-4D18-864E-0E75D459AC5D}">
  <cacheSource type="worksheet">
    <worksheetSource name="Table5"/>
  </cacheSource>
  <cacheFields count="3">
    <cacheField name="COUNT" numFmtId="0">
      <sharedItems containsSemiMixedTypes="0" containsString="0" containsNumber="1" containsInteger="1" minValue="203" maxValue="203"/>
    </cacheField>
    <cacheField name="COUNTA" numFmtId="0">
      <sharedItems containsSemiMixedTypes="0" containsString="0" containsNumber="1" containsInteger="1" minValue="203" maxValue="203" count="1">
        <n v="203"/>
      </sharedItems>
    </cacheField>
    <cacheField name="COUNTIFS" numFmtId="0">
      <sharedItems containsSemiMixedTypes="0" containsString="0" containsNumber="1" containsInteger="1" minValue="13" maxValue="59" count="5">
        <n v="55"/>
        <n v="59"/>
        <n v="29"/>
        <n v="13"/>
        <n v="37"/>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elSoham" refreshedDate="44916.748122685189" createdVersion="8" refreshedVersion="8" minRefreshableVersion="3" recordCount="203" xr:uid="{8B25AC97-C8E3-4A5F-A5CA-0E4A30FF599F}">
  <cacheSource type="worksheet">
    <worksheetSource name="Table1"/>
  </cacheSource>
  <cacheFields count="17">
    <cacheField name="index" numFmtId="0">
      <sharedItems containsSemiMixedTypes="0" containsString="0" containsNumber="1" containsInteger="1" minValue="0" maxValue="202"/>
    </cacheField>
    <cacheField name="Date" numFmtId="14">
      <sharedItems containsSemiMixedTypes="0" containsNonDate="0" containsDate="1" containsString="0" minDate="2015-04-02T00:00:00" maxDate="2016-07-25T00:00:00" count="121">
        <d v="2016-02-19T00:00:00"/>
        <d v="2016-02-20T00:00:00"/>
        <d v="2016-02-27T00:00:00"/>
        <d v="2016-03-12T00:00:00"/>
        <d v="2016-04-08T00:00:00"/>
        <d v="2016-04-17T00:00:00"/>
        <d v="2016-06-22T00:00:00"/>
        <d v="2016-06-24T00:00:00"/>
        <d v="2016-07-01T00:00:00"/>
        <d v="2016-07-22T00:00:00"/>
        <d v="2015-08-18T00:00:00"/>
        <d v="2015-08-30T00:00:00"/>
        <d v="2015-09-17T00:00:00"/>
        <d v="2015-09-24T00:00:00"/>
        <d v="2015-10-07T00:00:00"/>
        <d v="2015-10-13T00:00:00"/>
        <d v="2015-10-20T00:00:00"/>
        <d v="2015-11-01T00:00:00"/>
        <d v="2015-11-15T00:00:00"/>
        <d v="2015-12-15T00:00:00"/>
        <d v="2015-12-16T00:00:00"/>
        <d v="2015-12-20T00:00:00"/>
        <d v="2015-12-25T00:00:00"/>
        <d v="2015-12-29T00:00:00"/>
        <d v="2015-07-22T00:00:00"/>
        <d v="2015-10-10T00:00:00"/>
        <d v="2016-06-11T00:00:00"/>
        <d v="2015-08-13T00:00:00"/>
        <d v="2015-09-10T00:00:00"/>
        <d v="2015-12-21T00:00:00"/>
        <d v="2015-07-27T00:00:00"/>
        <d v="2016-02-07T00:00:00"/>
        <d v="2015-07-24T00:00:00"/>
        <d v="2016-03-20T00:00:00"/>
        <d v="2016-03-21T00:00:00"/>
        <d v="2016-05-06T00:00:00"/>
        <d v="2016-06-06T00:00:00"/>
        <d v="2016-06-09T00:00:00"/>
        <d v="2015-08-20T00:00:00"/>
        <d v="2015-08-21T00:00:00"/>
        <d v="2015-09-27T00:00:00"/>
        <d v="2016-01-27T00:00:00"/>
        <d v="2016-01-25T00:00:00"/>
        <d v="2016-01-26T00:00:00"/>
        <d v="2016-05-20T00:00:00"/>
        <d v="2015-07-26T00:00:00"/>
        <d v="2015-12-06T00:00:00"/>
        <d v="2015-10-05T00:00:00"/>
        <d v="2015-07-18T00:00:00"/>
        <d v="2015-07-25T00:00:00"/>
        <d v="2015-12-04T00:00:00"/>
        <d v="2015-07-16T00:00:00"/>
        <d v="2015-08-14T00:00:00"/>
        <d v="2015-12-28T00:00:00"/>
        <d v="2016-03-26T00:00:00"/>
        <d v="2016-05-24T00:00:00"/>
        <d v="2015-07-08T00:00:00"/>
        <d v="2015-07-13T00:00:00"/>
        <d v="2015-08-08T00:00:00"/>
        <d v="2015-08-29T00:00:00"/>
        <d v="2016-01-16T00:00:00"/>
        <d v="2015-07-31T00:00:00"/>
        <d v="2016-02-13T00:00:00"/>
        <d v="2016-07-07T00:00:00"/>
        <d v="2016-07-08T00:00:00"/>
        <d v="2015-09-04T00:00:00"/>
        <d v="2015-09-06T00:00:00"/>
        <d v="2015-10-22T00:00:00"/>
        <d v="2016-03-22T00:00:00"/>
        <d v="2016-05-03T00:00:00"/>
        <d v="2016-06-28T00:00:00"/>
        <d v="2016-07-03T00:00:00"/>
        <d v="2015-10-27T00:00:00"/>
        <d v="2015-10-31T00:00:00"/>
        <d v="2015-12-02T00:00:00"/>
        <d v="2016-01-10T00:00:00"/>
        <d v="2016-01-13T00:00:00"/>
        <d v="2015-08-16T00:00:00"/>
        <d v="2015-11-17T00:00:00"/>
        <d v="2015-07-29T00:00:00"/>
        <d v="2015-09-30T00:00:00"/>
        <d v="2015-07-14T00:00:00"/>
        <d v="2015-10-08T00:00:00"/>
        <d v="2015-07-12T00:00:00"/>
        <d v="2015-08-01T00:00:00"/>
        <d v="2015-10-21T00:00:00"/>
        <d v="2015-12-17T00:00:00"/>
        <d v="2016-04-04T00:00:00"/>
        <d v="2015-04-02T00:00:00"/>
        <d v="2015-08-22T00:00:00"/>
        <d v="2015-08-25T00:00:00"/>
        <d v="2016-05-13T00:00:00"/>
        <d v="2015-10-09T00:00:00"/>
        <d v="2015-11-26T00:00:00"/>
        <d v="2016-04-16T00:00:00"/>
        <d v="2016-03-27T00:00:00"/>
        <d v="2015-07-20T00:00:00"/>
        <d v="2015-11-05T00:00:00"/>
        <d v="2016-03-28T00:00:00"/>
        <d v="2016-01-05T00:00:00"/>
        <d v="2016-03-01T00:00:00"/>
        <d v="2016-07-20T00:00:00"/>
        <d v="2015-09-13T00:00:00"/>
        <d v="2016-02-11T00:00:00"/>
        <d v="2016-04-11T00:00:00"/>
        <d v="2016-04-18T00:00:00"/>
        <d v="2016-04-20T00:00:00"/>
        <d v="2016-04-26T00:00:00"/>
        <d v="2016-05-04T00:00:00"/>
        <d v="2016-05-29T00:00:00"/>
        <d v="2016-07-10T00:00:00"/>
        <d v="2016-07-24T00:00:00"/>
        <d v="2015-12-19T00:00:00"/>
        <d v="2016-04-07T00:00:00"/>
        <d v="2015-08-09T00:00:00"/>
        <d v="2015-11-10T00:00:00"/>
        <d v="2015-11-29T00:00:00"/>
        <d v="2016-01-08T00:00:00"/>
        <d v="2016-05-09T00:00:00"/>
        <d v="2016-06-10T00:00:00"/>
        <d v="2016-04-24T00:00:00"/>
      </sharedItems>
    </cacheField>
    <cacheField name="Year" numFmtId="0">
      <sharedItems containsSemiMixedTypes="0" containsString="0" containsNumber="1" containsInteger="1" minValue="2015" maxValue="2016" count="2">
        <n v="2016"/>
        <n v="2015"/>
      </sharedItems>
    </cacheField>
    <cacheField name="Month" numFmtId="0">
      <sharedItems/>
    </cacheField>
    <cacheField name="Customer Age" numFmtId="0">
      <sharedItems containsSemiMixedTypes="0" containsString="0" containsNumber="1" containsInteger="1" minValue="18" maxValue="55"/>
    </cacheField>
    <cacheField name="Customer Gender" numFmtId="0">
      <sharedItems count="2">
        <s v="F"/>
        <s v="M"/>
      </sharedItems>
    </cacheField>
    <cacheField name="Country" numFmtId="0">
      <sharedItems/>
    </cacheField>
    <cacheField name="State" numFmtId="0">
      <sharedItems count="3">
        <s v="Washington"/>
        <s v="California"/>
        <s v="Oregon"/>
      </sharedItems>
    </cacheField>
    <cacheField name="Product Category" numFmtId="0">
      <sharedItems count="3">
        <s v="Accessories"/>
        <s v="Clothing"/>
        <s v="Bikes"/>
      </sharedItems>
    </cacheField>
    <cacheField name="Sub Category" numFmtId="0">
      <sharedItems/>
    </cacheField>
    <cacheField name="Quantity" numFmtId="0">
      <sharedItems containsSemiMixedTypes="0" containsString="0" containsNumber="1" containsInteger="1" minValue="1" maxValue="3" count="3">
        <n v="1"/>
        <n v="2"/>
        <n v="3"/>
      </sharedItems>
    </cacheField>
    <cacheField name="Unit Cost" numFmtId="0">
      <sharedItems containsSemiMixedTypes="0" containsString="0" containsNumber="1" minValue="0.67" maxValue="2320"/>
    </cacheField>
    <cacheField name="Unit Price" numFmtId="0">
      <sharedItems containsSemiMixedTypes="0" containsString="0" containsNumber="1" minValue="0.66666700000000001" maxValue="2340"/>
    </cacheField>
    <cacheField name="Cost" numFmtId="0">
      <sharedItems containsSemiMixedTypes="0" containsString="0" containsNumber="1" containsInteger="1" minValue="2" maxValue="2320"/>
    </cacheField>
    <cacheField name="Revenue" numFmtId="0">
      <sharedItems containsSemiMixedTypes="0" containsString="0" containsNumber="1" containsInteger="1" minValue="2" maxValue="2450"/>
    </cacheField>
    <cacheField name="Row Labels" numFmtId="0">
      <sharedItems containsSemiMixedTypes="0" containsString="0" containsNumber="1" containsInteger="1" minValue="0" maxValue="202"/>
    </cacheField>
    <cacheField name="Sum of Revenue" numFmtId="0">
      <sharedItems containsSemiMixedTypes="0" containsString="0" containsNumber="1" containsInteger="1" minValue="2" maxValue="2450"/>
    </cacheField>
  </cacheFields>
  <extLst>
    <ext xmlns:x14="http://schemas.microsoft.com/office/spreadsheetml/2009/9/main" uri="{725AE2AE-9491-48be-B2B4-4EB974FC3084}">
      <x14:pivotCacheDefinition pivotCacheId="19811840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n v="2295"/>
  </r>
  <r>
    <x v="1"/>
    <x v="1"/>
    <n v="60"/>
  </r>
  <r>
    <x v="2"/>
    <x v="2"/>
    <n v="2295"/>
  </r>
  <r>
    <x v="3"/>
    <x v="3"/>
    <n v="120"/>
  </r>
  <r>
    <x v="4"/>
    <x v="4"/>
    <n v="101"/>
  </r>
  <r>
    <x v="3"/>
    <x v="3"/>
    <n v="12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r>
  <r>
    <x v="1"/>
    <x v="1"/>
    <x v="1"/>
  </r>
  <r>
    <x v="2"/>
    <x v="0"/>
    <x v="0"/>
  </r>
  <r>
    <x v="3"/>
    <x v="1"/>
    <x v="1"/>
  </r>
  <r>
    <x v="4"/>
    <x v="2"/>
    <x v="2"/>
  </r>
  <r>
    <x v="3"/>
    <x v="1"/>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n v="203"/>
    <x v="0"/>
    <x v="0"/>
  </r>
  <r>
    <n v="203"/>
    <x v="0"/>
    <x v="1"/>
  </r>
  <r>
    <n v="203"/>
    <x v="0"/>
    <x v="2"/>
  </r>
  <r>
    <n v="203"/>
    <x v="0"/>
    <x v="3"/>
  </r>
  <r>
    <n v="203"/>
    <x v="0"/>
    <x v="4"/>
  </r>
  <r>
    <n v="203"/>
    <x v="0"/>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n v="0"/>
    <x v="0"/>
    <x v="0"/>
    <s v="February"/>
    <n v="29"/>
    <x v="0"/>
    <s v="United States"/>
    <x v="0"/>
    <x v="0"/>
    <s v="Tires and Tubes"/>
    <x v="0"/>
    <n v="80"/>
    <n v="109"/>
    <n v="80"/>
    <n v="109"/>
    <n v="0"/>
    <n v="109"/>
  </r>
  <r>
    <n v="1"/>
    <x v="1"/>
    <x v="0"/>
    <s v="February"/>
    <n v="29"/>
    <x v="0"/>
    <s v="United States"/>
    <x v="0"/>
    <x v="1"/>
    <s v="Gloves"/>
    <x v="1"/>
    <n v="24.5"/>
    <n v="28.5"/>
    <n v="49"/>
    <n v="57"/>
    <n v="1"/>
    <n v="57"/>
  </r>
  <r>
    <n v="2"/>
    <x v="2"/>
    <x v="0"/>
    <s v="February"/>
    <n v="29"/>
    <x v="0"/>
    <s v="United States"/>
    <x v="0"/>
    <x v="0"/>
    <s v="Tires and Tubes"/>
    <x v="2"/>
    <n v="3.67"/>
    <n v="5"/>
    <n v="11"/>
    <n v="15"/>
    <n v="2"/>
    <n v="15"/>
  </r>
  <r>
    <n v="3"/>
    <x v="3"/>
    <x v="0"/>
    <s v="March"/>
    <n v="29"/>
    <x v="0"/>
    <s v="United States"/>
    <x v="0"/>
    <x v="0"/>
    <s v="Tires and Tubes"/>
    <x v="1"/>
    <n v="87.5"/>
    <n v="116.5"/>
    <n v="175"/>
    <n v="233"/>
    <n v="3"/>
    <n v="233"/>
  </r>
  <r>
    <n v="4"/>
    <x v="3"/>
    <x v="0"/>
    <s v="March"/>
    <n v="29"/>
    <x v="0"/>
    <s v="United States"/>
    <x v="0"/>
    <x v="0"/>
    <s v="Tires and Tubes"/>
    <x v="2"/>
    <n v="35"/>
    <n v="41.666666999999997"/>
    <n v="105"/>
    <n v="125"/>
    <n v="4"/>
    <n v="125"/>
  </r>
  <r>
    <n v="5"/>
    <x v="4"/>
    <x v="0"/>
    <s v="April"/>
    <n v="29"/>
    <x v="0"/>
    <s v="United States"/>
    <x v="0"/>
    <x v="0"/>
    <s v="Tires and Tubes"/>
    <x v="0"/>
    <n v="66"/>
    <n v="78"/>
    <n v="66"/>
    <n v="78"/>
    <n v="5"/>
    <n v="78"/>
  </r>
  <r>
    <n v="6"/>
    <x v="5"/>
    <x v="0"/>
    <s v="April"/>
    <n v="29"/>
    <x v="0"/>
    <s v="United States"/>
    <x v="0"/>
    <x v="0"/>
    <s v="Tires and Tubes"/>
    <x v="1"/>
    <n v="52"/>
    <n v="60"/>
    <n v="104"/>
    <n v="120"/>
    <n v="6"/>
    <n v="120"/>
  </r>
  <r>
    <n v="7"/>
    <x v="5"/>
    <x v="0"/>
    <s v="April"/>
    <n v="29"/>
    <x v="0"/>
    <s v="United States"/>
    <x v="0"/>
    <x v="0"/>
    <s v="Tires and Tubes"/>
    <x v="0"/>
    <n v="60"/>
    <n v="68"/>
    <n v="60"/>
    <n v="68"/>
    <n v="7"/>
    <n v="68"/>
  </r>
  <r>
    <n v="8"/>
    <x v="6"/>
    <x v="0"/>
    <s v="June"/>
    <n v="29"/>
    <x v="0"/>
    <s v="United States"/>
    <x v="0"/>
    <x v="0"/>
    <s v="Tires and Tubes"/>
    <x v="1"/>
    <n v="8"/>
    <n v="10"/>
    <n v="16"/>
    <n v="20"/>
    <n v="8"/>
    <n v="20"/>
  </r>
  <r>
    <n v="9"/>
    <x v="6"/>
    <x v="0"/>
    <s v="June"/>
    <n v="29"/>
    <x v="0"/>
    <s v="United States"/>
    <x v="0"/>
    <x v="0"/>
    <s v="Tires and Tubes"/>
    <x v="1"/>
    <n v="2.5"/>
    <n v="3"/>
    <n v="5"/>
    <n v="6"/>
    <n v="9"/>
    <n v="6"/>
  </r>
  <r>
    <n v="10"/>
    <x v="7"/>
    <x v="0"/>
    <s v="June"/>
    <n v="29"/>
    <x v="0"/>
    <s v="United States"/>
    <x v="0"/>
    <x v="0"/>
    <s v="Helmets"/>
    <x v="1"/>
    <n v="17.5"/>
    <n v="21"/>
    <n v="35"/>
    <n v="42"/>
    <n v="10"/>
    <n v="42"/>
  </r>
  <r>
    <n v="11"/>
    <x v="8"/>
    <x v="0"/>
    <s v="July"/>
    <n v="29"/>
    <x v="0"/>
    <s v="United States"/>
    <x v="0"/>
    <x v="0"/>
    <s v="Tires and Tubes"/>
    <x v="2"/>
    <n v="40"/>
    <n v="48.666666999999997"/>
    <n v="120"/>
    <n v="146"/>
    <n v="11"/>
    <n v="146"/>
  </r>
  <r>
    <n v="12"/>
    <x v="9"/>
    <x v="0"/>
    <s v="July"/>
    <n v="29"/>
    <x v="0"/>
    <s v="United States"/>
    <x v="0"/>
    <x v="0"/>
    <s v="Tires and Tubes"/>
    <x v="1"/>
    <n v="46"/>
    <n v="60"/>
    <n v="92"/>
    <n v="120"/>
    <n v="12"/>
    <n v="120"/>
  </r>
  <r>
    <n v="13"/>
    <x v="9"/>
    <x v="0"/>
    <s v="July"/>
    <n v="29"/>
    <x v="0"/>
    <s v="United States"/>
    <x v="0"/>
    <x v="0"/>
    <s v="Tires and Tubes"/>
    <x v="0"/>
    <n v="9"/>
    <n v="10"/>
    <n v="9"/>
    <n v="10"/>
    <n v="13"/>
    <n v="10"/>
  </r>
  <r>
    <n v="14"/>
    <x v="10"/>
    <x v="1"/>
    <s v="August"/>
    <n v="29"/>
    <x v="0"/>
    <s v="United States"/>
    <x v="0"/>
    <x v="0"/>
    <s v="Helmets"/>
    <x v="2"/>
    <n v="151.66999999999999"/>
    <n v="181.33333300000001"/>
    <n v="455"/>
    <n v="544"/>
    <n v="14"/>
    <n v="544"/>
  </r>
  <r>
    <n v="15"/>
    <x v="11"/>
    <x v="1"/>
    <s v="August"/>
    <n v="29"/>
    <x v="0"/>
    <s v="United States"/>
    <x v="0"/>
    <x v="0"/>
    <s v="Tires and Tubes"/>
    <x v="2"/>
    <n v="70"/>
    <n v="72.666667000000004"/>
    <n v="210"/>
    <n v="218"/>
    <n v="15"/>
    <n v="218"/>
  </r>
  <r>
    <n v="16"/>
    <x v="12"/>
    <x v="1"/>
    <s v="September"/>
    <n v="29"/>
    <x v="0"/>
    <s v="United States"/>
    <x v="0"/>
    <x v="0"/>
    <s v="Tires and Tubes"/>
    <x v="0"/>
    <n v="385"/>
    <n v="439"/>
    <n v="385"/>
    <n v="439"/>
    <n v="16"/>
    <n v="439"/>
  </r>
  <r>
    <n v="17"/>
    <x v="12"/>
    <x v="1"/>
    <s v="September"/>
    <n v="29"/>
    <x v="0"/>
    <s v="United States"/>
    <x v="0"/>
    <x v="0"/>
    <s v="Tires and Tubes"/>
    <x v="1"/>
    <n v="72.5"/>
    <n v="86.5"/>
    <n v="145"/>
    <n v="173"/>
    <n v="17"/>
    <n v="173"/>
  </r>
  <r>
    <n v="18"/>
    <x v="12"/>
    <x v="1"/>
    <s v="September"/>
    <n v="29"/>
    <x v="0"/>
    <s v="United States"/>
    <x v="0"/>
    <x v="0"/>
    <s v="Helmets"/>
    <x v="2"/>
    <n v="210"/>
    <n v="212.66666699999999"/>
    <n v="630"/>
    <n v="638"/>
    <n v="18"/>
    <n v="638"/>
  </r>
  <r>
    <n v="19"/>
    <x v="13"/>
    <x v="1"/>
    <s v="September"/>
    <n v="29"/>
    <x v="0"/>
    <s v="United States"/>
    <x v="0"/>
    <x v="0"/>
    <s v="Tires and Tubes"/>
    <x v="0"/>
    <n v="64"/>
    <n v="74"/>
    <n v="64"/>
    <n v="74"/>
    <n v="19"/>
    <n v="74"/>
  </r>
  <r>
    <n v="20"/>
    <x v="13"/>
    <x v="1"/>
    <s v="September"/>
    <n v="29"/>
    <x v="0"/>
    <s v="United States"/>
    <x v="0"/>
    <x v="0"/>
    <s v="Helmets"/>
    <x v="2"/>
    <n v="326.67"/>
    <n v="359.66666700000002"/>
    <n v="980"/>
    <n v="1079"/>
    <n v="20"/>
    <n v="1079"/>
  </r>
  <r>
    <n v="21"/>
    <x v="14"/>
    <x v="1"/>
    <s v="October"/>
    <n v="29"/>
    <x v="0"/>
    <s v="United States"/>
    <x v="0"/>
    <x v="0"/>
    <s v="Tires and Tubes"/>
    <x v="0"/>
    <n v="125"/>
    <n v="136"/>
    <n v="125"/>
    <n v="136"/>
    <n v="21"/>
    <n v="136"/>
  </r>
  <r>
    <n v="22"/>
    <x v="14"/>
    <x v="1"/>
    <s v="October"/>
    <n v="29"/>
    <x v="0"/>
    <s v="United States"/>
    <x v="0"/>
    <x v="0"/>
    <s v="Helmets"/>
    <x v="1"/>
    <n v="17.5"/>
    <n v="18"/>
    <n v="35"/>
    <n v="36"/>
    <n v="22"/>
    <n v="36"/>
  </r>
  <r>
    <n v="23"/>
    <x v="14"/>
    <x v="1"/>
    <s v="October"/>
    <n v="29"/>
    <x v="0"/>
    <s v="United States"/>
    <x v="0"/>
    <x v="0"/>
    <s v="Tires and Tubes"/>
    <x v="1"/>
    <n v="215"/>
    <n v="226"/>
    <n v="430"/>
    <n v="452"/>
    <n v="23"/>
    <n v="452"/>
  </r>
  <r>
    <n v="24"/>
    <x v="14"/>
    <x v="1"/>
    <s v="October"/>
    <n v="29"/>
    <x v="0"/>
    <s v="United States"/>
    <x v="0"/>
    <x v="0"/>
    <s v="Tires and Tubes"/>
    <x v="2"/>
    <n v="22"/>
    <n v="23"/>
    <n v="66"/>
    <n v="69"/>
    <n v="24"/>
    <n v="69"/>
  </r>
  <r>
    <n v="25"/>
    <x v="15"/>
    <x v="1"/>
    <s v="October"/>
    <n v="29"/>
    <x v="0"/>
    <s v="United States"/>
    <x v="0"/>
    <x v="0"/>
    <s v="Tires and Tubes"/>
    <x v="0"/>
    <n v="750"/>
    <n v="820"/>
    <n v="750"/>
    <n v="820"/>
    <n v="25"/>
    <n v="820"/>
  </r>
  <r>
    <n v="26"/>
    <x v="16"/>
    <x v="1"/>
    <s v="October"/>
    <n v="29"/>
    <x v="0"/>
    <s v="United States"/>
    <x v="0"/>
    <x v="0"/>
    <s v="Tires and Tubes"/>
    <x v="1"/>
    <n v="60"/>
    <n v="70.5"/>
    <n v="120"/>
    <n v="141"/>
    <n v="26"/>
    <n v="141"/>
  </r>
  <r>
    <n v="27"/>
    <x v="16"/>
    <x v="1"/>
    <s v="October"/>
    <n v="29"/>
    <x v="0"/>
    <s v="United States"/>
    <x v="0"/>
    <x v="0"/>
    <s v="Tires and Tubes"/>
    <x v="0"/>
    <n v="125"/>
    <n v="130"/>
    <n v="125"/>
    <n v="130"/>
    <n v="27"/>
    <n v="130"/>
  </r>
  <r>
    <n v="28"/>
    <x v="16"/>
    <x v="1"/>
    <s v="October"/>
    <n v="29"/>
    <x v="0"/>
    <s v="United States"/>
    <x v="0"/>
    <x v="0"/>
    <s v="Helmets"/>
    <x v="0"/>
    <n v="140"/>
    <n v="143"/>
    <n v="140"/>
    <n v="143"/>
    <n v="28"/>
    <n v="143"/>
  </r>
  <r>
    <n v="29"/>
    <x v="17"/>
    <x v="1"/>
    <s v="November"/>
    <n v="29"/>
    <x v="0"/>
    <s v="United States"/>
    <x v="0"/>
    <x v="0"/>
    <s v="Tires and Tubes"/>
    <x v="1"/>
    <n v="192.5"/>
    <n v="213.5"/>
    <n v="385"/>
    <n v="427"/>
    <n v="29"/>
    <n v="427"/>
  </r>
  <r>
    <n v="30"/>
    <x v="17"/>
    <x v="1"/>
    <s v="November"/>
    <n v="29"/>
    <x v="0"/>
    <s v="United States"/>
    <x v="0"/>
    <x v="0"/>
    <s v="Tires and Tubes"/>
    <x v="2"/>
    <n v="38.33"/>
    <n v="43.333333000000003"/>
    <n v="115"/>
    <n v="130"/>
    <n v="30"/>
    <n v="130"/>
  </r>
  <r>
    <n v="31"/>
    <x v="17"/>
    <x v="1"/>
    <s v="November"/>
    <n v="29"/>
    <x v="0"/>
    <s v="United States"/>
    <x v="0"/>
    <x v="0"/>
    <s v="Helmets"/>
    <x v="2"/>
    <n v="151.66999999999999"/>
    <n v="170"/>
    <n v="455"/>
    <n v="510"/>
    <n v="31"/>
    <n v="510"/>
  </r>
  <r>
    <n v="32"/>
    <x v="18"/>
    <x v="1"/>
    <s v="November"/>
    <n v="29"/>
    <x v="0"/>
    <s v="United States"/>
    <x v="0"/>
    <x v="0"/>
    <s v="Tires and Tubes"/>
    <x v="0"/>
    <n v="56"/>
    <n v="65"/>
    <n v="56"/>
    <n v="65"/>
    <n v="32"/>
    <n v="65"/>
  </r>
  <r>
    <n v="33"/>
    <x v="18"/>
    <x v="1"/>
    <s v="November"/>
    <n v="29"/>
    <x v="0"/>
    <s v="United States"/>
    <x v="0"/>
    <x v="0"/>
    <s v="Tires and Tubes"/>
    <x v="2"/>
    <n v="108.67"/>
    <n v="123.666667"/>
    <n v="326"/>
    <n v="371"/>
    <n v="33"/>
    <n v="371"/>
  </r>
  <r>
    <n v="34"/>
    <x v="18"/>
    <x v="1"/>
    <s v="November"/>
    <n v="29"/>
    <x v="0"/>
    <s v="United States"/>
    <x v="0"/>
    <x v="0"/>
    <s v="Tires and Tubes"/>
    <x v="2"/>
    <n v="14.67"/>
    <n v="15"/>
    <n v="44"/>
    <n v="45"/>
    <n v="34"/>
    <n v="45"/>
  </r>
  <r>
    <n v="35"/>
    <x v="19"/>
    <x v="1"/>
    <s v="December"/>
    <n v="29"/>
    <x v="0"/>
    <s v="United States"/>
    <x v="0"/>
    <x v="0"/>
    <s v="Helmets"/>
    <x v="1"/>
    <n v="280"/>
    <n v="269"/>
    <n v="560"/>
    <n v="538"/>
    <n v="35"/>
    <n v="538"/>
  </r>
  <r>
    <n v="36"/>
    <x v="20"/>
    <x v="1"/>
    <s v="December"/>
    <n v="29"/>
    <x v="0"/>
    <s v="United States"/>
    <x v="0"/>
    <x v="0"/>
    <s v="Tires and Tubes"/>
    <x v="1"/>
    <n v="293.5"/>
    <n v="320.5"/>
    <n v="587"/>
    <n v="641"/>
    <n v="36"/>
    <n v="641"/>
  </r>
  <r>
    <n v="37"/>
    <x v="20"/>
    <x v="1"/>
    <s v="December"/>
    <n v="29"/>
    <x v="0"/>
    <s v="United States"/>
    <x v="0"/>
    <x v="0"/>
    <s v="Tires and Tubes"/>
    <x v="1"/>
    <n v="2"/>
    <n v="2"/>
    <n v="4"/>
    <n v="4"/>
    <n v="37"/>
    <n v="4"/>
  </r>
  <r>
    <n v="38"/>
    <x v="20"/>
    <x v="1"/>
    <s v="December"/>
    <n v="29"/>
    <x v="0"/>
    <s v="United States"/>
    <x v="0"/>
    <x v="0"/>
    <s v="Helmets"/>
    <x v="0"/>
    <n v="420"/>
    <n v="472"/>
    <n v="420"/>
    <n v="472"/>
    <n v="38"/>
    <n v="472"/>
  </r>
  <r>
    <n v="39"/>
    <x v="21"/>
    <x v="1"/>
    <s v="December"/>
    <n v="29"/>
    <x v="0"/>
    <s v="United States"/>
    <x v="0"/>
    <x v="0"/>
    <s v="Tires and Tubes"/>
    <x v="1"/>
    <n v="275.5"/>
    <n v="303"/>
    <n v="551"/>
    <n v="606"/>
    <n v="39"/>
    <n v="606"/>
  </r>
  <r>
    <n v="40"/>
    <x v="21"/>
    <x v="1"/>
    <s v="December"/>
    <n v="29"/>
    <x v="0"/>
    <s v="United States"/>
    <x v="0"/>
    <x v="0"/>
    <s v="Tires and Tubes"/>
    <x v="0"/>
    <n v="120"/>
    <n v="120"/>
    <n v="120"/>
    <n v="120"/>
    <n v="40"/>
    <n v="120"/>
  </r>
  <r>
    <n v="41"/>
    <x v="21"/>
    <x v="1"/>
    <s v="December"/>
    <n v="29"/>
    <x v="0"/>
    <s v="United States"/>
    <x v="0"/>
    <x v="0"/>
    <s v="Helmets"/>
    <x v="0"/>
    <n v="630"/>
    <n v="624"/>
    <n v="630"/>
    <n v="624"/>
    <n v="41"/>
    <n v="624"/>
  </r>
  <r>
    <n v="42"/>
    <x v="22"/>
    <x v="1"/>
    <s v="December"/>
    <n v="29"/>
    <x v="0"/>
    <s v="United States"/>
    <x v="0"/>
    <x v="0"/>
    <s v="Tires and Tubes"/>
    <x v="1"/>
    <n v="32.5"/>
    <n v="36"/>
    <n v="65"/>
    <n v="72"/>
    <n v="42"/>
    <n v="72"/>
  </r>
  <r>
    <n v="43"/>
    <x v="22"/>
    <x v="1"/>
    <s v="December"/>
    <n v="29"/>
    <x v="0"/>
    <s v="United States"/>
    <x v="0"/>
    <x v="0"/>
    <s v="Tires and Tubes"/>
    <x v="2"/>
    <n v="338.33"/>
    <n v="389.33333299999998"/>
    <n v="1015"/>
    <n v="1168"/>
    <n v="43"/>
    <n v="1168"/>
  </r>
  <r>
    <n v="44"/>
    <x v="22"/>
    <x v="1"/>
    <s v="December"/>
    <n v="29"/>
    <x v="0"/>
    <s v="United States"/>
    <x v="0"/>
    <x v="0"/>
    <s v="Tires and Tubes"/>
    <x v="2"/>
    <n v="10.67"/>
    <n v="11"/>
    <n v="32"/>
    <n v="33"/>
    <n v="44"/>
    <n v="33"/>
  </r>
  <r>
    <n v="45"/>
    <x v="23"/>
    <x v="1"/>
    <s v="December"/>
    <n v="29"/>
    <x v="0"/>
    <s v="United States"/>
    <x v="0"/>
    <x v="0"/>
    <s v="Tires and Tubes"/>
    <x v="2"/>
    <n v="36.67"/>
    <n v="41.666666999999997"/>
    <n v="110"/>
    <n v="125"/>
    <n v="45"/>
    <n v="125"/>
  </r>
  <r>
    <n v="46"/>
    <x v="23"/>
    <x v="1"/>
    <s v="December"/>
    <n v="29"/>
    <x v="0"/>
    <s v="United States"/>
    <x v="0"/>
    <x v="0"/>
    <s v="Helmets"/>
    <x v="1"/>
    <n v="245"/>
    <n v="249.5"/>
    <n v="490"/>
    <n v="499"/>
    <n v="46"/>
    <n v="499"/>
  </r>
  <r>
    <n v="47"/>
    <x v="24"/>
    <x v="1"/>
    <s v="July"/>
    <n v="18"/>
    <x v="0"/>
    <s v="United States"/>
    <x v="1"/>
    <x v="0"/>
    <s v="Bike Stands"/>
    <x v="0"/>
    <n v="636"/>
    <n v="677"/>
    <n v="636"/>
    <n v="677"/>
    <n v="47"/>
    <n v="677"/>
  </r>
  <r>
    <n v="48"/>
    <x v="25"/>
    <x v="1"/>
    <s v="October"/>
    <n v="18"/>
    <x v="0"/>
    <s v="United States"/>
    <x v="1"/>
    <x v="0"/>
    <s v="Bike Stands"/>
    <x v="2"/>
    <n v="159"/>
    <n v="170.66666699999999"/>
    <n v="477"/>
    <n v="512"/>
    <n v="48"/>
    <n v="512"/>
  </r>
  <r>
    <n v="49"/>
    <x v="26"/>
    <x v="0"/>
    <s v="June"/>
    <n v="18"/>
    <x v="1"/>
    <s v="United States"/>
    <x v="1"/>
    <x v="2"/>
    <s v="Mountain Bikes"/>
    <x v="0"/>
    <n v="769"/>
    <n v="875"/>
    <n v="769"/>
    <n v="875"/>
    <n v="49"/>
    <n v="875"/>
  </r>
  <r>
    <n v="50"/>
    <x v="27"/>
    <x v="1"/>
    <s v="August"/>
    <n v="18"/>
    <x v="1"/>
    <s v="United States"/>
    <x v="1"/>
    <x v="2"/>
    <s v="Mountain Bikes"/>
    <x v="0"/>
    <n v="2295"/>
    <n v="2242"/>
    <n v="2295"/>
    <n v="2242"/>
    <n v="50"/>
    <n v="2242"/>
  </r>
  <r>
    <n v="51"/>
    <x v="28"/>
    <x v="1"/>
    <s v="September"/>
    <n v="18"/>
    <x v="1"/>
    <s v="United States"/>
    <x v="1"/>
    <x v="2"/>
    <s v="Mountain Bikes"/>
    <x v="0"/>
    <n v="769"/>
    <n v="776"/>
    <n v="769"/>
    <n v="776"/>
    <n v="51"/>
    <n v="776"/>
  </r>
  <r>
    <n v="52"/>
    <x v="16"/>
    <x v="1"/>
    <s v="October"/>
    <n v="18"/>
    <x v="1"/>
    <s v="United States"/>
    <x v="1"/>
    <x v="2"/>
    <s v="Mountain Bikes"/>
    <x v="1"/>
    <n v="1160"/>
    <n v="1005"/>
    <n v="2320"/>
    <n v="2010"/>
    <n v="52"/>
    <n v="2010"/>
  </r>
  <r>
    <n v="53"/>
    <x v="29"/>
    <x v="1"/>
    <s v="December"/>
    <n v="18"/>
    <x v="1"/>
    <s v="United States"/>
    <x v="1"/>
    <x v="2"/>
    <s v="Mountain Bikes"/>
    <x v="0"/>
    <n v="2295"/>
    <n v="2303"/>
    <n v="2295"/>
    <n v="2303"/>
    <n v="53"/>
    <n v="2303"/>
  </r>
  <r>
    <n v="54"/>
    <x v="30"/>
    <x v="1"/>
    <s v="July"/>
    <n v="19"/>
    <x v="0"/>
    <s v="United States"/>
    <x v="2"/>
    <x v="0"/>
    <s v="Hydration Packs"/>
    <x v="1"/>
    <n v="797.5"/>
    <n v="813"/>
    <n v="1595"/>
    <n v="1626"/>
    <n v="54"/>
    <n v="1626"/>
  </r>
  <r>
    <n v="55"/>
    <x v="31"/>
    <x v="0"/>
    <s v="February"/>
    <n v="19"/>
    <x v="1"/>
    <s v="United States"/>
    <x v="0"/>
    <x v="2"/>
    <s v="Mountain Bikes"/>
    <x v="2"/>
    <n v="180"/>
    <n v="188.33333300000001"/>
    <n v="540"/>
    <n v="565"/>
    <n v="55"/>
    <n v="565"/>
  </r>
  <r>
    <n v="56"/>
    <x v="32"/>
    <x v="1"/>
    <s v="July"/>
    <n v="19"/>
    <x v="1"/>
    <s v="United States"/>
    <x v="0"/>
    <x v="2"/>
    <s v="Mountain Bikes"/>
    <x v="0"/>
    <n v="2320"/>
    <n v="2160"/>
    <n v="2320"/>
    <n v="2160"/>
    <n v="56"/>
    <n v="2160"/>
  </r>
  <r>
    <n v="57"/>
    <x v="33"/>
    <x v="0"/>
    <s v="March"/>
    <n v="19"/>
    <x v="1"/>
    <s v="United States"/>
    <x v="1"/>
    <x v="1"/>
    <s v="Jerseys"/>
    <x v="2"/>
    <n v="100"/>
    <n v="117.666667"/>
    <n v="300"/>
    <n v="353"/>
    <n v="57"/>
    <n v="353"/>
  </r>
  <r>
    <n v="58"/>
    <x v="34"/>
    <x v="0"/>
    <s v="March"/>
    <n v="19"/>
    <x v="1"/>
    <s v="United States"/>
    <x v="1"/>
    <x v="1"/>
    <s v="Jerseys"/>
    <x v="0"/>
    <n v="750"/>
    <n v="985"/>
    <n v="750"/>
    <n v="985"/>
    <n v="58"/>
    <n v="985"/>
  </r>
  <r>
    <n v="59"/>
    <x v="35"/>
    <x v="0"/>
    <s v="May"/>
    <n v="19"/>
    <x v="1"/>
    <s v="United States"/>
    <x v="1"/>
    <x v="1"/>
    <s v="Jerseys"/>
    <x v="2"/>
    <n v="133.33000000000001"/>
    <n v="164.33333300000001"/>
    <n v="400"/>
    <n v="493"/>
    <n v="59"/>
    <n v="493"/>
  </r>
  <r>
    <n v="60"/>
    <x v="36"/>
    <x v="0"/>
    <s v="June"/>
    <n v="19"/>
    <x v="1"/>
    <s v="United States"/>
    <x v="1"/>
    <x v="0"/>
    <s v="Fenders"/>
    <x v="2"/>
    <n v="88"/>
    <n v="95.333332999999996"/>
    <n v="264"/>
    <n v="286"/>
    <n v="60"/>
    <n v="286"/>
  </r>
  <r>
    <n v="61"/>
    <x v="37"/>
    <x v="0"/>
    <s v="June"/>
    <n v="19"/>
    <x v="1"/>
    <s v="United States"/>
    <x v="1"/>
    <x v="1"/>
    <s v="Jerseys"/>
    <x v="1"/>
    <n v="300"/>
    <n v="384"/>
    <n v="600"/>
    <n v="768"/>
    <n v="61"/>
    <n v="768"/>
  </r>
  <r>
    <n v="62"/>
    <x v="38"/>
    <x v="1"/>
    <s v="August"/>
    <n v="19"/>
    <x v="1"/>
    <s v="United States"/>
    <x v="1"/>
    <x v="1"/>
    <s v="Jerseys"/>
    <x v="2"/>
    <n v="133.33000000000001"/>
    <n v="161"/>
    <n v="400"/>
    <n v="483"/>
    <n v="62"/>
    <n v="483"/>
  </r>
  <r>
    <n v="63"/>
    <x v="39"/>
    <x v="1"/>
    <s v="August"/>
    <n v="19"/>
    <x v="1"/>
    <s v="United States"/>
    <x v="1"/>
    <x v="1"/>
    <s v="Jerseys"/>
    <x v="1"/>
    <n v="594"/>
    <n v="569.5"/>
    <n v="1188"/>
    <n v="1139"/>
    <n v="63"/>
    <n v="1139"/>
  </r>
  <r>
    <n v="64"/>
    <x v="40"/>
    <x v="1"/>
    <s v="September"/>
    <n v="19"/>
    <x v="1"/>
    <s v="United States"/>
    <x v="1"/>
    <x v="1"/>
    <s v="Jerseys"/>
    <x v="1"/>
    <n v="75"/>
    <n v="79.5"/>
    <n v="150"/>
    <n v="159"/>
    <n v="64"/>
    <n v="159"/>
  </r>
  <r>
    <n v="65"/>
    <x v="41"/>
    <x v="0"/>
    <s v="January"/>
    <n v="19"/>
    <x v="1"/>
    <s v="United States"/>
    <x v="1"/>
    <x v="0"/>
    <s v="Cleaners"/>
    <x v="1"/>
    <n v="99.5"/>
    <n v="126"/>
    <n v="199"/>
    <n v="252"/>
    <n v="65"/>
    <n v="252"/>
  </r>
  <r>
    <n v="66"/>
    <x v="42"/>
    <x v="0"/>
    <s v="January"/>
    <n v="19"/>
    <x v="0"/>
    <s v="United States"/>
    <x v="1"/>
    <x v="0"/>
    <s v="Helmets"/>
    <x v="2"/>
    <n v="46.67"/>
    <n v="51.666666999999997"/>
    <n v="140"/>
    <n v="155"/>
    <n v="66"/>
    <n v="155"/>
  </r>
  <r>
    <n v="67"/>
    <x v="43"/>
    <x v="0"/>
    <s v="January"/>
    <n v="19"/>
    <x v="0"/>
    <s v="United States"/>
    <x v="1"/>
    <x v="0"/>
    <s v="Helmets"/>
    <x v="0"/>
    <n v="175"/>
    <n v="218"/>
    <n v="175"/>
    <n v="218"/>
    <n v="67"/>
    <n v="218"/>
  </r>
  <r>
    <n v="68"/>
    <x v="44"/>
    <x v="0"/>
    <s v="May"/>
    <n v="19"/>
    <x v="0"/>
    <s v="United States"/>
    <x v="1"/>
    <x v="0"/>
    <s v="Helmets"/>
    <x v="1"/>
    <n v="52.5"/>
    <n v="60"/>
    <n v="105"/>
    <n v="120"/>
    <n v="68"/>
    <n v="120"/>
  </r>
  <r>
    <n v="69"/>
    <x v="45"/>
    <x v="1"/>
    <s v="July"/>
    <n v="19"/>
    <x v="0"/>
    <s v="United States"/>
    <x v="1"/>
    <x v="0"/>
    <s v="Helmets"/>
    <x v="1"/>
    <n v="122.5"/>
    <n v="139.5"/>
    <n v="245"/>
    <n v="279"/>
    <n v="69"/>
    <n v="279"/>
  </r>
  <r>
    <n v="70"/>
    <x v="46"/>
    <x v="1"/>
    <s v="December"/>
    <n v="19"/>
    <x v="0"/>
    <s v="United States"/>
    <x v="1"/>
    <x v="0"/>
    <s v="Helmets"/>
    <x v="0"/>
    <n v="420"/>
    <n v="458"/>
    <n v="420"/>
    <n v="458"/>
    <n v="70"/>
    <n v="458"/>
  </r>
  <r>
    <n v="71"/>
    <x v="7"/>
    <x v="0"/>
    <s v="June"/>
    <n v="20"/>
    <x v="1"/>
    <s v="United States"/>
    <x v="0"/>
    <x v="1"/>
    <s v="Socks"/>
    <x v="2"/>
    <n v="45"/>
    <n v="52.666666999999997"/>
    <n v="135"/>
    <n v="158"/>
    <n v="71"/>
    <n v="158"/>
  </r>
  <r>
    <n v="72"/>
    <x v="47"/>
    <x v="1"/>
    <s v="October"/>
    <n v="20"/>
    <x v="1"/>
    <s v="United States"/>
    <x v="0"/>
    <x v="1"/>
    <s v="Socks"/>
    <x v="1"/>
    <n v="27"/>
    <n v="30.5"/>
    <n v="54"/>
    <n v="61"/>
    <n v="72"/>
    <n v="61"/>
  </r>
  <r>
    <n v="73"/>
    <x v="48"/>
    <x v="1"/>
    <s v="July"/>
    <n v="20"/>
    <x v="0"/>
    <s v="United States"/>
    <x v="1"/>
    <x v="2"/>
    <s v="Mountain Bikes"/>
    <x v="0"/>
    <n v="2295"/>
    <n v="2146"/>
    <n v="2295"/>
    <n v="2146"/>
    <n v="73"/>
    <n v="2146"/>
  </r>
  <r>
    <n v="74"/>
    <x v="49"/>
    <x v="1"/>
    <s v="July"/>
    <n v="20"/>
    <x v="0"/>
    <s v="United States"/>
    <x v="1"/>
    <x v="2"/>
    <s v="Mountain Bikes"/>
    <x v="0"/>
    <n v="2320"/>
    <n v="2030"/>
    <n v="2320"/>
    <n v="2030"/>
    <n v="74"/>
    <n v="2030"/>
  </r>
  <r>
    <n v="75"/>
    <x v="50"/>
    <x v="1"/>
    <s v="December"/>
    <n v="20"/>
    <x v="0"/>
    <s v="United States"/>
    <x v="1"/>
    <x v="2"/>
    <s v="Mountain Bikes"/>
    <x v="0"/>
    <n v="2295"/>
    <n v="1884"/>
    <n v="2295"/>
    <n v="1884"/>
    <n v="75"/>
    <n v="1884"/>
  </r>
  <r>
    <n v="76"/>
    <x v="51"/>
    <x v="1"/>
    <s v="July"/>
    <n v="22"/>
    <x v="0"/>
    <s v="United States"/>
    <x v="0"/>
    <x v="1"/>
    <s v="Caps"/>
    <x v="0"/>
    <n v="216"/>
    <n v="228"/>
    <n v="216"/>
    <n v="228"/>
    <n v="76"/>
    <n v="228"/>
  </r>
  <r>
    <n v="77"/>
    <x v="52"/>
    <x v="1"/>
    <s v="August"/>
    <n v="24"/>
    <x v="0"/>
    <s v="United States"/>
    <x v="1"/>
    <x v="0"/>
    <s v="Bike Stands"/>
    <x v="2"/>
    <n v="530"/>
    <n v="529.33333300000004"/>
    <n v="1590"/>
    <n v="1588"/>
    <n v="77"/>
    <n v="1588"/>
  </r>
  <r>
    <n v="78"/>
    <x v="53"/>
    <x v="1"/>
    <s v="December"/>
    <n v="24"/>
    <x v="0"/>
    <s v="United States"/>
    <x v="1"/>
    <x v="0"/>
    <s v="Bike Stands"/>
    <x v="0"/>
    <n v="1113"/>
    <n v="1297"/>
    <n v="1113"/>
    <n v="1297"/>
    <n v="78"/>
    <n v="1297"/>
  </r>
  <r>
    <n v="79"/>
    <x v="54"/>
    <x v="0"/>
    <s v="March"/>
    <n v="40"/>
    <x v="1"/>
    <s v="United States"/>
    <x v="2"/>
    <x v="2"/>
    <s v="Mountain Bikes"/>
    <x v="0"/>
    <n v="769"/>
    <n v="873"/>
    <n v="769"/>
    <n v="873"/>
    <n v="79"/>
    <n v="873"/>
  </r>
  <r>
    <n v="80"/>
    <x v="55"/>
    <x v="0"/>
    <s v="May"/>
    <n v="40"/>
    <x v="1"/>
    <s v="United States"/>
    <x v="2"/>
    <x v="2"/>
    <s v="Touring Bikes"/>
    <x v="2"/>
    <n v="247.33"/>
    <n v="250.33333300000001"/>
    <n v="742"/>
    <n v="751"/>
    <n v="80"/>
    <n v="751"/>
  </r>
  <r>
    <n v="81"/>
    <x v="56"/>
    <x v="1"/>
    <s v="July"/>
    <n v="40"/>
    <x v="1"/>
    <s v="United States"/>
    <x v="2"/>
    <x v="2"/>
    <s v="Mountain Bikes"/>
    <x v="0"/>
    <n v="2320"/>
    <n v="2340"/>
    <n v="2320"/>
    <n v="2340"/>
    <n v="81"/>
    <n v="2340"/>
  </r>
  <r>
    <n v="82"/>
    <x v="57"/>
    <x v="1"/>
    <s v="July"/>
    <n v="40"/>
    <x v="1"/>
    <s v="United States"/>
    <x v="2"/>
    <x v="2"/>
    <s v="Mountain Bikes"/>
    <x v="1"/>
    <n v="384.5"/>
    <n v="353.5"/>
    <n v="769"/>
    <n v="707"/>
    <n v="82"/>
    <n v="707"/>
  </r>
  <r>
    <n v="83"/>
    <x v="58"/>
    <x v="1"/>
    <s v="August"/>
    <n v="40"/>
    <x v="1"/>
    <s v="United States"/>
    <x v="2"/>
    <x v="2"/>
    <s v="Mountain Bikes"/>
    <x v="0"/>
    <n v="2320"/>
    <n v="2340"/>
    <n v="2320"/>
    <n v="2340"/>
    <n v="83"/>
    <n v="2340"/>
  </r>
  <r>
    <n v="84"/>
    <x v="22"/>
    <x v="1"/>
    <s v="December"/>
    <n v="40"/>
    <x v="1"/>
    <s v="United States"/>
    <x v="2"/>
    <x v="2"/>
    <s v="Mountain Bikes"/>
    <x v="0"/>
    <n v="2320"/>
    <n v="2095"/>
    <n v="2320"/>
    <n v="2095"/>
    <n v="84"/>
    <n v="2095"/>
  </r>
  <r>
    <n v="85"/>
    <x v="59"/>
    <x v="1"/>
    <s v="August"/>
    <n v="40"/>
    <x v="0"/>
    <s v="United States"/>
    <x v="1"/>
    <x v="0"/>
    <s v="Bike Stands"/>
    <x v="1"/>
    <n v="477"/>
    <n v="524.5"/>
    <n v="954"/>
    <n v="1049"/>
    <n v="85"/>
    <n v="1049"/>
  </r>
  <r>
    <n v="86"/>
    <x v="60"/>
    <x v="0"/>
    <s v="January"/>
    <n v="40"/>
    <x v="1"/>
    <s v="United States"/>
    <x v="1"/>
    <x v="0"/>
    <s v="Hydration Packs"/>
    <x v="2"/>
    <n v="165"/>
    <n v="186.33333300000001"/>
    <n v="495"/>
    <n v="559"/>
    <n v="86"/>
    <n v="559"/>
  </r>
  <r>
    <n v="87"/>
    <x v="1"/>
    <x v="0"/>
    <s v="February"/>
    <n v="40"/>
    <x v="1"/>
    <s v="United States"/>
    <x v="1"/>
    <x v="0"/>
    <s v="Hydration Packs"/>
    <x v="2"/>
    <n v="256.67"/>
    <n v="334.33333299999998"/>
    <n v="770"/>
    <n v="1003"/>
    <n v="87"/>
    <n v="1003"/>
  </r>
  <r>
    <n v="88"/>
    <x v="61"/>
    <x v="1"/>
    <s v="July"/>
    <n v="40"/>
    <x v="1"/>
    <s v="United States"/>
    <x v="1"/>
    <x v="0"/>
    <s v="Hydration Packs"/>
    <x v="0"/>
    <n v="715"/>
    <n v="752"/>
    <n v="715"/>
    <n v="752"/>
    <n v="88"/>
    <n v="752"/>
  </r>
  <r>
    <n v="89"/>
    <x v="62"/>
    <x v="0"/>
    <s v="February"/>
    <n v="22"/>
    <x v="0"/>
    <s v="United States"/>
    <x v="0"/>
    <x v="0"/>
    <s v="Bottles and Cages"/>
    <x v="0"/>
    <n v="120"/>
    <n v="156"/>
    <n v="120"/>
    <n v="156"/>
    <n v="89"/>
    <n v="156"/>
  </r>
  <r>
    <n v="90"/>
    <x v="63"/>
    <x v="0"/>
    <s v="July"/>
    <n v="22"/>
    <x v="0"/>
    <s v="United States"/>
    <x v="0"/>
    <x v="0"/>
    <s v="Bottles and Cages"/>
    <x v="0"/>
    <n v="85"/>
    <n v="108"/>
    <n v="85"/>
    <n v="108"/>
    <n v="90"/>
    <n v="108"/>
  </r>
  <r>
    <n v="91"/>
    <x v="64"/>
    <x v="0"/>
    <s v="July"/>
    <n v="22"/>
    <x v="0"/>
    <s v="United States"/>
    <x v="0"/>
    <x v="0"/>
    <s v="Bottles and Cages"/>
    <x v="1"/>
    <n v="105"/>
    <n v="136"/>
    <n v="210"/>
    <n v="272"/>
    <n v="91"/>
    <n v="272"/>
  </r>
  <r>
    <n v="92"/>
    <x v="51"/>
    <x v="1"/>
    <s v="July"/>
    <n v="22"/>
    <x v="0"/>
    <s v="United States"/>
    <x v="0"/>
    <x v="0"/>
    <s v="Bottles and Cages"/>
    <x v="0"/>
    <n v="65"/>
    <n v="67"/>
    <n v="65"/>
    <n v="67"/>
    <n v="92"/>
    <n v="67"/>
  </r>
  <r>
    <n v="93"/>
    <x v="51"/>
    <x v="1"/>
    <s v="July"/>
    <n v="22"/>
    <x v="0"/>
    <s v="United States"/>
    <x v="0"/>
    <x v="0"/>
    <s v="Bottles and Cages"/>
    <x v="1"/>
    <n v="125"/>
    <n v="143.5"/>
    <n v="250"/>
    <n v="287"/>
    <n v="93"/>
    <n v="287"/>
  </r>
  <r>
    <n v="94"/>
    <x v="51"/>
    <x v="1"/>
    <s v="July"/>
    <n v="22"/>
    <x v="0"/>
    <s v="United States"/>
    <x v="0"/>
    <x v="1"/>
    <s v="Jerseys"/>
    <x v="2"/>
    <n v="414"/>
    <n v="437.66666700000002"/>
    <n v="1242"/>
    <n v="1313"/>
    <n v="94"/>
    <n v="1313"/>
  </r>
  <r>
    <n v="95"/>
    <x v="65"/>
    <x v="1"/>
    <s v="September"/>
    <n v="22"/>
    <x v="0"/>
    <s v="United States"/>
    <x v="0"/>
    <x v="1"/>
    <s v="Jerseys"/>
    <x v="1"/>
    <n v="486"/>
    <n v="535.5"/>
    <n v="972"/>
    <n v="1071"/>
    <n v="95"/>
    <n v="1071"/>
  </r>
  <r>
    <n v="96"/>
    <x v="66"/>
    <x v="1"/>
    <s v="September"/>
    <n v="22"/>
    <x v="0"/>
    <s v="United States"/>
    <x v="0"/>
    <x v="0"/>
    <s v="Bottles and Cages"/>
    <x v="1"/>
    <n v="25"/>
    <n v="26.5"/>
    <n v="50"/>
    <n v="53"/>
    <n v="96"/>
    <n v="53"/>
  </r>
  <r>
    <n v="97"/>
    <x v="67"/>
    <x v="1"/>
    <s v="October"/>
    <n v="22"/>
    <x v="0"/>
    <s v="United States"/>
    <x v="0"/>
    <x v="0"/>
    <s v="Bottles and Cages"/>
    <x v="0"/>
    <n v="189"/>
    <n v="179"/>
    <n v="189"/>
    <n v="179"/>
    <n v="97"/>
    <n v="179"/>
  </r>
  <r>
    <n v="98"/>
    <x v="67"/>
    <x v="1"/>
    <s v="October"/>
    <n v="22"/>
    <x v="0"/>
    <s v="United States"/>
    <x v="0"/>
    <x v="0"/>
    <s v="Bottles and Cages"/>
    <x v="2"/>
    <n v="6.67"/>
    <n v="7"/>
    <n v="20"/>
    <n v="21"/>
    <n v="98"/>
    <n v="21"/>
  </r>
  <r>
    <n v="99"/>
    <x v="29"/>
    <x v="1"/>
    <s v="December"/>
    <n v="22"/>
    <x v="0"/>
    <s v="United States"/>
    <x v="0"/>
    <x v="1"/>
    <s v="Jerseys"/>
    <x v="0"/>
    <n v="150"/>
    <n v="159"/>
    <n v="150"/>
    <n v="159"/>
    <n v="99"/>
    <n v="159"/>
  </r>
  <r>
    <n v="100"/>
    <x v="57"/>
    <x v="1"/>
    <s v="July"/>
    <n v="22"/>
    <x v="0"/>
    <s v="United States"/>
    <x v="0"/>
    <x v="2"/>
    <s v="Mountain Bikes"/>
    <x v="1"/>
    <n v="1147.5"/>
    <n v="1077"/>
    <n v="2295"/>
    <n v="2154"/>
    <n v="100"/>
    <n v="2154"/>
  </r>
  <r>
    <n v="101"/>
    <x v="51"/>
    <x v="1"/>
    <s v="July"/>
    <n v="22"/>
    <x v="0"/>
    <s v="United States"/>
    <x v="0"/>
    <x v="2"/>
    <s v="Mountain Bikes"/>
    <x v="2"/>
    <n v="765"/>
    <n v="712.33333300000004"/>
    <n v="2295"/>
    <n v="2137"/>
    <n v="101"/>
    <n v="2137"/>
  </r>
  <r>
    <n v="102"/>
    <x v="62"/>
    <x v="0"/>
    <s v="February"/>
    <n v="19"/>
    <x v="0"/>
    <s v="United States"/>
    <x v="1"/>
    <x v="0"/>
    <s v="Tires and Tubes"/>
    <x v="0"/>
    <n v="96"/>
    <n v="105"/>
    <n v="96"/>
    <n v="105"/>
    <n v="102"/>
    <n v="105"/>
  </r>
  <r>
    <n v="103"/>
    <x v="68"/>
    <x v="0"/>
    <s v="March"/>
    <n v="19"/>
    <x v="0"/>
    <s v="United States"/>
    <x v="1"/>
    <x v="0"/>
    <s v="Tires and Tubes"/>
    <x v="0"/>
    <n v="100"/>
    <n v="113"/>
    <n v="100"/>
    <n v="113"/>
    <n v="103"/>
    <n v="113"/>
  </r>
  <r>
    <n v="104"/>
    <x v="69"/>
    <x v="0"/>
    <s v="May"/>
    <n v="19"/>
    <x v="0"/>
    <s v="United States"/>
    <x v="1"/>
    <x v="0"/>
    <s v="Tires and Tubes"/>
    <x v="1"/>
    <n v="24"/>
    <n v="28"/>
    <n v="48"/>
    <n v="56"/>
    <n v="104"/>
    <n v="56"/>
  </r>
  <r>
    <n v="105"/>
    <x v="44"/>
    <x v="0"/>
    <s v="May"/>
    <n v="19"/>
    <x v="0"/>
    <s v="United States"/>
    <x v="1"/>
    <x v="0"/>
    <s v="Tires and Tubes"/>
    <x v="1"/>
    <n v="30"/>
    <n v="35.5"/>
    <n v="60"/>
    <n v="71"/>
    <n v="105"/>
    <n v="71"/>
  </r>
  <r>
    <n v="106"/>
    <x v="70"/>
    <x v="0"/>
    <s v="June"/>
    <n v="19"/>
    <x v="0"/>
    <s v="United States"/>
    <x v="1"/>
    <x v="0"/>
    <s v="Tires and Tubes"/>
    <x v="0"/>
    <n v="50"/>
    <n v="54"/>
    <n v="50"/>
    <n v="54"/>
    <n v="106"/>
    <n v="54"/>
  </r>
  <r>
    <n v="107"/>
    <x v="71"/>
    <x v="0"/>
    <s v="July"/>
    <n v="19"/>
    <x v="0"/>
    <s v="United States"/>
    <x v="1"/>
    <x v="0"/>
    <s v="Tires and Tubes"/>
    <x v="1"/>
    <n v="70"/>
    <n v="92.5"/>
    <n v="140"/>
    <n v="185"/>
    <n v="107"/>
    <n v="185"/>
  </r>
  <r>
    <n v="108"/>
    <x v="71"/>
    <x v="0"/>
    <s v="July"/>
    <n v="19"/>
    <x v="0"/>
    <s v="United States"/>
    <x v="1"/>
    <x v="0"/>
    <s v="Tires and Tubes"/>
    <x v="0"/>
    <n v="40"/>
    <n v="48"/>
    <n v="40"/>
    <n v="48"/>
    <n v="108"/>
    <n v="48"/>
  </r>
  <r>
    <n v="109"/>
    <x v="58"/>
    <x v="1"/>
    <s v="August"/>
    <n v="19"/>
    <x v="0"/>
    <s v="United States"/>
    <x v="1"/>
    <x v="0"/>
    <s v="Tires and Tubes"/>
    <x v="2"/>
    <n v="290"/>
    <n v="341"/>
    <n v="870"/>
    <n v="1023"/>
    <n v="109"/>
    <n v="1023"/>
  </r>
  <r>
    <n v="110"/>
    <x v="58"/>
    <x v="1"/>
    <s v="August"/>
    <n v="19"/>
    <x v="0"/>
    <s v="United States"/>
    <x v="1"/>
    <x v="0"/>
    <s v="Tires and Tubes"/>
    <x v="2"/>
    <n v="1.67"/>
    <n v="2"/>
    <n v="5"/>
    <n v="6"/>
    <n v="110"/>
    <n v="6"/>
  </r>
  <r>
    <n v="111"/>
    <x v="58"/>
    <x v="1"/>
    <s v="August"/>
    <n v="19"/>
    <x v="0"/>
    <s v="United States"/>
    <x v="1"/>
    <x v="0"/>
    <s v="Tires and Tubes"/>
    <x v="2"/>
    <n v="0.67"/>
    <n v="0.66666700000000001"/>
    <n v="2"/>
    <n v="2"/>
    <n v="111"/>
    <n v="2"/>
  </r>
  <r>
    <n v="112"/>
    <x v="72"/>
    <x v="1"/>
    <s v="October"/>
    <n v="19"/>
    <x v="0"/>
    <s v="United States"/>
    <x v="1"/>
    <x v="0"/>
    <s v="Tires and Tubes"/>
    <x v="2"/>
    <n v="83.33"/>
    <n v="86.333332999999996"/>
    <n v="250"/>
    <n v="259"/>
    <n v="112"/>
    <n v="259"/>
  </r>
  <r>
    <n v="113"/>
    <x v="72"/>
    <x v="1"/>
    <s v="October"/>
    <n v="19"/>
    <x v="0"/>
    <s v="United States"/>
    <x v="1"/>
    <x v="0"/>
    <s v="Tires and Tubes"/>
    <x v="0"/>
    <n v="27"/>
    <n v="29"/>
    <n v="27"/>
    <n v="29"/>
    <n v="113"/>
    <n v="29"/>
  </r>
  <r>
    <n v="114"/>
    <x v="73"/>
    <x v="1"/>
    <s v="October"/>
    <n v="19"/>
    <x v="0"/>
    <s v="United States"/>
    <x v="1"/>
    <x v="0"/>
    <s v="Tires and Tubes"/>
    <x v="2"/>
    <n v="163.33000000000001"/>
    <n v="173.33333300000001"/>
    <n v="490"/>
    <n v="520"/>
    <n v="114"/>
    <n v="520"/>
  </r>
  <r>
    <n v="115"/>
    <x v="73"/>
    <x v="1"/>
    <s v="October"/>
    <n v="19"/>
    <x v="0"/>
    <s v="United States"/>
    <x v="1"/>
    <x v="0"/>
    <s v="Tires and Tubes"/>
    <x v="1"/>
    <n v="42.5"/>
    <n v="47"/>
    <n v="85"/>
    <n v="94"/>
    <n v="115"/>
    <n v="94"/>
  </r>
  <r>
    <n v="116"/>
    <x v="73"/>
    <x v="1"/>
    <s v="October"/>
    <n v="19"/>
    <x v="0"/>
    <s v="United States"/>
    <x v="1"/>
    <x v="0"/>
    <s v="Tires and Tubes"/>
    <x v="1"/>
    <n v="18.5"/>
    <n v="20.5"/>
    <n v="37"/>
    <n v="41"/>
    <n v="116"/>
    <n v="41"/>
  </r>
  <r>
    <n v="117"/>
    <x v="74"/>
    <x v="1"/>
    <s v="December"/>
    <n v="19"/>
    <x v="0"/>
    <s v="United States"/>
    <x v="1"/>
    <x v="0"/>
    <s v="Tires and Tubes"/>
    <x v="2"/>
    <n v="5"/>
    <n v="5.6666670000000003"/>
    <n v="15"/>
    <n v="17"/>
    <n v="117"/>
    <n v="17"/>
  </r>
  <r>
    <n v="118"/>
    <x v="74"/>
    <x v="1"/>
    <s v="December"/>
    <n v="19"/>
    <x v="0"/>
    <s v="United States"/>
    <x v="1"/>
    <x v="0"/>
    <s v="Tires and Tubes"/>
    <x v="0"/>
    <n v="1050"/>
    <n v="1111"/>
    <n v="1050"/>
    <n v="1111"/>
    <n v="118"/>
    <n v="1111"/>
  </r>
  <r>
    <n v="119"/>
    <x v="75"/>
    <x v="0"/>
    <s v="January"/>
    <n v="20"/>
    <x v="0"/>
    <s v="United States"/>
    <x v="1"/>
    <x v="0"/>
    <s v="Helmets"/>
    <x v="2"/>
    <n v="23.33"/>
    <n v="29.333333"/>
    <n v="70"/>
    <n v="88"/>
    <n v="119"/>
    <n v="88"/>
  </r>
  <r>
    <n v="120"/>
    <x v="76"/>
    <x v="0"/>
    <s v="January"/>
    <n v="20"/>
    <x v="0"/>
    <s v="United States"/>
    <x v="1"/>
    <x v="0"/>
    <s v="Helmets"/>
    <x v="0"/>
    <n v="105"/>
    <n v="131"/>
    <n v="105"/>
    <n v="131"/>
    <n v="120"/>
    <n v="131"/>
  </r>
  <r>
    <n v="121"/>
    <x v="2"/>
    <x v="0"/>
    <s v="February"/>
    <n v="20"/>
    <x v="0"/>
    <s v="United States"/>
    <x v="1"/>
    <x v="0"/>
    <s v="Helmets"/>
    <x v="2"/>
    <n v="11.67"/>
    <n v="13.333333"/>
    <n v="35"/>
    <n v="40"/>
    <n v="121"/>
    <n v="40"/>
  </r>
  <r>
    <n v="122"/>
    <x v="77"/>
    <x v="1"/>
    <s v="August"/>
    <n v="20"/>
    <x v="0"/>
    <s v="United States"/>
    <x v="1"/>
    <x v="0"/>
    <s v="Helmets"/>
    <x v="0"/>
    <n v="910"/>
    <n v="928"/>
    <n v="910"/>
    <n v="928"/>
    <n v="122"/>
    <n v="928"/>
  </r>
  <r>
    <n v="123"/>
    <x v="78"/>
    <x v="1"/>
    <s v="November"/>
    <n v="20"/>
    <x v="0"/>
    <s v="United States"/>
    <x v="1"/>
    <x v="0"/>
    <s v="Helmets"/>
    <x v="2"/>
    <n v="35"/>
    <n v="37.666666999999997"/>
    <n v="105"/>
    <n v="113"/>
    <n v="123"/>
    <n v="113"/>
  </r>
  <r>
    <n v="124"/>
    <x v="79"/>
    <x v="1"/>
    <s v="July"/>
    <n v="18"/>
    <x v="1"/>
    <s v="United States"/>
    <x v="0"/>
    <x v="2"/>
    <s v="Mountain Bikes"/>
    <x v="1"/>
    <n v="1147.5"/>
    <n v="1106.5"/>
    <n v="2295"/>
    <n v="2213"/>
    <n v="124"/>
    <n v="2213"/>
  </r>
  <r>
    <n v="125"/>
    <x v="79"/>
    <x v="1"/>
    <s v="July"/>
    <n v="18"/>
    <x v="1"/>
    <s v="United States"/>
    <x v="0"/>
    <x v="0"/>
    <s v="Hydration Packs"/>
    <x v="0"/>
    <n v="440"/>
    <n v="509"/>
    <n v="440"/>
    <n v="509"/>
    <n v="125"/>
    <n v="509"/>
  </r>
  <r>
    <n v="126"/>
    <x v="79"/>
    <x v="1"/>
    <s v="July"/>
    <n v="18"/>
    <x v="0"/>
    <s v="United States"/>
    <x v="2"/>
    <x v="2"/>
    <s v="Mountain Bikes"/>
    <x v="0"/>
    <n v="2295"/>
    <n v="2115"/>
    <n v="2295"/>
    <n v="2115"/>
    <n v="126"/>
    <n v="2115"/>
  </r>
  <r>
    <n v="127"/>
    <x v="79"/>
    <x v="1"/>
    <s v="July"/>
    <n v="18"/>
    <x v="0"/>
    <s v="United States"/>
    <x v="2"/>
    <x v="0"/>
    <s v="Bottles and Cages"/>
    <x v="0"/>
    <n v="230"/>
    <n v="250"/>
    <n v="230"/>
    <n v="250"/>
    <n v="127"/>
    <n v="250"/>
  </r>
  <r>
    <n v="128"/>
    <x v="79"/>
    <x v="1"/>
    <s v="July"/>
    <n v="18"/>
    <x v="0"/>
    <s v="United States"/>
    <x v="2"/>
    <x v="0"/>
    <s v="Bottles and Cages"/>
    <x v="2"/>
    <n v="5"/>
    <n v="5"/>
    <n v="15"/>
    <n v="15"/>
    <n v="128"/>
    <n v="15"/>
  </r>
  <r>
    <n v="129"/>
    <x v="57"/>
    <x v="1"/>
    <s v="July"/>
    <n v="21"/>
    <x v="1"/>
    <s v="United States"/>
    <x v="0"/>
    <x v="2"/>
    <s v="Mountain Bikes"/>
    <x v="0"/>
    <n v="2295"/>
    <n v="2218"/>
    <n v="2295"/>
    <n v="2218"/>
    <n v="129"/>
    <n v="2218"/>
  </r>
  <r>
    <n v="130"/>
    <x v="80"/>
    <x v="1"/>
    <s v="September"/>
    <n v="21"/>
    <x v="0"/>
    <s v="United States"/>
    <x v="0"/>
    <x v="1"/>
    <s v="Vests"/>
    <x v="0"/>
    <n v="64"/>
    <n v="61"/>
    <n v="64"/>
    <n v="61"/>
    <n v="130"/>
    <n v="61"/>
  </r>
  <r>
    <n v="131"/>
    <x v="81"/>
    <x v="1"/>
    <s v="July"/>
    <n v="21"/>
    <x v="0"/>
    <s v="United States"/>
    <x v="2"/>
    <x v="2"/>
    <s v="Mountain Bikes"/>
    <x v="0"/>
    <n v="2320"/>
    <n v="2155"/>
    <n v="2320"/>
    <n v="2155"/>
    <n v="131"/>
    <n v="2155"/>
  </r>
  <r>
    <n v="132"/>
    <x v="82"/>
    <x v="1"/>
    <s v="October"/>
    <n v="21"/>
    <x v="0"/>
    <s v="United States"/>
    <x v="2"/>
    <x v="2"/>
    <s v="Mountain Bikes"/>
    <x v="2"/>
    <n v="256.33"/>
    <n v="256.33333299999998"/>
    <n v="769"/>
    <n v="769"/>
    <n v="132"/>
    <n v="769"/>
  </r>
  <r>
    <n v="133"/>
    <x v="83"/>
    <x v="1"/>
    <s v="July"/>
    <n v="21"/>
    <x v="0"/>
    <s v="United States"/>
    <x v="1"/>
    <x v="0"/>
    <s v="Hydration Packs"/>
    <x v="0"/>
    <n v="825"/>
    <n v="959"/>
    <n v="825"/>
    <n v="959"/>
    <n v="133"/>
    <n v="959"/>
  </r>
  <r>
    <n v="134"/>
    <x v="84"/>
    <x v="1"/>
    <s v="August"/>
    <n v="21"/>
    <x v="0"/>
    <s v="United States"/>
    <x v="1"/>
    <x v="0"/>
    <s v="Hydration Packs"/>
    <x v="2"/>
    <n v="128.33000000000001"/>
    <n v="141.66666699999999"/>
    <n v="385"/>
    <n v="425"/>
    <n v="134"/>
    <n v="425"/>
  </r>
  <r>
    <n v="135"/>
    <x v="85"/>
    <x v="1"/>
    <s v="October"/>
    <n v="21"/>
    <x v="0"/>
    <s v="United States"/>
    <x v="1"/>
    <x v="0"/>
    <s v="Hydration Packs"/>
    <x v="2"/>
    <n v="238.33"/>
    <n v="268"/>
    <n v="715"/>
    <n v="804"/>
    <n v="135"/>
    <n v="804"/>
  </r>
  <r>
    <n v="136"/>
    <x v="86"/>
    <x v="1"/>
    <s v="December"/>
    <n v="21"/>
    <x v="0"/>
    <s v="United States"/>
    <x v="1"/>
    <x v="0"/>
    <s v="Hydration Packs"/>
    <x v="1"/>
    <n v="302.5"/>
    <n v="337.5"/>
    <n v="605"/>
    <n v="675"/>
    <n v="136"/>
    <n v="675"/>
  </r>
  <r>
    <n v="137"/>
    <x v="87"/>
    <x v="0"/>
    <s v="April"/>
    <n v="23"/>
    <x v="1"/>
    <s v="United States"/>
    <x v="1"/>
    <x v="2"/>
    <s v="Mountain Bikes"/>
    <x v="0"/>
    <n v="769"/>
    <n v="815"/>
    <n v="769"/>
    <n v="815"/>
    <n v="137"/>
    <n v="815"/>
  </r>
  <r>
    <n v="138"/>
    <x v="88"/>
    <x v="1"/>
    <s v="April"/>
    <n v="23"/>
    <x v="1"/>
    <s v="United States"/>
    <x v="1"/>
    <x v="2"/>
    <s v="Mountain Bikes"/>
    <x v="2"/>
    <n v="683"/>
    <n v="602.66666699999996"/>
    <n v="2049"/>
    <n v="1808"/>
    <n v="138"/>
    <n v="1808"/>
  </r>
  <r>
    <n v="139"/>
    <x v="89"/>
    <x v="1"/>
    <s v="August"/>
    <n v="23"/>
    <x v="1"/>
    <s v="United States"/>
    <x v="1"/>
    <x v="2"/>
    <s v="Mountain Bikes"/>
    <x v="0"/>
    <n v="2295"/>
    <n v="2297"/>
    <n v="2295"/>
    <n v="2297"/>
    <n v="139"/>
    <n v="2297"/>
  </r>
  <r>
    <n v="140"/>
    <x v="90"/>
    <x v="1"/>
    <s v="August"/>
    <n v="23"/>
    <x v="1"/>
    <s v="United States"/>
    <x v="1"/>
    <x v="2"/>
    <s v="Mountain Bikes"/>
    <x v="2"/>
    <n v="773.33"/>
    <n v="682"/>
    <n v="2320"/>
    <n v="2046"/>
    <n v="140"/>
    <n v="2046"/>
  </r>
  <r>
    <n v="141"/>
    <x v="91"/>
    <x v="0"/>
    <s v="May"/>
    <n v="24"/>
    <x v="0"/>
    <s v="United States"/>
    <x v="1"/>
    <x v="1"/>
    <s v="Vests"/>
    <x v="0"/>
    <n v="191"/>
    <n v="237"/>
    <n v="191"/>
    <n v="237"/>
    <n v="141"/>
    <n v="237"/>
  </r>
  <r>
    <n v="142"/>
    <x v="92"/>
    <x v="1"/>
    <s v="October"/>
    <n v="24"/>
    <x v="0"/>
    <s v="United States"/>
    <x v="1"/>
    <x v="1"/>
    <s v="Vests"/>
    <x v="1"/>
    <n v="32"/>
    <n v="29"/>
    <n v="64"/>
    <n v="58"/>
    <n v="142"/>
    <n v="58"/>
  </r>
  <r>
    <n v="143"/>
    <x v="93"/>
    <x v="1"/>
    <s v="November"/>
    <n v="24"/>
    <x v="0"/>
    <s v="United States"/>
    <x v="1"/>
    <x v="1"/>
    <s v="Vests"/>
    <x v="2"/>
    <n v="508"/>
    <n v="575"/>
    <n v="1524"/>
    <n v="1725"/>
    <n v="143"/>
    <n v="1725"/>
  </r>
  <r>
    <n v="144"/>
    <x v="94"/>
    <x v="0"/>
    <s v="April"/>
    <n v="25"/>
    <x v="0"/>
    <s v="United States"/>
    <x v="0"/>
    <x v="1"/>
    <s v="Socks"/>
    <x v="0"/>
    <n v="207"/>
    <n v="265"/>
    <n v="207"/>
    <n v="265"/>
    <n v="144"/>
    <n v="265"/>
  </r>
  <r>
    <n v="145"/>
    <x v="95"/>
    <x v="0"/>
    <s v="March"/>
    <n v="30"/>
    <x v="1"/>
    <s v="United States"/>
    <x v="1"/>
    <x v="0"/>
    <s v="Hydration Packs"/>
    <x v="0"/>
    <n v="330"/>
    <n v="413"/>
    <n v="330"/>
    <n v="413"/>
    <n v="145"/>
    <n v="413"/>
  </r>
  <r>
    <n v="146"/>
    <x v="96"/>
    <x v="1"/>
    <s v="July"/>
    <n v="30"/>
    <x v="1"/>
    <s v="United States"/>
    <x v="1"/>
    <x v="0"/>
    <s v="Hydration Packs"/>
    <x v="1"/>
    <n v="82.5"/>
    <n v="88.5"/>
    <n v="165"/>
    <n v="177"/>
    <n v="146"/>
    <n v="177"/>
  </r>
  <r>
    <n v="147"/>
    <x v="97"/>
    <x v="1"/>
    <s v="November"/>
    <n v="30"/>
    <x v="1"/>
    <s v="United States"/>
    <x v="1"/>
    <x v="0"/>
    <s v="Hydration Packs"/>
    <x v="1"/>
    <n v="55"/>
    <n v="63.5"/>
    <n v="110"/>
    <n v="127"/>
    <n v="147"/>
    <n v="127"/>
  </r>
  <r>
    <n v="148"/>
    <x v="98"/>
    <x v="0"/>
    <s v="March"/>
    <n v="55"/>
    <x v="0"/>
    <s v="United States"/>
    <x v="1"/>
    <x v="1"/>
    <s v="Gloves"/>
    <x v="1"/>
    <n v="343"/>
    <n v="359"/>
    <n v="686"/>
    <n v="718"/>
    <n v="148"/>
    <n v="718"/>
  </r>
  <r>
    <n v="149"/>
    <x v="99"/>
    <x v="0"/>
    <s v="January"/>
    <n v="53"/>
    <x v="0"/>
    <s v="United States"/>
    <x v="0"/>
    <x v="0"/>
    <s v="Tires and Tubes"/>
    <x v="0"/>
    <n v="210"/>
    <n v="271"/>
    <n v="210"/>
    <n v="271"/>
    <n v="149"/>
    <n v="271"/>
  </r>
  <r>
    <n v="150"/>
    <x v="31"/>
    <x v="0"/>
    <s v="February"/>
    <n v="53"/>
    <x v="0"/>
    <s v="United States"/>
    <x v="0"/>
    <x v="0"/>
    <s v="Tires and Tubes"/>
    <x v="1"/>
    <n v="35"/>
    <n v="45.5"/>
    <n v="70"/>
    <n v="91"/>
    <n v="150"/>
    <n v="91"/>
  </r>
  <r>
    <n v="151"/>
    <x v="31"/>
    <x v="0"/>
    <s v="February"/>
    <n v="53"/>
    <x v="0"/>
    <s v="United States"/>
    <x v="0"/>
    <x v="0"/>
    <s v="Tires and Tubes"/>
    <x v="1"/>
    <n v="20"/>
    <n v="23.5"/>
    <n v="40"/>
    <n v="47"/>
    <n v="151"/>
    <n v="47"/>
  </r>
  <r>
    <n v="152"/>
    <x v="100"/>
    <x v="0"/>
    <s v="March"/>
    <n v="53"/>
    <x v="0"/>
    <s v="United States"/>
    <x v="0"/>
    <x v="0"/>
    <s v="Tires and Tubes"/>
    <x v="2"/>
    <n v="20"/>
    <n v="22"/>
    <n v="60"/>
    <n v="66"/>
    <n v="152"/>
    <n v="66"/>
  </r>
  <r>
    <n v="153"/>
    <x v="100"/>
    <x v="0"/>
    <s v="March"/>
    <n v="53"/>
    <x v="0"/>
    <s v="United States"/>
    <x v="0"/>
    <x v="0"/>
    <s v="Tires and Tubes"/>
    <x v="1"/>
    <n v="385"/>
    <n v="495.5"/>
    <n v="770"/>
    <n v="991"/>
    <n v="153"/>
    <n v="991"/>
  </r>
  <r>
    <n v="154"/>
    <x v="100"/>
    <x v="0"/>
    <s v="March"/>
    <n v="53"/>
    <x v="0"/>
    <s v="United States"/>
    <x v="0"/>
    <x v="0"/>
    <s v="Tires and Tubes"/>
    <x v="2"/>
    <n v="5.33"/>
    <n v="7.6666670000000003"/>
    <n v="16"/>
    <n v="23"/>
    <n v="154"/>
    <n v="23"/>
  </r>
  <r>
    <n v="155"/>
    <x v="64"/>
    <x v="0"/>
    <s v="July"/>
    <n v="53"/>
    <x v="0"/>
    <s v="United States"/>
    <x v="0"/>
    <x v="0"/>
    <s v="Tires and Tubes"/>
    <x v="1"/>
    <n v="58"/>
    <n v="65"/>
    <n v="116"/>
    <n v="130"/>
    <n v="155"/>
    <n v="130"/>
  </r>
  <r>
    <n v="156"/>
    <x v="64"/>
    <x v="0"/>
    <s v="July"/>
    <n v="53"/>
    <x v="0"/>
    <s v="United States"/>
    <x v="0"/>
    <x v="0"/>
    <s v="Helmets"/>
    <x v="1"/>
    <n v="455"/>
    <n v="578"/>
    <n v="910"/>
    <n v="1156"/>
    <n v="156"/>
    <n v="1156"/>
  </r>
  <r>
    <n v="157"/>
    <x v="101"/>
    <x v="0"/>
    <s v="July"/>
    <n v="53"/>
    <x v="0"/>
    <s v="United States"/>
    <x v="0"/>
    <x v="0"/>
    <s v="Tires and Tubes"/>
    <x v="1"/>
    <n v="30"/>
    <n v="36"/>
    <n v="60"/>
    <n v="72"/>
    <n v="157"/>
    <n v="72"/>
  </r>
  <r>
    <n v="158"/>
    <x v="101"/>
    <x v="0"/>
    <s v="July"/>
    <n v="53"/>
    <x v="0"/>
    <s v="United States"/>
    <x v="0"/>
    <x v="0"/>
    <s v="Tires and Tubes"/>
    <x v="2"/>
    <n v="12.33"/>
    <n v="15.666667"/>
    <n v="37"/>
    <n v="47"/>
    <n v="158"/>
    <n v="47"/>
  </r>
  <r>
    <n v="159"/>
    <x v="102"/>
    <x v="1"/>
    <s v="September"/>
    <n v="53"/>
    <x v="0"/>
    <s v="United States"/>
    <x v="0"/>
    <x v="0"/>
    <s v="Tires and Tubes"/>
    <x v="0"/>
    <n v="420"/>
    <n v="442"/>
    <n v="420"/>
    <n v="442"/>
    <n v="159"/>
    <n v="442"/>
  </r>
  <r>
    <n v="160"/>
    <x v="47"/>
    <x v="1"/>
    <s v="October"/>
    <n v="53"/>
    <x v="0"/>
    <s v="United States"/>
    <x v="0"/>
    <x v="0"/>
    <s v="Tires and Tubes"/>
    <x v="0"/>
    <n v="52"/>
    <n v="59"/>
    <n v="52"/>
    <n v="59"/>
    <n v="160"/>
    <n v="59"/>
  </r>
  <r>
    <n v="161"/>
    <x v="103"/>
    <x v="0"/>
    <s v="February"/>
    <n v="53"/>
    <x v="0"/>
    <s v="United States"/>
    <x v="1"/>
    <x v="0"/>
    <s v="Tires and Tubes"/>
    <x v="2"/>
    <n v="35"/>
    <n v="42.333333000000003"/>
    <n v="105"/>
    <n v="127"/>
    <n v="161"/>
    <n v="127"/>
  </r>
  <r>
    <n v="162"/>
    <x v="103"/>
    <x v="0"/>
    <s v="February"/>
    <n v="53"/>
    <x v="0"/>
    <s v="United States"/>
    <x v="1"/>
    <x v="0"/>
    <s v="Tires and Tubes"/>
    <x v="0"/>
    <n v="35"/>
    <n v="42"/>
    <n v="35"/>
    <n v="42"/>
    <n v="162"/>
    <n v="42"/>
  </r>
  <r>
    <n v="163"/>
    <x v="104"/>
    <x v="0"/>
    <s v="April"/>
    <n v="53"/>
    <x v="0"/>
    <s v="United States"/>
    <x v="1"/>
    <x v="0"/>
    <s v="Tires and Tubes"/>
    <x v="1"/>
    <n v="18"/>
    <n v="24"/>
    <n v="36"/>
    <n v="48"/>
    <n v="163"/>
    <n v="48"/>
  </r>
  <r>
    <n v="164"/>
    <x v="104"/>
    <x v="0"/>
    <s v="April"/>
    <n v="53"/>
    <x v="0"/>
    <s v="United States"/>
    <x v="1"/>
    <x v="0"/>
    <s v="Tires and Tubes"/>
    <x v="1"/>
    <n v="32"/>
    <n v="41"/>
    <n v="64"/>
    <n v="82"/>
    <n v="164"/>
    <n v="82"/>
  </r>
  <r>
    <n v="165"/>
    <x v="105"/>
    <x v="0"/>
    <s v="April"/>
    <n v="53"/>
    <x v="0"/>
    <s v="United States"/>
    <x v="1"/>
    <x v="0"/>
    <s v="Tires and Tubes"/>
    <x v="1"/>
    <n v="40"/>
    <n v="47.5"/>
    <n v="80"/>
    <n v="95"/>
    <n v="165"/>
    <n v="95"/>
  </r>
  <r>
    <n v="166"/>
    <x v="105"/>
    <x v="0"/>
    <s v="April"/>
    <n v="53"/>
    <x v="0"/>
    <s v="United States"/>
    <x v="1"/>
    <x v="0"/>
    <s v="Tires and Tubes"/>
    <x v="2"/>
    <n v="290"/>
    <n v="340"/>
    <n v="870"/>
    <n v="1020"/>
    <n v="166"/>
    <n v="1020"/>
  </r>
  <r>
    <n v="167"/>
    <x v="106"/>
    <x v="0"/>
    <s v="April"/>
    <n v="53"/>
    <x v="0"/>
    <s v="United States"/>
    <x v="1"/>
    <x v="0"/>
    <s v="Tires and Tubes"/>
    <x v="0"/>
    <n v="20"/>
    <n v="28"/>
    <n v="20"/>
    <n v="28"/>
    <n v="167"/>
    <n v="28"/>
  </r>
  <r>
    <n v="168"/>
    <x v="107"/>
    <x v="0"/>
    <s v="April"/>
    <n v="53"/>
    <x v="0"/>
    <s v="United States"/>
    <x v="1"/>
    <x v="0"/>
    <s v="Tires and Tubes"/>
    <x v="1"/>
    <n v="8"/>
    <n v="9"/>
    <n v="16"/>
    <n v="18"/>
    <n v="168"/>
    <n v="18"/>
  </r>
  <r>
    <n v="169"/>
    <x v="108"/>
    <x v="0"/>
    <s v="May"/>
    <n v="53"/>
    <x v="0"/>
    <s v="United States"/>
    <x v="1"/>
    <x v="0"/>
    <s v="Tires and Tubes"/>
    <x v="1"/>
    <n v="42.5"/>
    <n v="53.5"/>
    <n v="85"/>
    <n v="107"/>
    <n v="169"/>
    <n v="107"/>
  </r>
  <r>
    <n v="170"/>
    <x v="108"/>
    <x v="0"/>
    <s v="May"/>
    <n v="53"/>
    <x v="0"/>
    <s v="United States"/>
    <x v="1"/>
    <x v="0"/>
    <s v="Tires and Tubes"/>
    <x v="2"/>
    <n v="175"/>
    <n v="208"/>
    <n v="525"/>
    <n v="624"/>
    <n v="170"/>
    <n v="624"/>
  </r>
  <r>
    <n v="171"/>
    <x v="109"/>
    <x v="0"/>
    <s v="May"/>
    <n v="53"/>
    <x v="0"/>
    <s v="United States"/>
    <x v="1"/>
    <x v="0"/>
    <s v="Tires and Tubes"/>
    <x v="0"/>
    <n v="315"/>
    <n v="390"/>
    <n v="315"/>
    <n v="390"/>
    <n v="171"/>
    <n v="390"/>
  </r>
  <r>
    <n v="172"/>
    <x v="110"/>
    <x v="0"/>
    <s v="July"/>
    <n v="53"/>
    <x v="0"/>
    <s v="United States"/>
    <x v="1"/>
    <x v="0"/>
    <s v="Tires and Tubes"/>
    <x v="0"/>
    <n v="455"/>
    <n v="480"/>
    <n v="455"/>
    <n v="480"/>
    <n v="172"/>
    <n v="480"/>
  </r>
  <r>
    <n v="173"/>
    <x v="110"/>
    <x v="0"/>
    <s v="July"/>
    <n v="53"/>
    <x v="0"/>
    <s v="United States"/>
    <x v="1"/>
    <x v="0"/>
    <s v="Tires and Tubes"/>
    <x v="2"/>
    <n v="5.33"/>
    <n v="7"/>
    <n v="16"/>
    <n v="21"/>
    <n v="173"/>
    <n v="21"/>
  </r>
  <r>
    <n v="174"/>
    <x v="111"/>
    <x v="0"/>
    <s v="July"/>
    <n v="53"/>
    <x v="0"/>
    <s v="United States"/>
    <x v="1"/>
    <x v="0"/>
    <s v="Tires and Tubes"/>
    <x v="1"/>
    <n v="6"/>
    <n v="8"/>
    <n v="12"/>
    <n v="16"/>
    <n v="174"/>
    <n v="16"/>
  </r>
  <r>
    <n v="175"/>
    <x v="111"/>
    <x v="0"/>
    <s v="July"/>
    <n v="53"/>
    <x v="0"/>
    <s v="United States"/>
    <x v="1"/>
    <x v="0"/>
    <s v="Tires and Tubes"/>
    <x v="0"/>
    <n v="2"/>
    <n v="3"/>
    <n v="2"/>
    <n v="3"/>
    <n v="175"/>
    <n v="3"/>
  </r>
  <r>
    <n v="176"/>
    <x v="17"/>
    <x v="1"/>
    <s v="November"/>
    <n v="53"/>
    <x v="0"/>
    <s v="United States"/>
    <x v="1"/>
    <x v="0"/>
    <s v="Tires and Tubes"/>
    <x v="0"/>
    <n v="32"/>
    <n v="35"/>
    <n v="32"/>
    <n v="35"/>
    <n v="176"/>
    <n v="35"/>
  </r>
  <r>
    <n v="177"/>
    <x v="17"/>
    <x v="1"/>
    <s v="November"/>
    <n v="53"/>
    <x v="0"/>
    <s v="United States"/>
    <x v="1"/>
    <x v="0"/>
    <s v="Tires and Tubes"/>
    <x v="2"/>
    <n v="21.33"/>
    <n v="24"/>
    <n v="64"/>
    <n v="72"/>
    <n v="177"/>
    <n v="72"/>
  </r>
  <r>
    <n v="178"/>
    <x v="19"/>
    <x v="1"/>
    <s v="December"/>
    <n v="53"/>
    <x v="0"/>
    <s v="United States"/>
    <x v="1"/>
    <x v="0"/>
    <s v="Tires and Tubes"/>
    <x v="2"/>
    <n v="338.33"/>
    <n v="373.66666700000002"/>
    <n v="1015"/>
    <n v="1121"/>
    <n v="178"/>
    <n v="1121"/>
  </r>
  <r>
    <n v="179"/>
    <x v="19"/>
    <x v="1"/>
    <s v="December"/>
    <n v="53"/>
    <x v="0"/>
    <s v="United States"/>
    <x v="1"/>
    <x v="0"/>
    <s v="Tires and Tubes"/>
    <x v="1"/>
    <n v="37.5"/>
    <n v="36"/>
    <n v="75"/>
    <n v="72"/>
    <n v="179"/>
    <n v="72"/>
  </r>
  <r>
    <n v="180"/>
    <x v="19"/>
    <x v="1"/>
    <s v="December"/>
    <n v="53"/>
    <x v="0"/>
    <s v="United States"/>
    <x v="1"/>
    <x v="0"/>
    <s v="Tires and Tubes"/>
    <x v="0"/>
    <n v="270"/>
    <n v="268"/>
    <n v="270"/>
    <n v="268"/>
    <n v="180"/>
    <n v="268"/>
  </r>
  <r>
    <n v="181"/>
    <x v="19"/>
    <x v="1"/>
    <s v="December"/>
    <n v="53"/>
    <x v="0"/>
    <s v="United States"/>
    <x v="1"/>
    <x v="0"/>
    <s v="Tires and Tubes"/>
    <x v="2"/>
    <n v="36.67"/>
    <n v="37.666666999999997"/>
    <n v="110"/>
    <n v="113"/>
    <n v="181"/>
    <n v="113"/>
  </r>
  <r>
    <n v="182"/>
    <x v="19"/>
    <x v="1"/>
    <s v="December"/>
    <n v="53"/>
    <x v="0"/>
    <s v="United States"/>
    <x v="1"/>
    <x v="0"/>
    <s v="Tires and Tubes"/>
    <x v="0"/>
    <n v="69"/>
    <n v="85"/>
    <n v="69"/>
    <n v="85"/>
    <n v="182"/>
    <n v="85"/>
  </r>
  <r>
    <n v="183"/>
    <x v="112"/>
    <x v="1"/>
    <s v="December"/>
    <n v="53"/>
    <x v="0"/>
    <s v="United States"/>
    <x v="1"/>
    <x v="0"/>
    <s v="Tires and Tubes"/>
    <x v="2"/>
    <n v="64.33"/>
    <n v="72"/>
    <n v="193"/>
    <n v="216"/>
    <n v="183"/>
    <n v="216"/>
  </r>
  <r>
    <n v="184"/>
    <x v="47"/>
    <x v="1"/>
    <s v="October"/>
    <n v="53"/>
    <x v="0"/>
    <s v="United States"/>
    <x v="0"/>
    <x v="1"/>
    <s v="Vests"/>
    <x v="0"/>
    <n v="191"/>
    <n v="213"/>
    <n v="191"/>
    <n v="213"/>
    <n v="184"/>
    <n v="213"/>
  </r>
  <r>
    <n v="185"/>
    <x v="43"/>
    <x v="0"/>
    <s v="January"/>
    <n v="53"/>
    <x v="1"/>
    <s v="United States"/>
    <x v="0"/>
    <x v="2"/>
    <s v="Mountain Bikes"/>
    <x v="1"/>
    <n v="1160"/>
    <n v="1225"/>
    <n v="2320"/>
    <n v="2450"/>
    <n v="185"/>
    <n v="2450"/>
  </r>
  <r>
    <n v="186"/>
    <x v="113"/>
    <x v="0"/>
    <s v="April"/>
    <n v="53"/>
    <x v="1"/>
    <s v="United States"/>
    <x v="0"/>
    <x v="2"/>
    <s v="Road Bikes"/>
    <x v="1"/>
    <n v="850.5"/>
    <n v="932.5"/>
    <n v="1701"/>
    <n v="1865"/>
    <n v="186"/>
    <n v="1865"/>
  </r>
  <r>
    <n v="187"/>
    <x v="114"/>
    <x v="1"/>
    <s v="August"/>
    <n v="53"/>
    <x v="1"/>
    <s v="United States"/>
    <x v="0"/>
    <x v="2"/>
    <s v="Mountain Bikes"/>
    <x v="2"/>
    <n v="765"/>
    <n v="703.66666699999996"/>
    <n v="2295"/>
    <n v="2111"/>
    <n v="187"/>
    <n v="2111"/>
  </r>
  <r>
    <n v="188"/>
    <x v="114"/>
    <x v="1"/>
    <s v="August"/>
    <n v="53"/>
    <x v="1"/>
    <s v="United States"/>
    <x v="0"/>
    <x v="1"/>
    <s v="Socks"/>
    <x v="0"/>
    <n v="153"/>
    <n v="144"/>
    <n v="153"/>
    <n v="144"/>
    <n v="188"/>
    <n v="144"/>
  </r>
  <r>
    <n v="189"/>
    <x v="115"/>
    <x v="1"/>
    <s v="November"/>
    <n v="53"/>
    <x v="1"/>
    <s v="United States"/>
    <x v="0"/>
    <x v="2"/>
    <s v="Mountain Bikes"/>
    <x v="2"/>
    <n v="765"/>
    <n v="744.33333300000004"/>
    <n v="2295"/>
    <n v="2233"/>
    <n v="189"/>
    <n v="2233"/>
  </r>
  <r>
    <n v="190"/>
    <x v="116"/>
    <x v="1"/>
    <s v="November"/>
    <n v="53"/>
    <x v="1"/>
    <s v="United States"/>
    <x v="0"/>
    <x v="2"/>
    <s v="Mountain Bikes"/>
    <x v="2"/>
    <n v="773.33"/>
    <n v="773.33333300000004"/>
    <n v="2320"/>
    <n v="2320"/>
    <n v="190"/>
    <n v="2320"/>
  </r>
  <r>
    <n v="191"/>
    <x v="99"/>
    <x v="0"/>
    <s v="January"/>
    <n v="52"/>
    <x v="0"/>
    <s v="United States"/>
    <x v="1"/>
    <x v="2"/>
    <s v="Touring Bikes"/>
    <x v="2"/>
    <n v="247.33"/>
    <n v="263.66666700000002"/>
    <n v="742"/>
    <n v="791"/>
    <n v="191"/>
    <n v="791"/>
  </r>
  <r>
    <n v="192"/>
    <x v="117"/>
    <x v="0"/>
    <s v="January"/>
    <n v="52"/>
    <x v="0"/>
    <s v="United States"/>
    <x v="1"/>
    <x v="2"/>
    <s v="Touring Bikes"/>
    <x v="1"/>
    <n v="371"/>
    <n v="382.5"/>
    <n v="742"/>
    <n v="765"/>
    <n v="192"/>
    <n v="765"/>
  </r>
  <r>
    <n v="193"/>
    <x v="69"/>
    <x v="0"/>
    <s v="May"/>
    <n v="52"/>
    <x v="0"/>
    <s v="United States"/>
    <x v="1"/>
    <x v="2"/>
    <s v="Mountain Bikes"/>
    <x v="0"/>
    <n v="769"/>
    <n v="735"/>
    <n v="769"/>
    <n v="735"/>
    <n v="193"/>
    <n v="735"/>
  </r>
  <r>
    <n v="194"/>
    <x v="69"/>
    <x v="0"/>
    <s v="May"/>
    <n v="52"/>
    <x v="0"/>
    <s v="United States"/>
    <x v="1"/>
    <x v="2"/>
    <s v="Mountain Bikes"/>
    <x v="0"/>
    <n v="769"/>
    <n v="777"/>
    <n v="769"/>
    <n v="777"/>
    <n v="194"/>
    <n v="777"/>
  </r>
  <r>
    <n v="195"/>
    <x v="69"/>
    <x v="0"/>
    <s v="May"/>
    <n v="52"/>
    <x v="0"/>
    <s v="United States"/>
    <x v="1"/>
    <x v="1"/>
    <s v="Caps"/>
    <x v="0"/>
    <n v="144"/>
    <n v="166"/>
    <n v="144"/>
    <n v="166"/>
    <n v="195"/>
    <n v="166"/>
  </r>
  <r>
    <n v="196"/>
    <x v="118"/>
    <x v="0"/>
    <s v="May"/>
    <n v="52"/>
    <x v="0"/>
    <s v="United States"/>
    <x v="1"/>
    <x v="2"/>
    <s v="Touring Bikes"/>
    <x v="0"/>
    <n v="742"/>
    <n v="774"/>
    <n v="742"/>
    <n v="774"/>
    <n v="196"/>
    <n v="774"/>
  </r>
  <r>
    <n v="197"/>
    <x v="118"/>
    <x v="0"/>
    <s v="May"/>
    <n v="52"/>
    <x v="0"/>
    <s v="United States"/>
    <x v="1"/>
    <x v="1"/>
    <s v="Caps"/>
    <x v="1"/>
    <n v="4.5"/>
    <n v="5.5"/>
    <n v="9"/>
    <n v="11"/>
    <n v="197"/>
    <n v="11"/>
  </r>
  <r>
    <n v="198"/>
    <x v="81"/>
    <x v="1"/>
    <s v="July"/>
    <n v="52"/>
    <x v="0"/>
    <s v="United States"/>
    <x v="1"/>
    <x v="2"/>
    <s v="Mountain Bikes"/>
    <x v="2"/>
    <n v="773.33"/>
    <n v="771.33333300000004"/>
    <n v="2320"/>
    <n v="2314"/>
    <n v="198"/>
    <n v="2314"/>
  </r>
  <r>
    <n v="199"/>
    <x v="66"/>
    <x v="1"/>
    <s v="September"/>
    <n v="52"/>
    <x v="0"/>
    <s v="United States"/>
    <x v="1"/>
    <x v="1"/>
    <s v="Caps"/>
    <x v="1"/>
    <n v="58.5"/>
    <n v="62"/>
    <n v="117"/>
    <n v="124"/>
    <n v="199"/>
    <n v="124"/>
  </r>
  <r>
    <n v="200"/>
    <x v="15"/>
    <x v="1"/>
    <s v="October"/>
    <n v="52"/>
    <x v="0"/>
    <s v="United States"/>
    <x v="1"/>
    <x v="2"/>
    <s v="Mountain Bikes"/>
    <x v="1"/>
    <n v="1147.5"/>
    <n v="1169.5"/>
    <n v="2295"/>
    <n v="2339"/>
    <n v="200"/>
    <n v="2339"/>
  </r>
  <r>
    <n v="201"/>
    <x v="119"/>
    <x v="0"/>
    <s v="June"/>
    <n v="52"/>
    <x v="0"/>
    <s v="United States"/>
    <x v="1"/>
    <x v="1"/>
    <s v="Gloves"/>
    <x v="2"/>
    <n v="220.33"/>
    <n v="269.66666700000002"/>
    <n v="661"/>
    <n v="809"/>
    <n v="201"/>
    <n v="809"/>
  </r>
  <r>
    <n v="202"/>
    <x v="120"/>
    <x v="0"/>
    <s v="April"/>
    <n v="51"/>
    <x v="0"/>
    <s v="United States"/>
    <x v="0"/>
    <x v="1"/>
    <s v="Gloves"/>
    <x v="2"/>
    <n v="106"/>
    <n v="125.333333"/>
    <n v="318"/>
    <n v="376"/>
    <n v="202"/>
    <n v="37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23DE40-57BD-498A-B493-8D4E8941C39B}"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0:H27" firstHeaderRow="1" firstDataRow="2" firstDataCol="1"/>
  <pivotFields count="3">
    <pivotField dataField="1" showAll="0"/>
    <pivotField axis="axisCol" showAll="0">
      <items count="2">
        <item x="0"/>
        <item t="default"/>
      </items>
    </pivotField>
    <pivotField axis="axisRow" showAll="0">
      <items count="6">
        <item x="3"/>
        <item x="2"/>
        <item x="4"/>
        <item x="0"/>
        <item x="1"/>
        <item t="default"/>
      </items>
    </pivotField>
  </pivotFields>
  <rowFields count="1">
    <field x="2"/>
  </rowFields>
  <rowItems count="6">
    <i>
      <x/>
    </i>
    <i>
      <x v="1"/>
    </i>
    <i>
      <x v="2"/>
    </i>
    <i>
      <x v="3"/>
    </i>
    <i>
      <x v="4"/>
    </i>
    <i t="grand">
      <x/>
    </i>
  </rowItems>
  <colFields count="1">
    <field x="1"/>
  </colFields>
  <colItems count="2">
    <i>
      <x/>
    </i>
    <i t="grand">
      <x/>
    </i>
  </colItems>
  <dataFields count="1">
    <dataField name="Sum of COUNT"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E95951-D37D-42C3-AFA6-61A2586DE54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3:H17" firstHeaderRow="1" firstDataRow="1" firstDataCol="1" rowPageCount="1" colPageCount="1"/>
  <pivotFields count="3">
    <pivotField dataField="1" showAll="0">
      <items count="6">
        <item x="4"/>
        <item x="0"/>
        <item x="1"/>
        <item x="2"/>
        <item x="3"/>
        <item t="default"/>
      </items>
    </pivotField>
    <pivotField axis="axisPage" showAll="0">
      <items count="4">
        <item x="2"/>
        <item x="0"/>
        <item x="1"/>
        <item t="default"/>
      </items>
    </pivotField>
    <pivotField axis="axisRow" showAll="0">
      <items count="4">
        <item x="2"/>
        <item x="0"/>
        <item x="1"/>
        <item t="default"/>
      </items>
    </pivotField>
  </pivotFields>
  <rowFields count="1">
    <field x="2"/>
  </rowFields>
  <rowItems count="4">
    <i>
      <x/>
    </i>
    <i>
      <x v="1"/>
    </i>
    <i>
      <x v="2"/>
    </i>
    <i t="grand">
      <x/>
    </i>
  </rowItems>
  <colItems count="1">
    <i/>
  </colItems>
  <pageFields count="1">
    <pageField fld="1" hier="-1"/>
  </pageFields>
  <dataFields count="1">
    <dataField name="Sum of SUM"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28AC5E-CE07-4137-89C2-28D97D0B804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M5" firstHeaderRow="1" firstDataRow="2" firstDataCol="1" rowPageCount="1" colPageCount="1"/>
  <pivotFields count="3">
    <pivotField axis="axisCol" showAll="0">
      <items count="6">
        <item x="4"/>
        <item x="0"/>
        <item x="1"/>
        <item x="2"/>
        <item x="3"/>
        <item t="default"/>
      </items>
    </pivotField>
    <pivotField axis="axisPage" showAll="0">
      <items count="6">
        <item x="4"/>
        <item x="0"/>
        <item x="1"/>
        <item x="2"/>
        <item x="3"/>
        <item t="default"/>
      </items>
    </pivotField>
    <pivotField dataField="1" showAll="0"/>
  </pivotFields>
  <rowItems count="1">
    <i/>
  </rowItems>
  <colFields count="1">
    <field x="0"/>
  </colFields>
  <colItems count="6">
    <i>
      <x/>
    </i>
    <i>
      <x v="1"/>
    </i>
    <i>
      <x v="2"/>
    </i>
    <i>
      <x v="3"/>
    </i>
    <i>
      <x v="4"/>
    </i>
    <i t="grand">
      <x/>
    </i>
  </colItems>
  <pageFields count="1">
    <pageField fld="1" hier="-1"/>
  </pageFields>
  <dataFields count="1">
    <dataField name="Sum of MOD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E61801-2018-4434-BC2E-7792F43766C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E26:F29" firstHeaderRow="1" firstDataRow="1" firstDataCol="1"/>
  <pivotFields count="17">
    <pivotField compact="0" outline="0" showAll="0"/>
    <pivotField compact="0" numFmtId="14" outline="0" showAll="0"/>
    <pivotField compact="0" outline="0" showAll="0"/>
    <pivotField compact="0" outline="0" showAll="0"/>
    <pivotField compact="0" outline="0" showAll="0"/>
    <pivotField axis="axisRow" compact="0" outline="0" showAll="0" sortType="descending">
      <items count="3">
        <item x="0"/>
        <item x="1"/>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
  </rowFields>
  <rowItems count="3">
    <i>
      <x/>
    </i>
    <i>
      <x v="1"/>
    </i>
    <i t="grand">
      <x/>
    </i>
  </rowItems>
  <colItems count="1">
    <i/>
  </colItems>
  <dataFields count="1">
    <dataField name="Sum of Quantity" fld="10" baseField="0" baseItem="0"/>
  </dataFields>
  <chartFormats count="12">
    <chartFormat chart="0" format="3">
      <pivotArea type="data" outline="0" fieldPosition="0">
        <references count="2">
          <reference field="4294967294" count="1" selected="0">
            <x v="0"/>
          </reference>
          <reference field="5" count="1" selected="0">
            <x v="0"/>
          </reference>
        </references>
      </pivotArea>
    </chartFormat>
    <chartFormat chart="0" format="4"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5" count="1" selected="0">
            <x v="1"/>
          </reference>
        </references>
      </pivotArea>
    </chartFormat>
    <chartFormat chart="1" format="6" series="1">
      <pivotArea type="data" outline="0" fieldPosition="0">
        <references count="1">
          <reference field="4294967294" count="1" selected="0">
            <x v="0"/>
          </reference>
        </references>
      </pivotArea>
    </chartFormat>
    <chartFormat chart="1" format="7">
      <pivotArea type="data" outline="0" fieldPosition="0">
        <references count="2">
          <reference field="4294967294" count="1" selected="0">
            <x v="0"/>
          </reference>
          <reference field="5" count="1" selected="0">
            <x v="0"/>
          </reference>
        </references>
      </pivotArea>
    </chartFormat>
    <chartFormat chart="1" format="8">
      <pivotArea type="data" outline="0" fieldPosition="0">
        <references count="2">
          <reference field="4294967294" count="1" selected="0">
            <x v="0"/>
          </reference>
          <reference field="5" count="1" selected="0">
            <x v="1"/>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5" count="1" selected="0">
            <x v="0"/>
          </reference>
        </references>
      </pivotArea>
    </chartFormat>
    <chartFormat chart="2" format="11">
      <pivotArea type="data" outline="0" fieldPosition="0">
        <references count="2">
          <reference field="4294967294" count="1" selected="0">
            <x v="0"/>
          </reference>
          <reference field="5" count="1" selected="0">
            <x v="1"/>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5" count="1" selected="0">
            <x v="0"/>
          </reference>
        </references>
      </pivotArea>
    </chartFormat>
    <chartFormat chart="3" format="1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C7716F-BBBF-495F-BF9F-D89C377B1A99}"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B26:C30" firstHeaderRow="1" firstDataRow="1" firstDataCol="1"/>
  <pivotFields count="17">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7"/>
  </rowFields>
  <rowItems count="4">
    <i>
      <x/>
    </i>
    <i>
      <x v="2"/>
    </i>
    <i>
      <x v="1"/>
    </i>
    <i t="grand">
      <x/>
    </i>
  </rowItems>
  <colItems count="1">
    <i/>
  </colItems>
  <dataFields count="1">
    <dataField name="Sum of Quantity" fld="10" baseField="0" baseItem="0"/>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7" count="1" selected="0">
            <x v="0"/>
          </reference>
        </references>
      </pivotArea>
    </chartFormat>
    <chartFormat chart="3" format="10">
      <pivotArea type="data" outline="0" fieldPosition="0">
        <references count="2">
          <reference field="4294967294" count="1" selected="0">
            <x v="0"/>
          </reference>
          <reference field="7" count="1" selected="0">
            <x v="2"/>
          </reference>
        </references>
      </pivotArea>
    </chartFormat>
    <chartFormat chart="3" format="1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6577F04-CC50-444D-AEAF-F6135142244D}" name="PivotTable7"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location ref="A3:D8" firstHeaderRow="0" firstDataRow="1" firstDataCol="1" rowPageCount="1" colPageCount="1"/>
  <pivotFields count="17">
    <pivotField showAll="0"/>
    <pivotField numFmtId="14" showAll="0">
      <items count="122">
        <item x="88"/>
        <item x="56"/>
        <item x="83"/>
        <item x="57"/>
        <item x="81"/>
        <item x="51"/>
        <item x="48"/>
        <item x="96"/>
        <item x="24"/>
        <item x="32"/>
        <item x="49"/>
        <item x="45"/>
        <item x="30"/>
        <item x="79"/>
        <item x="61"/>
        <item x="84"/>
        <item x="58"/>
        <item x="114"/>
        <item x="27"/>
        <item x="52"/>
        <item x="77"/>
        <item x="10"/>
        <item x="38"/>
        <item x="39"/>
        <item x="89"/>
        <item x="90"/>
        <item x="59"/>
        <item x="11"/>
        <item x="65"/>
        <item x="66"/>
        <item x="28"/>
        <item x="102"/>
        <item x="12"/>
        <item x="13"/>
        <item x="40"/>
        <item x="80"/>
        <item x="47"/>
        <item x="14"/>
        <item x="82"/>
        <item x="92"/>
        <item x="25"/>
        <item x="15"/>
        <item x="16"/>
        <item x="85"/>
        <item x="67"/>
        <item x="72"/>
        <item x="73"/>
        <item x="17"/>
        <item x="97"/>
        <item x="115"/>
        <item x="18"/>
        <item x="78"/>
        <item x="93"/>
        <item x="116"/>
        <item x="74"/>
        <item x="50"/>
        <item x="46"/>
        <item x="19"/>
        <item x="20"/>
        <item x="86"/>
        <item x="112"/>
        <item x="21"/>
        <item x="29"/>
        <item x="22"/>
        <item x="53"/>
        <item x="23"/>
        <item x="99"/>
        <item x="117"/>
        <item x="75"/>
        <item x="76"/>
        <item x="60"/>
        <item x="42"/>
        <item x="43"/>
        <item x="41"/>
        <item x="31"/>
        <item x="103"/>
        <item x="62"/>
        <item x="0"/>
        <item x="1"/>
        <item x="2"/>
        <item x="100"/>
        <item x="3"/>
        <item x="33"/>
        <item x="34"/>
        <item x="68"/>
        <item x="54"/>
        <item x="95"/>
        <item x="98"/>
        <item x="87"/>
        <item x="113"/>
        <item x="4"/>
        <item x="104"/>
        <item x="94"/>
        <item x="5"/>
        <item x="105"/>
        <item x="106"/>
        <item x="120"/>
        <item x="107"/>
        <item x="69"/>
        <item x="108"/>
        <item x="35"/>
        <item x="118"/>
        <item x="91"/>
        <item x="44"/>
        <item x="55"/>
        <item x="109"/>
        <item x="36"/>
        <item x="37"/>
        <item x="119"/>
        <item x="26"/>
        <item x="6"/>
        <item x="7"/>
        <item x="70"/>
        <item x="8"/>
        <item x="71"/>
        <item x="63"/>
        <item x="64"/>
        <item x="110"/>
        <item x="101"/>
        <item x="9"/>
        <item x="111"/>
        <item t="default"/>
      </items>
    </pivotField>
    <pivotField axis="axisPage" showAll="0">
      <items count="3">
        <item x="1"/>
        <item x="0"/>
        <item t="default"/>
      </items>
    </pivotField>
    <pivotField showAll="0"/>
    <pivotField showAll="0"/>
    <pivotField showAll="0">
      <items count="3">
        <item x="0"/>
        <item x="1"/>
        <item t="default"/>
      </items>
    </pivotField>
    <pivotField showAll="0"/>
    <pivotField showAll="0"/>
    <pivotField axis="axisRow" showAll="0">
      <items count="4">
        <item x="0"/>
        <item x="2"/>
        <item x="1"/>
        <item t="default"/>
      </items>
    </pivotField>
    <pivotField showAll="0"/>
    <pivotField axis="axisRow" showAll="0">
      <items count="4">
        <item h="1" x="0"/>
        <item h="1" x="1"/>
        <item x="2"/>
        <item t="default"/>
      </items>
    </pivotField>
    <pivotField dataField="1" showAll="0"/>
    <pivotField dataField="1" showAll="0"/>
    <pivotField showAll="0"/>
    <pivotField showAll="0"/>
    <pivotField showAll="0"/>
    <pivotField dataField="1" showAll="0"/>
  </pivotFields>
  <rowFields count="2">
    <field x="10"/>
    <field x="8"/>
  </rowFields>
  <rowItems count="5">
    <i>
      <x v="2"/>
    </i>
    <i r="1">
      <x/>
    </i>
    <i r="1">
      <x v="1"/>
    </i>
    <i r="1">
      <x v="2"/>
    </i>
    <i t="grand">
      <x/>
    </i>
  </rowItems>
  <colFields count="1">
    <field x="-2"/>
  </colFields>
  <colItems count="3">
    <i>
      <x/>
    </i>
    <i i="1">
      <x v="1"/>
    </i>
    <i i="2">
      <x v="2"/>
    </i>
  </colItems>
  <pageFields count="1">
    <pageField fld="2" item="1" hier="-1"/>
  </pageFields>
  <dataFields count="3">
    <dataField name="Revenue1" fld="16" baseField="8" baseItem="0"/>
    <dataField name="Unit Price1" fld="12" baseField="8" baseItem="0"/>
    <dataField name="Unit Cost1" fld="11" baseField="8"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1EC4041-A760-4338-AB1E-CD074CAC61C0}" sourceName="Year">
  <pivotTables>
    <pivotTable tabId="5" name="PivotTable7"/>
  </pivotTables>
  <data>
    <tabular pivotCacheId="1981184012">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Gender" xr10:uid="{8B864EDD-50EE-427E-959B-181AC61F5417}" sourceName="Customer Gender">
  <pivotTables>
    <pivotTable tabId="5" name="PivotTable7"/>
  </pivotTables>
  <data>
    <tabular pivotCacheId="198118401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ntity" xr10:uid="{D36EC61D-2902-43C4-8499-F33ADD989C46}" sourceName="Quantity">
  <pivotTables>
    <pivotTable tabId="5" name="PivotTable7"/>
  </pivotTables>
  <data>
    <tabular pivotCacheId="1981184012">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2AF5D852-3545-42A7-A8C0-3BCB5708BED1}" cache="Slicer_Year" caption="Year" rowHeight="234950"/>
  <slicer name="Customer Gender" xr10:uid="{545C254F-A731-42B0-B1B7-8F77481AC673}" cache="Slicer_Customer_Gender" caption="Customer Gender" rowHeight="234950"/>
  <slicer name="Quantity" xr10:uid="{4C6A7CA3-69AD-4CCB-A1B3-F508BD1D3F79}" cache="Slicer_Quantity" caption="Quantit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204" totalsRowShown="0">
  <autoFilter ref="A1:Q204" xr:uid="{00000000-0009-0000-0100-000001000000}"/>
  <tableColumns count="17">
    <tableColumn id="1" xr3:uid="{00000000-0010-0000-0000-000001000000}" name="index"/>
    <tableColumn id="2" xr3:uid="{00000000-0010-0000-0000-000002000000}" name="Date" dataDxfId="22"/>
    <tableColumn id="3" xr3:uid="{00000000-0010-0000-0000-000003000000}" name="Year"/>
    <tableColumn id="4" xr3:uid="{00000000-0010-0000-0000-000004000000}" name="Month"/>
    <tableColumn id="5" xr3:uid="{00000000-0010-0000-0000-000005000000}" name="Customer Age"/>
    <tableColumn id="6" xr3:uid="{00000000-0010-0000-0000-000006000000}" name="Customer Gender"/>
    <tableColumn id="7" xr3:uid="{00000000-0010-0000-0000-000007000000}" name="Country"/>
    <tableColumn id="8" xr3:uid="{00000000-0010-0000-0000-000008000000}" name="State"/>
    <tableColumn id="9" xr3:uid="{00000000-0010-0000-0000-000009000000}" name="Product Category"/>
    <tableColumn id="10" xr3:uid="{00000000-0010-0000-0000-00000A000000}" name="Sub Category"/>
    <tableColumn id="11" xr3:uid="{00000000-0010-0000-0000-00000B000000}" name="Quantity"/>
    <tableColumn id="12" xr3:uid="{00000000-0010-0000-0000-00000C000000}" name="Unit Cost"/>
    <tableColumn id="13" xr3:uid="{00000000-0010-0000-0000-00000D000000}" name="Unit Price"/>
    <tableColumn id="14" xr3:uid="{00000000-0010-0000-0000-00000E000000}" name="Cost"/>
    <tableColumn id="15" xr3:uid="{00000000-0010-0000-0000-00000F000000}" name="Revenue"/>
    <tableColumn id="16" xr3:uid="{00000000-0010-0000-0000-000010000000}" name="Row Labels"/>
    <tableColumn id="17" xr3:uid="{00000000-0010-0000-0000-000011000000}" name="Sum of Revenue"/>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Q204" totalsRowShown="0">
  <tableColumns count="17">
    <tableColumn id="1" xr3:uid="{00000000-0010-0000-0100-000001000000}" name="index"/>
    <tableColumn id="2" xr3:uid="{00000000-0010-0000-0100-000002000000}" name="Date" dataDxfId="21"/>
    <tableColumn id="3" xr3:uid="{00000000-0010-0000-0100-000003000000}" name="Year"/>
    <tableColumn id="4" xr3:uid="{00000000-0010-0000-0100-000004000000}" name="Month"/>
    <tableColumn id="5" xr3:uid="{00000000-0010-0000-0100-000005000000}" name="Customer Age"/>
    <tableColumn id="6" xr3:uid="{00000000-0010-0000-0100-000006000000}" name="Customer Gender"/>
    <tableColumn id="7" xr3:uid="{00000000-0010-0000-0100-000007000000}" name="Country"/>
    <tableColumn id="8" xr3:uid="{00000000-0010-0000-0100-000008000000}" name="State"/>
    <tableColumn id="9" xr3:uid="{00000000-0010-0000-0100-000009000000}" name="Product Category"/>
    <tableColumn id="10" xr3:uid="{00000000-0010-0000-0100-00000A000000}" name="Sub Category"/>
    <tableColumn id="11" xr3:uid="{00000000-0010-0000-0100-00000B000000}" name="Quantity"/>
    <tableColumn id="12" xr3:uid="{00000000-0010-0000-0100-00000C000000}" name="Unit Cost"/>
    <tableColumn id="13" xr3:uid="{00000000-0010-0000-0100-00000D000000}" name="Unit Price"/>
    <tableColumn id="14" xr3:uid="{00000000-0010-0000-0100-00000E000000}" name="Cost"/>
    <tableColumn id="15" xr3:uid="{00000000-0010-0000-0100-00000F000000}" name="Revenue"/>
    <tableColumn id="16" xr3:uid="{00000000-0010-0000-0100-000010000000}" name="Row Labels"/>
    <tableColumn id="17" xr3:uid="{00000000-0010-0000-0100-000011000000}" name="Sum of Revenue"/>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F4B7C15-F7CE-4FBE-9C76-07E2300986EC}" name="Table4" displayName="Table4" ref="A1:C7" totalsRowShown="0" headerRowDxfId="20" headerRowBorderDxfId="19" tableBorderDxfId="18" totalsRowBorderDxfId="17">
  <autoFilter ref="A1:C7" xr:uid="{6077554B-7751-4DBA-8B54-3C1BDF61DD90}"/>
  <tableColumns count="3">
    <tableColumn id="1" xr3:uid="{22D72AB0-A5BD-442E-A7B2-B52961B32642}" name="MEAN" dataDxfId="16"/>
    <tableColumn id="2" xr3:uid="{8119FA56-9D9C-42EB-B29D-9B79E038AF13}" name="MEDIAN" dataDxfId="15"/>
    <tableColumn id="3" xr3:uid="{6E85571A-127B-4260-BE78-F813C63F3A7E}" name="MODE"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DE0D1F-46A3-4FFF-8EF8-E2B5E3CF77B7}" name="Table3" displayName="Table3" ref="A10:C16" totalsRowShown="0" headerRowDxfId="13" headerRowBorderDxfId="12" tableBorderDxfId="11" totalsRowBorderDxfId="10">
  <autoFilter ref="A10:C16" xr:uid="{3DDE0D1F-46A3-4FFF-8EF8-E2B5E3CF77B7}"/>
  <tableColumns count="3">
    <tableColumn id="1" xr3:uid="{4175BDBE-135C-4579-A9BE-0DDC1F4E4334}" name="SUM" dataDxfId="9"/>
    <tableColumn id="2" xr3:uid="{311A970B-3D9D-422D-8E30-E222617C7037}" name="SUMIF" dataDxfId="8"/>
    <tableColumn id="3" xr3:uid="{1E8DA872-61AF-4FBF-A801-F3C4918A1258}" name="SUMIFS" dataDxfId="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5C85661-605F-4D75-BB1C-6F2B688189B5}" name="Table5" displayName="Table5" ref="A19:C25" totalsRowShown="0" headerRowDxfId="6" headerRowBorderDxfId="5" tableBorderDxfId="4" totalsRowBorderDxfId="3">
  <autoFilter ref="A19:C25" xr:uid="{15C85661-605F-4D75-BB1C-6F2B688189B5}"/>
  <tableColumns count="3">
    <tableColumn id="1" xr3:uid="{146A67D1-A51C-4ECD-99E7-BE460A07F446}" name="COUNT" dataDxfId="2"/>
    <tableColumn id="2" xr3:uid="{D093B263-1D77-4E95-BFA5-463255C3AC5F}" name="COUNTA" dataDxfId="1"/>
    <tableColumn id="3" xr3:uid="{F53103EA-3702-4BB8-BA54-72487907620F}" name="COUNTIF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6015DF5D-831E-400C-8011-E4D664FF2CC0}" sourceName="Date">
  <pivotTables>
    <pivotTable tabId="5" name="PivotTable7"/>
  </pivotTables>
  <state minimalRefreshVersion="6" lastRefreshVersion="6" pivotCacheId="1981184012" filterType="unknown">
    <bounds startDate="2015-01-01T00:00:00" endDate="201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328EA349-0400-4130-932F-A0D89D52F4D3}" cache="NativeTimeline_Date" caption="Date" level="2" selectionLevel="2" scrollPosition="2016-06-06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4"/>
  <sheetViews>
    <sheetView workbookViewId="0">
      <selection sqref="A1:Q204"/>
    </sheetView>
  </sheetViews>
  <sheetFormatPr defaultRowHeight="14.4" x14ac:dyDescent="0.3"/>
  <cols>
    <col min="2" max="2" width="11.33203125" customWidth="1"/>
    <col min="4" max="4" width="14.109375" customWidth="1"/>
    <col min="5" max="5" width="14.6640625" customWidth="1"/>
    <col min="6" max="6" width="17.5546875" customWidth="1"/>
    <col min="7" max="7" width="14.5546875" customWidth="1"/>
    <col min="8" max="8" width="13" customWidth="1"/>
    <col min="9" max="10" width="17.33203125" customWidth="1"/>
    <col min="11" max="11" width="9.5546875" customWidth="1"/>
    <col min="12" max="12" width="10.109375" customWidth="1"/>
    <col min="13" max="13" width="10.5546875" customWidth="1"/>
    <col min="15" max="15" width="9.77734375" customWidth="1"/>
    <col min="16" max="16" width="12.109375" customWidth="1"/>
    <col min="17" max="17" width="15.8867187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21</v>
      </c>
      <c r="Q1" t="s">
        <v>22</v>
      </c>
    </row>
    <row r="2" spans="1:17" x14ac:dyDescent="0.3">
      <c r="A2">
        <v>0</v>
      </c>
      <c r="B2" s="1">
        <v>42419</v>
      </c>
      <c r="C2">
        <v>2016</v>
      </c>
      <c r="D2" t="s">
        <v>15</v>
      </c>
      <c r="E2">
        <v>29</v>
      </c>
      <c r="F2" t="s">
        <v>16</v>
      </c>
      <c r="G2" t="s">
        <v>17</v>
      </c>
      <c r="H2" t="s">
        <v>18</v>
      </c>
      <c r="I2" t="s">
        <v>19</v>
      </c>
      <c r="J2" t="s">
        <v>20</v>
      </c>
      <c r="K2">
        <v>1</v>
      </c>
      <c r="L2">
        <v>80</v>
      </c>
      <c r="M2">
        <v>109</v>
      </c>
      <c r="N2">
        <v>80</v>
      </c>
      <c r="O2">
        <v>109</v>
      </c>
      <c r="P2">
        <v>0</v>
      </c>
      <c r="Q2">
        <v>109</v>
      </c>
    </row>
    <row r="3" spans="1:17" x14ac:dyDescent="0.3">
      <c r="A3">
        <v>1</v>
      </c>
      <c r="B3" s="1">
        <v>42420</v>
      </c>
      <c r="C3">
        <v>2016</v>
      </c>
      <c r="D3" t="s">
        <v>15</v>
      </c>
      <c r="E3">
        <v>29</v>
      </c>
      <c r="F3" t="s">
        <v>16</v>
      </c>
      <c r="G3" t="s">
        <v>17</v>
      </c>
      <c r="H3" t="s">
        <v>18</v>
      </c>
      <c r="I3" t="s">
        <v>23</v>
      </c>
      <c r="J3" t="s">
        <v>24</v>
      </c>
      <c r="K3">
        <v>2</v>
      </c>
      <c r="L3">
        <v>24.5</v>
      </c>
      <c r="M3">
        <v>28.5</v>
      </c>
      <c r="N3">
        <v>49</v>
      </c>
      <c r="O3">
        <v>57</v>
      </c>
      <c r="P3">
        <v>1</v>
      </c>
      <c r="Q3">
        <v>57</v>
      </c>
    </row>
    <row r="4" spans="1:17" x14ac:dyDescent="0.3">
      <c r="A4">
        <v>2</v>
      </c>
      <c r="B4" s="1">
        <v>42427</v>
      </c>
      <c r="C4">
        <v>2016</v>
      </c>
      <c r="D4" t="s">
        <v>15</v>
      </c>
      <c r="E4">
        <v>29</v>
      </c>
      <c r="F4" t="s">
        <v>16</v>
      </c>
      <c r="G4" t="s">
        <v>17</v>
      </c>
      <c r="H4" t="s">
        <v>18</v>
      </c>
      <c r="I4" t="s">
        <v>19</v>
      </c>
      <c r="J4" t="s">
        <v>20</v>
      </c>
      <c r="K4">
        <v>3</v>
      </c>
      <c r="L4">
        <v>3.67</v>
      </c>
      <c r="M4">
        <v>5</v>
      </c>
      <c r="N4">
        <v>11</v>
      </c>
      <c r="O4">
        <v>15</v>
      </c>
      <c r="P4">
        <v>2</v>
      </c>
      <c r="Q4">
        <v>15</v>
      </c>
    </row>
    <row r="5" spans="1:17" x14ac:dyDescent="0.3">
      <c r="A5">
        <v>3</v>
      </c>
      <c r="B5" s="1">
        <v>42441</v>
      </c>
      <c r="C5">
        <v>2016</v>
      </c>
      <c r="D5" t="s">
        <v>25</v>
      </c>
      <c r="E5">
        <v>29</v>
      </c>
      <c r="F5" t="s">
        <v>16</v>
      </c>
      <c r="G5" t="s">
        <v>17</v>
      </c>
      <c r="H5" t="s">
        <v>18</v>
      </c>
      <c r="I5" t="s">
        <v>19</v>
      </c>
      <c r="J5" t="s">
        <v>20</v>
      </c>
      <c r="K5">
        <v>2</v>
      </c>
      <c r="L5">
        <v>87.5</v>
      </c>
      <c r="M5">
        <v>116.5</v>
      </c>
      <c r="N5">
        <v>175</v>
      </c>
      <c r="O5">
        <v>233</v>
      </c>
      <c r="P5">
        <v>3</v>
      </c>
      <c r="Q5">
        <v>233</v>
      </c>
    </row>
    <row r="6" spans="1:17" x14ac:dyDescent="0.3">
      <c r="A6">
        <v>4</v>
      </c>
      <c r="B6" s="1">
        <v>42441</v>
      </c>
      <c r="C6">
        <v>2016</v>
      </c>
      <c r="D6" t="s">
        <v>25</v>
      </c>
      <c r="E6">
        <v>29</v>
      </c>
      <c r="F6" t="s">
        <v>16</v>
      </c>
      <c r="G6" t="s">
        <v>17</v>
      </c>
      <c r="H6" t="s">
        <v>18</v>
      </c>
      <c r="I6" t="s">
        <v>19</v>
      </c>
      <c r="J6" t="s">
        <v>20</v>
      </c>
      <c r="K6">
        <v>3</v>
      </c>
      <c r="L6">
        <v>35</v>
      </c>
      <c r="M6">
        <v>41.666666999999997</v>
      </c>
      <c r="N6">
        <v>105</v>
      </c>
      <c r="O6">
        <v>125</v>
      </c>
      <c r="P6">
        <v>4</v>
      </c>
      <c r="Q6">
        <v>125</v>
      </c>
    </row>
    <row r="7" spans="1:17" x14ac:dyDescent="0.3">
      <c r="A7">
        <v>5</v>
      </c>
      <c r="B7" s="1">
        <v>42468</v>
      </c>
      <c r="C7">
        <v>2016</v>
      </c>
      <c r="D7" t="s">
        <v>26</v>
      </c>
      <c r="E7">
        <v>29</v>
      </c>
      <c r="F7" t="s">
        <v>16</v>
      </c>
      <c r="G7" t="s">
        <v>17</v>
      </c>
      <c r="H7" t="s">
        <v>18</v>
      </c>
      <c r="I7" t="s">
        <v>19</v>
      </c>
      <c r="J7" t="s">
        <v>20</v>
      </c>
      <c r="K7">
        <v>1</v>
      </c>
      <c r="L7">
        <v>66</v>
      </c>
      <c r="M7">
        <v>78</v>
      </c>
      <c r="N7">
        <v>66</v>
      </c>
      <c r="O7">
        <v>78</v>
      </c>
      <c r="P7">
        <v>5</v>
      </c>
      <c r="Q7">
        <v>78</v>
      </c>
    </row>
    <row r="8" spans="1:17" x14ac:dyDescent="0.3">
      <c r="A8">
        <v>6</v>
      </c>
      <c r="B8" s="1">
        <v>42477</v>
      </c>
      <c r="C8">
        <v>2016</v>
      </c>
      <c r="D8" t="s">
        <v>26</v>
      </c>
      <c r="E8">
        <v>29</v>
      </c>
      <c r="F8" t="s">
        <v>16</v>
      </c>
      <c r="G8" t="s">
        <v>17</v>
      </c>
      <c r="H8" t="s">
        <v>18</v>
      </c>
      <c r="I8" t="s">
        <v>19</v>
      </c>
      <c r="J8" t="s">
        <v>20</v>
      </c>
      <c r="K8">
        <v>2</v>
      </c>
      <c r="L8">
        <v>52</v>
      </c>
      <c r="M8">
        <v>60</v>
      </c>
      <c r="N8">
        <v>104</v>
      </c>
      <c r="O8">
        <v>120</v>
      </c>
      <c r="P8">
        <v>6</v>
      </c>
      <c r="Q8">
        <v>120</v>
      </c>
    </row>
    <row r="9" spans="1:17" x14ac:dyDescent="0.3">
      <c r="A9">
        <v>7</v>
      </c>
      <c r="B9" s="1">
        <v>42477</v>
      </c>
      <c r="C9">
        <v>2016</v>
      </c>
      <c r="D9" t="s">
        <v>26</v>
      </c>
      <c r="E9">
        <v>29</v>
      </c>
      <c r="F9" t="s">
        <v>16</v>
      </c>
      <c r="G9" t="s">
        <v>17</v>
      </c>
      <c r="H9" t="s">
        <v>18</v>
      </c>
      <c r="I9" t="s">
        <v>19</v>
      </c>
      <c r="J9" t="s">
        <v>20</v>
      </c>
      <c r="K9">
        <v>1</v>
      </c>
      <c r="L9">
        <v>60</v>
      </c>
      <c r="M9">
        <v>68</v>
      </c>
      <c r="N9">
        <v>60</v>
      </c>
      <c r="O9">
        <v>68</v>
      </c>
      <c r="P9">
        <v>7</v>
      </c>
      <c r="Q9">
        <v>68</v>
      </c>
    </row>
    <row r="10" spans="1:17" x14ac:dyDescent="0.3">
      <c r="A10">
        <v>8</v>
      </c>
      <c r="B10" s="1">
        <v>42543</v>
      </c>
      <c r="C10">
        <v>2016</v>
      </c>
      <c r="D10" t="s">
        <v>27</v>
      </c>
      <c r="E10">
        <v>29</v>
      </c>
      <c r="F10" t="s">
        <v>16</v>
      </c>
      <c r="G10" t="s">
        <v>17</v>
      </c>
      <c r="H10" t="s">
        <v>18</v>
      </c>
      <c r="I10" t="s">
        <v>19</v>
      </c>
      <c r="J10" t="s">
        <v>20</v>
      </c>
      <c r="K10">
        <v>2</v>
      </c>
      <c r="L10">
        <v>8</v>
      </c>
      <c r="M10">
        <v>10</v>
      </c>
      <c r="N10">
        <v>16</v>
      </c>
      <c r="O10">
        <v>20</v>
      </c>
      <c r="P10">
        <v>8</v>
      </c>
      <c r="Q10">
        <v>20</v>
      </c>
    </row>
    <row r="11" spans="1:17" x14ac:dyDescent="0.3">
      <c r="A11">
        <v>9</v>
      </c>
      <c r="B11" s="1">
        <v>42543</v>
      </c>
      <c r="C11">
        <v>2016</v>
      </c>
      <c r="D11" t="s">
        <v>27</v>
      </c>
      <c r="E11">
        <v>29</v>
      </c>
      <c r="F11" t="s">
        <v>16</v>
      </c>
      <c r="G11" t="s">
        <v>17</v>
      </c>
      <c r="H11" t="s">
        <v>18</v>
      </c>
      <c r="I11" t="s">
        <v>19</v>
      </c>
      <c r="J11" t="s">
        <v>20</v>
      </c>
      <c r="K11">
        <v>2</v>
      </c>
      <c r="L11">
        <v>2.5</v>
      </c>
      <c r="M11">
        <v>3</v>
      </c>
      <c r="N11">
        <v>5</v>
      </c>
      <c r="O11">
        <v>6</v>
      </c>
      <c r="P11">
        <v>9</v>
      </c>
      <c r="Q11">
        <v>6</v>
      </c>
    </row>
    <row r="12" spans="1:17" x14ac:dyDescent="0.3">
      <c r="A12">
        <v>10</v>
      </c>
      <c r="B12" s="1">
        <v>42545</v>
      </c>
      <c r="C12">
        <v>2016</v>
      </c>
      <c r="D12" t="s">
        <v>27</v>
      </c>
      <c r="E12">
        <v>29</v>
      </c>
      <c r="F12" t="s">
        <v>16</v>
      </c>
      <c r="G12" t="s">
        <v>17</v>
      </c>
      <c r="H12" t="s">
        <v>18</v>
      </c>
      <c r="I12" t="s">
        <v>19</v>
      </c>
      <c r="J12" t="s">
        <v>28</v>
      </c>
      <c r="K12">
        <v>2</v>
      </c>
      <c r="L12">
        <v>17.5</v>
      </c>
      <c r="M12">
        <v>21</v>
      </c>
      <c r="N12">
        <v>35</v>
      </c>
      <c r="O12">
        <v>42</v>
      </c>
      <c r="P12">
        <v>10</v>
      </c>
      <c r="Q12">
        <v>42</v>
      </c>
    </row>
    <row r="13" spans="1:17" x14ac:dyDescent="0.3">
      <c r="A13">
        <v>11</v>
      </c>
      <c r="B13" s="1">
        <v>42552</v>
      </c>
      <c r="C13">
        <v>2016</v>
      </c>
      <c r="D13" t="s">
        <v>29</v>
      </c>
      <c r="E13">
        <v>29</v>
      </c>
      <c r="F13" t="s">
        <v>16</v>
      </c>
      <c r="G13" t="s">
        <v>17</v>
      </c>
      <c r="H13" t="s">
        <v>18</v>
      </c>
      <c r="I13" t="s">
        <v>19</v>
      </c>
      <c r="J13" t="s">
        <v>20</v>
      </c>
      <c r="K13">
        <v>3</v>
      </c>
      <c r="L13">
        <v>40</v>
      </c>
      <c r="M13">
        <v>48.666666999999997</v>
      </c>
      <c r="N13">
        <v>120</v>
      </c>
      <c r="O13">
        <v>146</v>
      </c>
      <c r="P13">
        <v>11</v>
      </c>
      <c r="Q13">
        <v>146</v>
      </c>
    </row>
    <row r="14" spans="1:17" x14ac:dyDescent="0.3">
      <c r="A14">
        <v>12</v>
      </c>
      <c r="B14" s="1">
        <v>42573</v>
      </c>
      <c r="C14">
        <v>2016</v>
      </c>
      <c r="D14" t="s">
        <v>29</v>
      </c>
      <c r="E14">
        <v>29</v>
      </c>
      <c r="F14" t="s">
        <v>16</v>
      </c>
      <c r="G14" t="s">
        <v>17</v>
      </c>
      <c r="H14" t="s">
        <v>18</v>
      </c>
      <c r="I14" t="s">
        <v>19</v>
      </c>
      <c r="J14" t="s">
        <v>20</v>
      </c>
      <c r="K14">
        <v>2</v>
      </c>
      <c r="L14">
        <v>46</v>
      </c>
      <c r="M14">
        <v>60</v>
      </c>
      <c r="N14">
        <v>92</v>
      </c>
      <c r="O14">
        <v>120</v>
      </c>
      <c r="P14">
        <v>12</v>
      </c>
      <c r="Q14">
        <v>120</v>
      </c>
    </row>
    <row r="15" spans="1:17" x14ac:dyDescent="0.3">
      <c r="A15">
        <v>13</v>
      </c>
      <c r="B15" s="1">
        <v>42573</v>
      </c>
      <c r="C15">
        <v>2016</v>
      </c>
      <c r="D15" t="s">
        <v>29</v>
      </c>
      <c r="E15">
        <v>29</v>
      </c>
      <c r="F15" t="s">
        <v>16</v>
      </c>
      <c r="G15" t="s">
        <v>17</v>
      </c>
      <c r="H15" t="s">
        <v>18</v>
      </c>
      <c r="I15" t="s">
        <v>19</v>
      </c>
      <c r="J15" t="s">
        <v>20</v>
      </c>
      <c r="K15">
        <v>1</v>
      </c>
      <c r="L15">
        <v>9</v>
      </c>
      <c r="M15">
        <v>10</v>
      </c>
      <c r="N15">
        <v>9</v>
      </c>
      <c r="O15">
        <v>10</v>
      </c>
      <c r="P15">
        <v>13</v>
      </c>
      <c r="Q15">
        <v>10</v>
      </c>
    </row>
    <row r="16" spans="1:17" x14ac:dyDescent="0.3">
      <c r="A16">
        <v>14</v>
      </c>
      <c r="B16" s="1">
        <v>42234</v>
      </c>
      <c r="C16">
        <v>2015</v>
      </c>
      <c r="D16" t="s">
        <v>30</v>
      </c>
      <c r="E16">
        <v>29</v>
      </c>
      <c r="F16" t="s">
        <v>16</v>
      </c>
      <c r="G16" t="s">
        <v>17</v>
      </c>
      <c r="H16" t="s">
        <v>18</v>
      </c>
      <c r="I16" t="s">
        <v>19</v>
      </c>
      <c r="J16" t="s">
        <v>28</v>
      </c>
      <c r="K16">
        <v>3</v>
      </c>
      <c r="L16">
        <v>151.66999999999999</v>
      </c>
      <c r="M16">
        <v>181.33333300000001</v>
      </c>
      <c r="N16">
        <v>455</v>
      </c>
      <c r="O16">
        <v>544</v>
      </c>
      <c r="P16">
        <v>14</v>
      </c>
      <c r="Q16">
        <v>544</v>
      </c>
    </row>
    <row r="17" spans="1:17" x14ac:dyDescent="0.3">
      <c r="A17">
        <v>15</v>
      </c>
      <c r="B17" s="1">
        <v>42246</v>
      </c>
      <c r="C17">
        <v>2015</v>
      </c>
      <c r="D17" t="s">
        <v>30</v>
      </c>
      <c r="E17">
        <v>29</v>
      </c>
      <c r="F17" t="s">
        <v>16</v>
      </c>
      <c r="G17" t="s">
        <v>17</v>
      </c>
      <c r="H17" t="s">
        <v>18</v>
      </c>
      <c r="I17" t="s">
        <v>19</v>
      </c>
      <c r="J17" t="s">
        <v>20</v>
      </c>
      <c r="K17">
        <v>3</v>
      </c>
      <c r="L17">
        <v>70</v>
      </c>
      <c r="M17">
        <v>72.666667000000004</v>
      </c>
      <c r="N17">
        <v>210</v>
      </c>
      <c r="O17">
        <v>218</v>
      </c>
      <c r="P17">
        <v>15</v>
      </c>
      <c r="Q17">
        <v>218</v>
      </c>
    </row>
    <row r="18" spans="1:17" x14ac:dyDescent="0.3">
      <c r="A18">
        <v>16</v>
      </c>
      <c r="B18" s="1">
        <v>42264</v>
      </c>
      <c r="C18">
        <v>2015</v>
      </c>
      <c r="D18" t="s">
        <v>31</v>
      </c>
      <c r="E18">
        <v>29</v>
      </c>
      <c r="F18" t="s">
        <v>16</v>
      </c>
      <c r="G18" t="s">
        <v>17</v>
      </c>
      <c r="H18" t="s">
        <v>18</v>
      </c>
      <c r="I18" t="s">
        <v>19</v>
      </c>
      <c r="J18" t="s">
        <v>20</v>
      </c>
      <c r="K18">
        <v>1</v>
      </c>
      <c r="L18">
        <v>385</v>
      </c>
      <c r="M18">
        <v>439</v>
      </c>
      <c r="N18">
        <v>385</v>
      </c>
      <c r="O18">
        <v>439</v>
      </c>
      <c r="P18">
        <v>16</v>
      </c>
      <c r="Q18">
        <v>439</v>
      </c>
    </row>
    <row r="19" spans="1:17" x14ac:dyDescent="0.3">
      <c r="A19">
        <v>17</v>
      </c>
      <c r="B19" s="1">
        <v>42264</v>
      </c>
      <c r="C19">
        <v>2015</v>
      </c>
      <c r="D19" t="s">
        <v>31</v>
      </c>
      <c r="E19">
        <v>29</v>
      </c>
      <c r="F19" t="s">
        <v>16</v>
      </c>
      <c r="G19" t="s">
        <v>17</v>
      </c>
      <c r="H19" t="s">
        <v>18</v>
      </c>
      <c r="I19" t="s">
        <v>19</v>
      </c>
      <c r="J19" t="s">
        <v>20</v>
      </c>
      <c r="K19">
        <v>2</v>
      </c>
      <c r="L19">
        <v>72.5</v>
      </c>
      <c r="M19">
        <v>86.5</v>
      </c>
      <c r="N19">
        <v>145</v>
      </c>
      <c r="O19">
        <v>173</v>
      </c>
      <c r="P19">
        <v>17</v>
      </c>
      <c r="Q19">
        <v>173</v>
      </c>
    </row>
    <row r="20" spans="1:17" x14ac:dyDescent="0.3">
      <c r="A20">
        <v>18</v>
      </c>
      <c r="B20" s="1">
        <v>42264</v>
      </c>
      <c r="C20">
        <v>2015</v>
      </c>
      <c r="D20" t="s">
        <v>31</v>
      </c>
      <c r="E20">
        <v>29</v>
      </c>
      <c r="F20" t="s">
        <v>16</v>
      </c>
      <c r="G20" t="s">
        <v>17</v>
      </c>
      <c r="H20" t="s">
        <v>18</v>
      </c>
      <c r="I20" t="s">
        <v>19</v>
      </c>
      <c r="J20" t="s">
        <v>28</v>
      </c>
      <c r="K20">
        <v>3</v>
      </c>
      <c r="L20">
        <v>210</v>
      </c>
      <c r="M20">
        <v>212.66666699999999</v>
      </c>
      <c r="N20">
        <v>630</v>
      </c>
      <c r="O20">
        <v>638</v>
      </c>
      <c r="P20">
        <v>18</v>
      </c>
      <c r="Q20">
        <v>638</v>
      </c>
    </row>
    <row r="21" spans="1:17" x14ac:dyDescent="0.3">
      <c r="A21">
        <v>19</v>
      </c>
      <c r="B21" s="1">
        <v>42271</v>
      </c>
      <c r="C21">
        <v>2015</v>
      </c>
      <c r="D21" t="s">
        <v>31</v>
      </c>
      <c r="E21">
        <v>29</v>
      </c>
      <c r="F21" t="s">
        <v>16</v>
      </c>
      <c r="G21" t="s">
        <v>17</v>
      </c>
      <c r="H21" t="s">
        <v>18</v>
      </c>
      <c r="I21" t="s">
        <v>19</v>
      </c>
      <c r="J21" t="s">
        <v>20</v>
      </c>
      <c r="K21">
        <v>1</v>
      </c>
      <c r="L21">
        <v>64</v>
      </c>
      <c r="M21">
        <v>74</v>
      </c>
      <c r="N21">
        <v>64</v>
      </c>
      <c r="O21">
        <v>74</v>
      </c>
      <c r="P21">
        <v>19</v>
      </c>
      <c r="Q21">
        <v>74</v>
      </c>
    </row>
    <row r="22" spans="1:17" x14ac:dyDescent="0.3">
      <c r="A22">
        <v>20</v>
      </c>
      <c r="B22" s="1">
        <v>42271</v>
      </c>
      <c r="C22">
        <v>2015</v>
      </c>
      <c r="D22" t="s">
        <v>31</v>
      </c>
      <c r="E22">
        <v>29</v>
      </c>
      <c r="F22" t="s">
        <v>16</v>
      </c>
      <c r="G22" t="s">
        <v>17</v>
      </c>
      <c r="H22" t="s">
        <v>18</v>
      </c>
      <c r="I22" t="s">
        <v>19</v>
      </c>
      <c r="J22" t="s">
        <v>28</v>
      </c>
      <c r="K22">
        <v>3</v>
      </c>
      <c r="L22">
        <v>326.67</v>
      </c>
      <c r="M22">
        <v>359.66666700000002</v>
      </c>
      <c r="N22">
        <v>980</v>
      </c>
      <c r="O22">
        <v>1079</v>
      </c>
      <c r="P22">
        <v>20</v>
      </c>
      <c r="Q22">
        <v>1079</v>
      </c>
    </row>
    <row r="23" spans="1:17" x14ac:dyDescent="0.3">
      <c r="A23">
        <v>21</v>
      </c>
      <c r="B23" s="1">
        <v>42284</v>
      </c>
      <c r="C23">
        <v>2015</v>
      </c>
      <c r="D23" t="s">
        <v>32</v>
      </c>
      <c r="E23">
        <v>29</v>
      </c>
      <c r="F23" t="s">
        <v>16</v>
      </c>
      <c r="G23" t="s">
        <v>17</v>
      </c>
      <c r="H23" t="s">
        <v>18</v>
      </c>
      <c r="I23" t="s">
        <v>19</v>
      </c>
      <c r="J23" t="s">
        <v>20</v>
      </c>
      <c r="K23">
        <v>1</v>
      </c>
      <c r="L23">
        <v>125</v>
      </c>
      <c r="M23">
        <v>136</v>
      </c>
      <c r="N23">
        <v>125</v>
      </c>
      <c r="O23">
        <v>136</v>
      </c>
      <c r="P23">
        <v>21</v>
      </c>
      <c r="Q23">
        <v>136</v>
      </c>
    </row>
    <row r="24" spans="1:17" x14ac:dyDescent="0.3">
      <c r="A24">
        <v>22</v>
      </c>
      <c r="B24" s="1">
        <v>42284</v>
      </c>
      <c r="C24">
        <v>2015</v>
      </c>
      <c r="D24" t="s">
        <v>32</v>
      </c>
      <c r="E24">
        <v>29</v>
      </c>
      <c r="F24" t="s">
        <v>16</v>
      </c>
      <c r="G24" t="s">
        <v>17</v>
      </c>
      <c r="H24" t="s">
        <v>18</v>
      </c>
      <c r="I24" t="s">
        <v>19</v>
      </c>
      <c r="J24" t="s">
        <v>28</v>
      </c>
      <c r="K24">
        <v>2</v>
      </c>
      <c r="L24">
        <v>17.5</v>
      </c>
      <c r="M24">
        <v>18</v>
      </c>
      <c r="N24">
        <v>35</v>
      </c>
      <c r="O24">
        <v>36</v>
      </c>
      <c r="P24">
        <v>22</v>
      </c>
      <c r="Q24">
        <v>36</v>
      </c>
    </row>
    <row r="25" spans="1:17" x14ac:dyDescent="0.3">
      <c r="A25">
        <v>23</v>
      </c>
      <c r="B25" s="1">
        <v>42284</v>
      </c>
      <c r="C25">
        <v>2015</v>
      </c>
      <c r="D25" t="s">
        <v>32</v>
      </c>
      <c r="E25">
        <v>29</v>
      </c>
      <c r="F25" t="s">
        <v>16</v>
      </c>
      <c r="G25" t="s">
        <v>17</v>
      </c>
      <c r="H25" t="s">
        <v>18</v>
      </c>
      <c r="I25" t="s">
        <v>19</v>
      </c>
      <c r="J25" t="s">
        <v>20</v>
      </c>
      <c r="K25">
        <v>2</v>
      </c>
      <c r="L25">
        <v>215</v>
      </c>
      <c r="M25">
        <v>226</v>
      </c>
      <c r="N25">
        <v>430</v>
      </c>
      <c r="O25">
        <v>452</v>
      </c>
      <c r="P25">
        <v>23</v>
      </c>
      <c r="Q25">
        <v>452</v>
      </c>
    </row>
    <row r="26" spans="1:17" x14ac:dyDescent="0.3">
      <c r="A26">
        <v>24</v>
      </c>
      <c r="B26" s="1">
        <v>42284</v>
      </c>
      <c r="C26">
        <v>2015</v>
      </c>
      <c r="D26" t="s">
        <v>32</v>
      </c>
      <c r="E26">
        <v>29</v>
      </c>
      <c r="F26" t="s">
        <v>16</v>
      </c>
      <c r="G26" t="s">
        <v>17</v>
      </c>
      <c r="H26" t="s">
        <v>18</v>
      </c>
      <c r="I26" t="s">
        <v>19</v>
      </c>
      <c r="J26" t="s">
        <v>20</v>
      </c>
      <c r="K26">
        <v>3</v>
      </c>
      <c r="L26">
        <v>22</v>
      </c>
      <c r="M26">
        <v>23</v>
      </c>
      <c r="N26">
        <v>66</v>
      </c>
      <c r="O26">
        <v>69</v>
      </c>
      <c r="P26">
        <v>24</v>
      </c>
      <c r="Q26">
        <v>69</v>
      </c>
    </row>
    <row r="27" spans="1:17" x14ac:dyDescent="0.3">
      <c r="A27">
        <v>25</v>
      </c>
      <c r="B27" s="1">
        <v>42290</v>
      </c>
      <c r="C27">
        <v>2015</v>
      </c>
      <c r="D27" t="s">
        <v>32</v>
      </c>
      <c r="E27">
        <v>29</v>
      </c>
      <c r="F27" t="s">
        <v>16</v>
      </c>
      <c r="G27" t="s">
        <v>17</v>
      </c>
      <c r="H27" t="s">
        <v>18</v>
      </c>
      <c r="I27" t="s">
        <v>19</v>
      </c>
      <c r="J27" t="s">
        <v>20</v>
      </c>
      <c r="K27">
        <v>1</v>
      </c>
      <c r="L27">
        <v>750</v>
      </c>
      <c r="M27">
        <v>820</v>
      </c>
      <c r="N27">
        <v>750</v>
      </c>
      <c r="O27">
        <v>820</v>
      </c>
      <c r="P27">
        <v>25</v>
      </c>
      <c r="Q27">
        <v>820</v>
      </c>
    </row>
    <row r="28" spans="1:17" x14ac:dyDescent="0.3">
      <c r="A28">
        <v>26</v>
      </c>
      <c r="B28" s="1">
        <v>42297</v>
      </c>
      <c r="C28">
        <v>2015</v>
      </c>
      <c r="D28" t="s">
        <v>32</v>
      </c>
      <c r="E28">
        <v>29</v>
      </c>
      <c r="F28" t="s">
        <v>16</v>
      </c>
      <c r="G28" t="s">
        <v>17</v>
      </c>
      <c r="H28" t="s">
        <v>18</v>
      </c>
      <c r="I28" t="s">
        <v>19</v>
      </c>
      <c r="J28" t="s">
        <v>20</v>
      </c>
      <c r="K28">
        <v>2</v>
      </c>
      <c r="L28">
        <v>60</v>
      </c>
      <c r="M28">
        <v>70.5</v>
      </c>
      <c r="N28">
        <v>120</v>
      </c>
      <c r="O28">
        <v>141</v>
      </c>
      <c r="P28">
        <v>26</v>
      </c>
      <c r="Q28">
        <v>141</v>
      </c>
    </row>
    <row r="29" spans="1:17" x14ac:dyDescent="0.3">
      <c r="A29">
        <v>27</v>
      </c>
      <c r="B29" s="1">
        <v>42297</v>
      </c>
      <c r="C29">
        <v>2015</v>
      </c>
      <c r="D29" t="s">
        <v>32</v>
      </c>
      <c r="E29">
        <v>29</v>
      </c>
      <c r="F29" t="s">
        <v>16</v>
      </c>
      <c r="G29" t="s">
        <v>17</v>
      </c>
      <c r="H29" t="s">
        <v>18</v>
      </c>
      <c r="I29" t="s">
        <v>19</v>
      </c>
      <c r="J29" t="s">
        <v>20</v>
      </c>
      <c r="K29">
        <v>1</v>
      </c>
      <c r="L29">
        <v>125</v>
      </c>
      <c r="M29">
        <v>130</v>
      </c>
      <c r="N29">
        <v>125</v>
      </c>
      <c r="O29">
        <v>130</v>
      </c>
      <c r="P29">
        <v>27</v>
      </c>
      <c r="Q29">
        <v>130</v>
      </c>
    </row>
    <row r="30" spans="1:17" x14ac:dyDescent="0.3">
      <c r="A30">
        <v>28</v>
      </c>
      <c r="B30" s="1">
        <v>42297</v>
      </c>
      <c r="C30">
        <v>2015</v>
      </c>
      <c r="D30" t="s">
        <v>32</v>
      </c>
      <c r="E30">
        <v>29</v>
      </c>
      <c r="F30" t="s">
        <v>16</v>
      </c>
      <c r="G30" t="s">
        <v>17</v>
      </c>
      <c r="H30" t="s">
        <v>18</v>
      </c>
      <c r="I30" t="s">
        <v>19</v>
      </c>
      <c r="J30" t="s">
        <v>28</v>
      </c>
      <c r="K30">
        <v>1</v>
      </c>
      <c r="L30">
        <v>140</v>
      </c>
      <c r="M30">
        <v>143</v>
      </c>
      <c r="N30">
        <v>140</v>
      </c>
      <c r="O30">
        <v>143</v>
      </c>
      <c r="P30">
        <v>28</v>
      </c>
      <c r="Q30">
        <v>143</v>
      </c>
    </row>
    <row r="31" spans="1:17" x14ac:dyDescent="0.3">
      <c r="A31">
        <v>29</v>
      </c>
      <c r="B31" s="1">
        <v>42309</v>
      </c>
      <c r="C31">
        <v>2015</v>
      </c>
      <c r="D31" t="s">
        <v>33</v>
      </c>
      <c r="E31">
        <v>29</v>
      </c>
      <c r="F31" t="s">
        <v>16</v>
      </c>
      <c r="G31" t="s">
        <v>17</v>
      </c>
      <c r="H31" t="s">
        <v>18</v>
      </c>
      <c r="I31" t="s">
        <v>19</v>
      </c>
      <c r="J31" t="s">
        <v>20</v>
      </c>
      <c r="K31">
        <v>2</v>
      </c>
      <c r="L31">
        <v>192.5</v>
      </c>
      <c r="M31">
        <v>213.5</v>
      </c>
      <c r="N31">
        <v>385</v>
      </c>
      <c r="O31">
        <v>427</v>
      </c>
      <c r="P31">
        <v>29</v>
      </c>
      <c r="Q31">
        <v>427</v>
      </c>
    </row>
    <row r="32" spans="1:17" x14ac:dyDescent="0.3">
      <c r="A32">
        <v>30</v>
      </c>
      <c r="B32" s="1">
        <v>42309</v>
      </c>
      <c r="C32">
        <v>2015</v>
      </c>
      <c r="D32" t="s">
        <v>33</v>
      </c>
      <c r="E32">
        <v>29</v>
      </c>
      <c r="F32" t="s">
        <v>16</v>
      </c>
      <c r="G32" t="s">
        <v>17</v>
      </c>
      <c r="H32" t="s">
        <v>18</v>
      </c>
      <c r="I32" t="s">
        <v>19</v>
      </c>
      <c r="J32" t="s">
        <v>20</v>
      </c>
      <c r="K32">
        <v>3</v>
      </c>
      <c r="L32">
        <v>38.33</v>
      </c>
      <c r="M32">
        <v>43.333333000000003</v>
      </c>
      <c r="N32">
        <v>115</v>
      </c>
      <c r="O32">
        <v>130</v>
      </c>
      <c r="P32">
        <v>30</v>
      </c>
      <c r="Q32">
        <v>130</v>
      </c>
    </row>
    <row r="33" spans="1:17" x14ac:dyDescent="0.3">
      <c r="A33">
        <v>31</v>
      </c>
      <c r="B33" s="1">
        <v>42309</v>
      </c>
      <c r="C33">
        <v>2015</v>
      </c>
      <c r="D33" t="s">
        <v>33</v>
      </c>
      <c r="E33">
        <v>29</v>
      </c>
      <c r="F33" t="s">
        <v>16</v>
      </c>
      <c r="G33" t="s">
        <v>17</v>
      </c>
      <c r="H33" t="s">
        <v>18</v>
      </c>
      <c r="I33" t="s">
        <v>19</v>
      </c>
      <c r="J33" t="s">
        <v>28</v>
      </c>
      <c r="K33">
        <v>3</v>
      </c>
      <c r="L33">
        <v>151.66999999999999</v>
      </c>
      <c r="M33">
        <v>170</v>
      </c>
      <c r="N33">
        <v>455</v>
      </c>
      <c r="O33">
        <v>510</v>
      </c>
      <c r="P33">
        <v>31</v>
      </c>
      <c r="Q33">
        <v>510</v>
      </c>
    </row>
    <row r="34" spans="1:17" x14ac:dyDescent="0.3">
      <c r="A34">
        <v>32</v>
      </c>
      <c r="B34" s="1">
        <v>42323</v>
      </c>
      <c r="C34">
        <v>2015</v>
      </c>
      <c r="D34" t="s">
        <v>33</v>
      </c>
      <c r="E34">
        <v>29</v>
      </c>
      <c r="F34" t="s">
        <v>16</v>
      </c>
      <c r="G34" t="s">
        <v>17</v>
      </c>
      <c r="H34" t="s">
        <v>18</v>
      </c>
      <c r="I34" t="s">
        <v>19</v>
      </c>
      <c r="J34" t="s">
        <v>20</v>
      </c>
      <c r="K34">
        <v>1</v>
      </c>
      <c r="L34">
        <v>56</v>
      </c>
      <c r="M34">
        <v>65</v>
      </c>
      <c r="N34">
        <v>56</v>
      </c>
      <c r="O34">
        <v>65</v>
      </c>
      <c r="P34">
        <v>32</v>
      </c>
      <c r="Q34">
        <v>65</v>
      </c>
    </row>
    <row r="35" spans="1:17" x14ac:dyDescent="0.3">
      <c r="A35">
        <v>33</v>
      </c>
      <c r="B35" s="1">
        <v>42323</v>
      </c>
      <c r="C35">
        <v>2015</v>
      </c>
      <c r="D35" t="s">
        <v>33</v>
      </c>
      <c r="E35">
        <v>29</v>
      </c>
      <c r="F35" t="s">
        <v>16</v>
      </c>
      <c r="G35" t="s">
        <v>17</v>
      </c>
      <c r="H35" t="s">
        <v>18</v>
      </c>
      <c r="I35" t="s">
        <v>19</v>
      </c>
      <c r="J35" t="s">
        <v>20</v>
      </c>
      <c r="K35">
        <v>3</v>
      </c>
      <c r="L35">
        <v>108.67</v>
      </c>
      <c r="M35">
        <v>123.666667</v>
      </c>
      <c r="N35">
        <v>326</v>
      </c>
      <c r="O35">
        <v>371</v>
      </c>
      <c r="P35">
        <v>33</v>
      </c>
      <c r="Q35">
        <v>371</v>
      </c>
    </row>
    <row r="36" spans="1:17" x14ac:dyDescent="0.3">
      <c r="A36">
        <v>34</v>
      </c>
      <c r="B36" s="1">
        <v>42323</v>
      </c>
      <c r="C36">
        <v>2015</v>
      </c>
      <c r="D36" t="s">
        <v>33</v>
      </c>
      <c r="E36">
        <v>29</v>
      </c>
      <c r="F36" t="s">
        <v>16</v>
      </c>
      <c r="G36" t="s">
        <v>17</v>
      </c>
      <c r="H36" t="s">
        <v>18</v>
      </c>
      <c r="I36" t="s">
        <v>19</v>
      </c>
      <c r="J36" t="s">
        <v>20</v>
      </c>
      <c r="K36">
        <v>3</v>
      </c>
      <c r="L36">
        <v>14.67</v>
      </c>
      <c r="M36">
        <v>15</v>
      </c>
      <c r="N36">
        <v>44</v>
      </c>
      <c r="O36">
        <v>45</v>
      </c>
      <c r="P36">
        <v>34</v>
      </c>
      <c r="Q36">
        <v>45</v>
      </c>
    </row>
    <row r="37" spans="1:17" x14ac:dyDescent="0.3">
      <c r="A37">
        <v>35</v>
      </c>
      <c r="B37" s="1">
        <v>42353</v>
      </c>
      <c r="C37">
        <v>2015</v>
      </c>
      <c r="D37" t="s">
        <v>34</v>
      </c>
      <c r="E37">
        <v>29</v>
      </c>
      <c r="F37" t="s">
        <v>16</v>
      </c>
      <c r="G37" t="s">
        <v>17</v>
      </c>
      <c r="H37" t="s">
        <v>18</v>
      </c>
      <c r="I37" t="s">
        <v>19</v>
      </c>
      <c r="J37" t="s">
        <v>28</v>
      </c>
      <c r="K37">
        <v>2</v>
      </c>
      <c r="L37">
        <v>280</v>
      </c>
      <c r="M37">
        <v>269</v>
      </c>
      <c r="N37">
        <v>560</v>
      </c>
      <c r="O37">
        <v>538</v>
      </c>
      <c r="P37">
        <v>35</v>
      </c>
      <c r="Q37">
        <v>538</v>
      </c>
    </row>
    <row r="38" spans="1:17" x14ac:dyDescent="0.3">
      <c r="A38">
        <v>36</v>
      </c>
      <c r="B38" s="1">
        <v>42354</v>
      </c>
      <c r="C38">
        <v>2015</v>
      </c>
      <c r="D38" t="s">
        <v>34</v>
      </c>
      <c r="E38">
        <v>29</v>
      </c>
      <c r="F38" t="s">
        <v>16</v>
      </c>
      <c r="G38" t="s">
        <v>17</v>
      </c>
      <c r="H38" t="s">
        <v>18</v>
      </c>
      <c r="I38" t="s">
        <v>19</v>
      </c>
      <c r="J38" t="s">
        <v>20</v>
      </c>
      <c r="K38">
        <v>2</v>
      </c>
      <c r="L38">
        <v>293.5</v>
      </c>
      <c r="M38">
        <v>320.5</v>
      </c>
      <c r="N38">
        <v>587</v>
      </c>
      <c r="O38">
        <v>641</v>
      </c>
      <c r="P38">
        <v>36</v>
      </c>
      <c r="Q38">
        <v>641</v>
      </c>
    </row>
    <row r="39" spans="1:17" x14ac:dyDescent="0.3">
      <c r="A39">
        <v>37</v>
      </c>
      <c r="B39" s="1">
        <v>42354</v>
      </c>
      <c r="C39">
        <v>2015</v>
      </c>
      <c r="D39" t="s">
        <v>34</v>
      </c>
      <c r="E39">
        <v>29</v>
      </c>
      <c r="F39" t="s">
        <v>16</v>
      </c>
      <c r="G39" t="s">
        <v>17</v>
      </c>
      <c r="H39" t="s">
        <v>18</v>
      </c>
      <c r="I39" t="s">
        <v>19</v>
      </c>
      <c r="J39" t="s">
        <v>20</v>
      </c>
      <c r="K39">
        <v>2</v>
      </c>
      <c r="L39">
        <v>2</v>
      </c>
      <c r="M39">
        <v>2</v>
      </c>
      <c r="N39">
        <v>4</v>
      </c>
      <c r="O39">
        <v>4</v>
      </c>
      <c r="P39">
        <v>37</v>
      </c>
      <c r="Q39">
        <v>4</v>
      </c>
    </row>
    <row r="40" spans="1:17" x14ac:dyDescent="0.3">
      <c r="A40">
        <v>38</v>
      </c>
      <c r="B40" s="1">
        <v>42354</v>
      </c>
      <c r="C40">
        <v>2015</v>
      </c>
      <c r="D40" t="s">
        <v>34</v>
      </c>
      <c r="E40">
        <v>29</v>
      </c>
      <c r="F40" t="s">
        <v>16</v>
      </c>
      <c r="G40" t="s">
        <v>17</v>
      </c>
      <c r="H40" t="s">
        <v>18</v>
      </c>
      <c r="I40" t="s">
        <v>19</v>
      </c>
      <c r="J40" t="s">
        <v>28</v>
      </c>
      <c r="K40">
        <v>1</v>
      </c>
      <c r="L40">
        <v>420</v>
      </c>
      <c r="M40">
        <v>472</v>
      </c>
      <c r="N40">
        <v>420</v>
      </c>
      <c r="O40">
        <v>472</v>
      </c>
      <c r="P40">
        <v>38</v>
      </c>
      <c r="Q40">
        <v>472</v>
      </c>
    </row>
    <row r="41" spans="1:17" x14ac:dyDescent="0.3">
      <c r="A41">
        <v>39</v>
      </c>
      <c r="B41" s="1">
        <v>42358</v>
      </c>
      <c r="C41">
        <v>2015</v>
      </c>
      <c r="D41" t="s">
        <v>34</v>
      </c>
      <c r="E41">
        <v>29</v>
      </c>
      <c r="F41" t="s">
        <v>16</v>
      </c>
      <c r="G41" t="s">
        <v>17</v>
      </c>
      <c r="H41" t="s">
        <v>18</v>
      </c>
      <c r="I41" t="s">
        <v>19</v>
      </c>
      <c r="J41" t="s">
        <v>20</v>
      </c>
      <c r="K41">
        <v>2</v>
      </c>
      <c r="L41">
        <v>275.5</v>
      </c>
      <c r="M41">
        <v>303</v>
      </c>
      <c r="N41">
        <v>551</v>
      </c>
      <c r="O41">
        <v>606</v>
      </c>
      <c r="P41">
        <v>39</v>
      </c>
      <c r="Q41">
        <v>606</v>
      </c>
    </row>
    <row r="42" spans="1:17" x14ac:dyDescent="0.3">
      <c r="A42">
        <v>40</v>
      </c>
      <c r="B42" s="1">
        <v>42358</v>
      </c>
      <c r="C42">
        <v>2015</v>
      </c>
      <c r="D42" t="s">
        <v>34</v>
      </c>
      <c r="E42">
        <v>29</v>
      </c>
      <c r="F42" t="s">
        <v>16</v>
      </c>
      <c r="G42" t="s">
        <v>17</v>
      </c>
      <c r="H42" t="s">
        <v>18</v>
      </c>
      <c r="I42" t="s">
        <v>19</v>
      </c>
      <c r="J42" t="s">
        <v>20</v>
      </c>
      <c r="K42">
        <v>1</v>
      </c>
      <c r="L42">
        <v>120</v>
      </c>
      <c r="M42">
        <v>120</v>
      </c>
      <c r="N42">
        <v>120</v>
      </c>
      <c r="O42">
        <v>120</v>
      </c>
      <c r="P42">
        <v>40</v>
      </c>
      <c r="Q42">
        <v>120</v>
      </c>
    </row>
    <row r="43" spans="1:17" x14ac:dyDescent="0.3">
      <c r="A43">
        <v>41</v>
      </c>
      <c r="B43" s="1">
        <v>42358</v>
      </c>
      <c r="C43">
        <v>2015</v>
      </c>
      <c r="D43" t="s">
        <v>34</v>
      </c>
      <c r="E43">
        <v>29</v>
      </c>
      <c r="F43" t="s">
        <v>16</v>
      </c>
      <c r="G43" t="s">
        <v>17</v>
      </c>
      <c r="H43" t="s">
        <v>18</v>
      </c>
      <c r="I43" t="s">
        <v>19</v>
      </c>
      <c r="J43" t="s">
        <v>28</v>
      </c>
      <c r="K43">
        <v>1</v>
      </c>
      <c r="L43">
        <v>630</v>
      </c>
      <c r="M43">
        <v>624</v>
      </c>
      <c r="N43">
        <v>630</v>
      </c>
      <c r="O43">
        <v>624</v>
      </c>
      <c r="P43">
        <v>41</v>
      </c>
      <c r="Q43">
        <v>624</v>
      </c>
    </row>
    <row r="44" spans="1:17" x14ac:dyDescent="0.3">
      <c r="A44">
        <v>42</v>
      </c>
      <c r="B44" s="1">
        <v>42363</v>
      </c>
      <c r="C44">
        <v>2015</v>
      </c>
      <c r="D44" t="s">
        <v>34</v>
      </c>
      <c r="E44">
        <v>29</v>
      </c>
      <c r="F44" t="s">
        <v>16</v>
      </c>
      <c r="G44" t="s">
        <v>17</v>
      </c>
      <c r="H44" t="s">
        <v>18</v>
      </c>
      <c r="I44" t="s">
        <v>19</v>
      </c>
      <c r="J44" t="s">
        <v>20</v>
      </c>
      <c r="K44">
        <v>2</v>
      </c>
      <c r="L44">
        <v>32.5</v>
      </c>
      <c r="M44">
        <v>36</v>
      </c>
      <c r="N44">
        <v>65</v>
      </c>
      <c r="O44">
        <v>72</v>
      </c>
      <c r="P44">
        <v>42</v>
      </c>
      <c r="Q44">
        <v>72</v>
      </c>
    </row>
    <row r="45" spans="1:17" x14ac:dyDescent="0.3">
      <c r="A45">
        <v>43</v>
      </c>
      <c r="B45" s="1">
        <v>42363</v>
      </c>
      <c r="C45">
        <v>2015</v>
      </c>
      <c r="D45" t="s">
        <v>34</v>
      </c>
      <c r="E45">
        <v>29</v>
      </c>
      <c r="F45" t="s">
        <v>16</v>
      </c>
      <c r="G45" t="s">
        <v>17</v>
      </c>
      <c r="H45" t="s">
        <v>18</v>
      </c>
      <c r="I45" t="s">
        <v>19</v>
      </c>
      <c r="J45" t="s">
        <v>20</v>
      </c>
      <c r="K45">
        <v>3</v>
      </c>
      <c r="L45">
        <v>338.33</v>
      </c>
      <c r="M45">
        <v>389.33333299999998</v>
      </c>
      <c r="N45">
        <v>1015</v>
      </c>
      <c r="O45">
        <v>1168</v>
      </c>
      <c r="P45">
        <v>43</v>
      </c>
      <c r="Q45">
        <v>1168</v>
      </c>
    </row>
    <row r="46" spans="1:17" x14ac:dyDescent="0.3">
      <c r="A46">
        <v>44</v>
      </c>
      <c r="B46" s="1">
        <v>42363</v>
      </c>
      <c r="C46">
        <v>2015</v>
      </c>
      <c r="D46" t="s">
        <v>34</v>
      </c>
      <c r="E46">
        <v>29</v>
      </c>
      <c r="F46" t="s">
        <v>16</v>
      </c>
      <c r="G46" t="s">
        <v>17</v>
      </c>
      <c r="H46" t="s">
        <v>18</v>
      </c>
      <c r="I46" t="s">
        <v>19</v>
      </c>
      <c r="J46" t="s">
        <v>20</v>
      </c>
      <c r="K46">
        <v>3</v>
      </c>
      <c r="L46">
        <v>10.67</v>
      </c>
      <c r="M46">
        <v>11</v>
      </c>
      <c r="N46">
        <v>32</v>
      </c>
      <c r="O46">
        <v>33</v>
      </c>
      <c r="P46">
        <v>44</v>
      </c>
      <c r="Q46">
        <v>33</v>
      </c>
    </row>
    <row r="47" spans="1:17" x14ac:dyDescent="0.3">
      <c r="A47">
        <v>45</v>
      </c>
      <c r="B47" s="1">
        <v>42367</v>
      </c>
      <c r="C47">
        <v>2015</v>
      </c>
      <c r="D47" t="s">
        <v>34</v>
      </c>
      <c r="E47">
        <v>29</v>
      </c>
      <c r="F47" t="s">
        <v>16</v>
      </c>
      <c r="G47" t="s">
        <v>17</v>
      </c>
      <c r="H47" t="s">
        <v>18</v>
      </c>
      <c r="I47" t="s">
        <v>19</v>
      </c>
      <c r="J47" t="s">
        <v>20</v>
      </c>
      <c r="K47">
        <v>3</v>
      </c>
      <c r="L47">
        <v>36.67</v>
      </c>
      <c r="M47">
        <v>41.666666999999997</v>
      </c>
      <c r="N47">
        <v>110</v>
      </c>
      <c r="O47">
        <v>125</v>
      </c>
      <c r="P47">
        <v>45</v>
      </c>
      <c r="Q47">
        <v>125</v>
      </c>
    </row>
    <row r="48" spans="1:17" x14ac:dyDescent="0.3">
      <c r="A48">
        <v>46</v>
      </c>
      <c r="B48" s="1">
        <v>42367</v>
      </c>
      <c r="C48">
        <v>2015</v>
      </c>
      <c r="D48" t="s">
        <v>34</v>
      </c>
      <c r="E48">
        <v>29</v>
      </c>
      <c r="F48" t="s">
        <v>16</v>
      </c>
      <c r="G48" t="s">
        <v>17</v>
      </c>
      <c r="H48" t="s">
        <v>18</v>
      </c>
      <c r="I48" t="s">
        <v>19</v>
      </c>
      <c r="J48" t="s">
        <v>28</v>
      </c>
      <c r="K48">
        <v>2</v>
      </c>
      <c r="L48">
        <v>245</v>
      </c>
      <c r="M48">
        <v>249.5</v>
      </c>
      <c r="N48">
        <v>490</v>
      </c>
      <c r="O48">
        <v>499</v>
      </c>
      <c r="P48">
        <v>46</v>
      </c>
      <c r="Q48">
        <v>499</v>
      </c>
    </row>
    <row r="49" spans="1:17" x14ac:dyDescent="0.3">
      <c r="A49">
        <v>47</v>
      </c>
      <c r="B49" s="1">
        <v>42207</v>
      </c>
      <c r="C49">
        <v>2015</v>
      </c>
      <c r="D49" t="s">
        <v>29</v>
      </c>
      <c r="E49">
        <v>18</v>
      </c>
      <c r="F49" t="s">
        <v>16</v>
      </c>
      <c r="G49" t="s">
        <v>17</v>
      </c>
      <c r="H49" t="s">
        <v>35</v>
      </c>
      <c r="I49" t="s">
        <v>19</v>
      </c>
      <c r="J49" t="s">
        <v>36</v>
      </c>
      <c r="K49">
        <v>1</v>
      </c>
      <c r="L49">
        <v>636</v>
      </c>
      <c r="M49">
        <v>677</v>
      </c>
      <c r="N49">
        <v>636</v>
      </c>
      <c r="O49">
        <v>677</v>
      </c>
      <c r="P49">
        <v>47</v>
      </c>
      <c r="Q49">
        <v>677</v>
      </c>
    </row>
    <row r="50" spans="1:17" x14ac:dyDescent="0.3">
      <c r="A50">
        <v>48</v>
      </c>
      <c r="B50" s="1">
        <v>42287</v>
      </c>
      <c r="C50">
        <v>2015</v>
      </c>
      <c r="D50" t="s">
        <v>32</v>
      </c>
      <c r="E50">
        <v>18</v>
      </c>
      <c r="F50" t="s">
        <v>16</v>
      </c>
      <c r="G50" t="s">
        <v>17</v>
      </c>
      <c r="H50" t="s">
        <v>35</v>
      </c>
      <c r="I50" t="s">
        <v>19</v>
      </c>
      <c r="J50" t="s">
        <v>36</v>
      </c>
      <c r="K50">
        <v>3</v>
      </c>
      <c r="L50">
        <v>159</v>
      </c>
      <c r="M50">
        <v>170.66666699999999</v>
      </c>
      <c r="N50">
        <v>477</v>
      </c>
      <c r="O50">
        <v>512</v>
      </c>
      <c r="P50">
        <v>48</v>
      </c>
      <c r="Q50">
        <v>512</v>
      </c>
    </row>
    <row r="51" spans="1:17" x14ac:dyDescent="0.3">
      <c r="A51">
        <v>49</v>
      </c>
      <c r="B51" s="1">
        <v>42532</v>
      </c>
      <c r="C51">
        <v>2016</v>
      </c>
      <c r="D51" t="s">
        <v>27</v>
      </c>
      <c r="E51">
        <v>18</v>
      </c>
      <c r="F51" t="s">
        <v>37</v>
      </c>
      <c r="G51" t="s">
        <v>17</v>
      </c>
      <c r="H51" t="s">
        <v>35</v>
      </c>
      <c r="I51" t="s">
        <v>38</v>
      </c>
      <c r="J51" t="s">
        <v>39</v>
      </c>
      <c r="K51">
        <v>1</v>
      </c>
      <c r="L51">
        <v>769</v>
      </c>
      <c r="M51">
        <v>875</v>
      </c>
      <c r="N51">
        <v>769</v>
      </c>
      <c r="O51">
        <v>875</v>
      </c>
      <c r="P51">
        <v>49</v>
      </c>
      <c r="Q51">
        <v>875</v>
      </c>
    </row>
    <row r="52" spans="1:17" x14ac:dyDescent="0.3">
      <c r="A52">
        <v>50</v>
      </c>
      <c r="B52" s="1">
        <v>42229</v>
      </c>
      <c r="C52">
        <v>2015</v>
      </c>
      <c r="D52" t="s">
        <v>30</v>
      </c>
      <c r="E52">
        <v>18</v>
      </c>
      <c r="F52" t="s">
        <v>37</v>
      </c>
      <c r="G52" t="s">
        <v>17</v>
      </c>
      <c r="H52" t="s">
        <v>35</v>
      </c>
      <c r="I52" t="s">
        <v>38</v>
      </c>
      <c r="J52" t="s">
        <v>39</v>
      </c>
      <c r="K52">
        <v>1</v>
      </c>
      <c r="L52">
        <v>2295</v>
      </c>
      <c r="M52">
        <v>2242</v>
      </c>
      <c r="N52">
        <v>2295</v>
      </c>
      <c r="O52">
        <v>2242</v>
      </c>
      <c r="P52">
        <v>50</v>
      </c>
      <c r="Q52">
        <v>2242</v>
      </c>
    </row>
    <row r="53" spans="1:17" x14ac:dyDescent="0.3">
      <c r="A53">
        <v>51</v>
      </c>
      <c r="B53" s="1">
        <v>42257</v>
      </c>
      <c r="C53">
        <v>2015</v>
      </c>
      <c r="D53" t="s">
        <v>31</v>
      </c>
      <c r="E53">
        <v>18</v>
      </c>
      <c r="F53" t="s">
        <v>37</v>
      </c>
      <c r="G53" t="s">
        <v>17</v>
      </c>
      <c r="H53" t="s">
        <v>35</v>
      </c>
      <c r="I53" t="s">
        <v>38</v>
      </c>
      <c r="J53" t="s">
        <v>39</v>
      </c>
      <c r="K53">
        <v>1</v>
      </c>
      <c r="L53">
        <v>769</v>
      </c>
      <c r="M53">
        <v>776</v>
      </c>
      <c r="N53">
        <v>769</v>
      </c>
      <c r="O53">
        <v>776</v>
      </c>
      <c r="P53">
        <v>51</v>
      </c>
      <c r="Q53">
        <v>776</v>
      </c>
    </row>
    <row r="54" spans="1:17" x14ac:dyDescent="0.3">
      <c r="A54">
        <v>52</v>
      </c>
      <c r="B54" s="1">
        <v>42297</v>
      </c>
      <c r="C54">
        <v>2015</v>
      </c>
      <c r="D54" t="s">
        <v>32</v>
      </c>
      <c r="E54">
        <v>18</v>
      </c>
      <c r="F54" t="s">
        <v>37</v>
      </c>
      <c r="G54" t="s">
        <v>17</v>
      </c>
      <c r="H54" t="s">
        <v>35</v>
      </c>
      <c r="I54" t="s">
        <v>38</v>
      </c>
      <c r="J54" t="s">
        <v>39</v>
      </c>
      <c r="K54">
        <v>2</v>
      </c>
      <c r="L54">
        <v>1160</v>
      </c>
      <c r="M54">
        <v>1005</v>
      </c>
      <c r="N54">
        <v>2320</v>
      </c>
      <c r="O54">
        <v>2010</v>
      </c>
      <c r="P54">
        <v>52</v>
      </c>
      <c r="Q54">
        <v>2010</v>
      </c>
    </row>
    <row r="55" spans="1:17" x14ac:dyDescent="0.3">
      <c r="A55">
        <v>53</v>
      </c>
      <c r="B55" s="1">
        <v>42359</v>
      </c>
      <c r="C55">
        <v>2015</v>
      </c>
      <c r="D55" t="s">
        <v>34</v>
      </c>
      <c r="E55">
        <v>18</v>
      </c>
      <c r="F55" t="s">
        <v>37</v>
      </c>
      <c r="G55" t="s">
        <v>17</v>
      </c>
      <c r="H55" t="s">
        <v>35</v>
      </c>
      <c r="I55" t="s">
        <v>38</v>
      </c>
      <c r="J55" t="s">
        <v>39</v>
      </c>
      <c r="K55">
        <v>1</v>
      </c>
      <c r="L55">
        <v>2295</v>
      </c>
      <c r="M55">
        <v>2303</v>
      </c>
      <c r="N55">
        <v>2295</v>
      </c>
      <c r="O55">
        <v>2303</v>
      </c>
      <c r="P55">
        <v>53</v>
      </c>
      <c r="Q55">
        <v>2303</v>
      </c>
    </row>
    <row r="56" spans="1:17" x14ac:dyDescent="0.3">
      <c r="A56">
        <v>54</v>
      </c>
      <c r="B56" s="1">
        <v>42212</v>
      </c>
      <c r="C56">
        <v>2015</v>
      </c>
      <c r="D56" t="s">
        <v>29</v>
      </c>
      <c r="E56">
        <v>19</v>
      </c>
      <c r="F56" t="s">
        <v>16</v>
      </c>
      <c r="G56" t="s">
        <v>17</v>
      </c>
      <c r="H56" t="s">
        <v>40</v>
      </c>
      <c r="I56" t="s">
        <v>19</v>
      </c>
      <c r="J56" t="s">
        <v>41</v>
      </c>
      <c r="K56">
        <v>2</v>
      </c>
      <c r="L56">
        <v>797.5</v>
      </c>
      <c r="M56">
        <v>813</v>
      </c>
      <c r="N56">
        <v>1595</v>
      </c>
      <c r="O56">
        <v>1626</v>
      </c>
      <c r="P56">
        <v>54</v>
      </c>
      <c r="Q56">
        <v>1626</v>
      </c>
    </row>
    <row r="57" spans="1:17" x14ac:dyDescent="0.3">
      <c r="A57">
        <v>55</v>
      </c>
      <c r="B57" s="1">
        <v>42407</v>
      </c>
      <c r="C57">
        <v>2016</v>
      </c>
      <c r="D57" t="s">
        <v>15</v>
      </c>
      <c r="E57">
        <v>19</v>
      </c>
      <c r="F57" t="s">
        <v>37</v>
      </c>
      <c r="G57" t="s">
        <v>17</v>
      </c>
      <c r="H57" t="s">
        <v>18</v>
      </c>
      <c r="I57" t="s">
        <v>38</v>
      </c>
      <c r="J57" t="s">
        <v>39</v>
      </c>
      <c r="K57">
        <v>3</v>
      </c>
      <c r="L57">
        <v>180</v>
      </c>
      <c r="M57">
        <v>188.33333300000001</v>
      </c>
      <c r="N57">
        <v>540</v>
      </c>
      <c r="O57">
        <v>565</v>
      </c>
      <c r="P57">
        <v>55</v>
      </c>
      <c r="Q57">
        <v>565</v>
      </c>
    </row>
    <row r="58" spans="1:17" x14ac:dyDescent="0.3">
      <c r="A58">
        <v>56</v>
      </c>
      <c r="B58" s="1">
        <v>42209</v>
      </c>
      <c r="C58">
        <v>2015</v>
      </c>
      <c r="D58" t="s">
        <v>29</v>
      </c>
      <c r="E58">
        <v>19</v>
      </c>
      <c r="F58" t="s">
        <v>37</v>
      </c>
      <c r="G58" t="s">
        <v>17</v>
      </c>
      <c r="H58" t="s">
        <v>18</v>
      </c>
      <c r="I58" t="s">
        <v>38</v>
      </c>
      <c r="J58" t="s">
        <v>39</v>
      </c>
      <c r="K58">
        <v>1</v>
      </c>
      <c r="L58">
        <v>2320</v>
      </c>
      <c r="M58">
        <v>2160</v>
      </c>
      <c r="N58">
        <v>2320</v>
      </c>
      <c r="O58">
        <v>2160</v>
      </c>
      <c r="P58">
        <v>56</v>
      </c>
      <c r="Q58">
        <v>2160</v>
      </c>
    </row>
    <row r="59" spans="1:17" x14ac:dyDescent="0.3">
      <c r="A59">
        <v>57</v>
      </c>
      <c r="B59" s="1">
        <v>42449</v>
      </c>
      <c r="C59">
        <v>2016</v>
      </c>
      <c r="D59" t="s">
        <v>25</v>
      </c>
      <c r="E59">
        <v>19</v>
      </c>
      <c r="F59" t="s">
        <v>37</v>
      </c>
      <c r="G59" t="s">
        <v>17</v>
      </c>
      <c r="H59" t="s">
        <v>35</v>
      </c>
      <c r="I59" t="s">
        <v>23</v>
      </c>
      <c r="J59" t="s">
        <v>42</v>
      </c>
      <c r="K59">
        <v>3</v>
      </c>
      <c r="L59">
        <v>100</v>
      </c>
      <c r="M59">
        <v>117.666667</v>
      </c>
      <c r="N59">
        <v>300</v>
      </c>
      <c r="O59">
        <v>353</v>
      </c>
      <c r="P59">
        <v>57</v>
      </c>
      <c r="Q59">
        <v>353</v>
      </c>
    </row>
    <row r="60" spans="1:17" x14ac:dyDescent="0.3">
      <c r="A60">
        <v>58</v>
      </c>
      <c r="B60" s="1">
        <v>42450</v>
      </c>
      <c r="C60">
        <v>2016</v>
      </c>
      <c r="D60" t="s">
        <v>25</v>
      </c>
      <c r="E60">
        <v>19</v>
      </c>
      <c r="F60" t="s">
        <v>37</v>
      </c>
      <c r="G60" t="s">
        <v>17</v>
      </c>
      <c r="H60" t="s">
        <v>35</v>
      </c>
      <c r="I60" t="s">
        <v>23</v>
      </c>
      <c r="J60" t="s">
        <v>42</v>
      </c>
      <c r="K60">
        <v>1</v>
      </c>
      <c r="L60">
        <v>750</v>
      </c>
      <c r="M60">
        <v>985</v>
      </c>
      <c r="N60">
        <v>750</v>
      </c>
      <c r="O60">
        <v>985</v>
      </c>
      <c r="P60">
        <v>58</v>
      </c>
      <c r="Q60">
        <v>985</v>
      </c>
    </row>
    <row r="61" spans="1:17" x14ac:dyDescent="0.3">
      <c r="A61">
        <v>59</v>
      </c>
      <c r="B61" s="1">
        <v>42496</v>
      </c>
      <c r="C61">
        <v>2016</v>
      </c>
      <c r="D61" t="s">
        <v>43</v>
      </c>
      <c r="E61">
        <v>19</v>
      </c>
      <c r="F61" t="s">
        <v>37</v>
      </c>
      <c r="G61" t="s">
        <v>17</v>
      </c>
      <c r="H61" t="s">
        <v>35</v>
      </c>
      <c r="I61" t="s">
        <v>23</v>
      </c>
      <c r="J61" t="s">
        <v>42</v>
      </c>
      <c r="K61">
        <v>3</v>
      </c>
      <c r="L61">
        <v>133.33000000000001</v>
      </c>
      <c r="M61">
        <v>164.33333300000001</v>
      </c>
      <c r="N61">
        <v>400</v>
      </c>
      <c r="O61">
        <v>493</v>
      </c>
      <c r="P61">
        <v>59</v>
      </c>
      <c r="Q61">
        <v>493</v>
      </c>
    </row>
    <row r="62" spans="1:17" x14ac:dyDescent="0.3">
      <c r="A62">
        <v>60</v>
      </c>
      <c r="B62" s="1">
        <v>42527</v>
      </c>
      <c r="C62">
        <v>2016</v>
      </c>
      <c r="D62" t="s">
        <v>27</v>
      </c>
      <c r="E62">
        <v>19</v>
      </c>
      <c r="F62" t="s">
        <v>37</v>
      </c>
      <c r="G62" t="s">
        <v>17</v>
      </c>
      <c r="H62" t="s">
        <v>35</v>
      </c>
      <c r="I62" t="s">
        <v>19</v>
      </c>
      <c r="J62" t="s">
        <v>44</v>
      </c>
      <c r="K62">
        <v>3</v>
      </c>
      <c r="L62">
        <v>88</v>
      </c>
      <c r="M62">
        <v>95.333332999999996</v>
      </c>
      <c r="N62">
        <v>264</v>
      </c>
      <c r="O62">
        <v>286</v>
      </c>
      <c r="P62">
        <v>60</v>
      </c>
      <c r="Q62">
        <v>286</v>
      </c>
    </row>
    <row r="63" spans="1:17" x14ac:dyDescent="0.3">
      <c r="A63">
        <v>61</v>
      </c>
      <c r="B63" s="1">
        <v>42530</v>
      </c>
      <c r="C63">
        <v>2016</v>
      </c>
      <c r="D63" t="s">
        <v>27</v>
      </c>
      <c r="E63">
        <v>19</v>
      </c>
      <c r="F63" t="s">
        <v>37</v>
      </c>
      <c r="G63" t="s">
        <v>17</v>
      </c>
      <c r="H63" t="s">
        <v>35</v>
      </c>
      <c r="I63" t="s">
        <v>23</v>
      </c>
      <c r="J63" t="s">
        <v>42</v>
      </c>
      <c r="K63">
        <v>2</v>
      </c>
      <c r="L63">
        <v>300</v>
      </c>
      <c r="M63">
        <v>384</v>
      </c>
      <c r="N63">
        <v>600</v>
      </c>
      <c r="O63">
        <v>768</v>
      </c>
      <c r="P63">
        <v>61</v>
      </c>
      <c r="Q63">
        <v>768</v>
      </c>
    </row>
    <row r="64" spans="1:17" x14ac:dyDescent="0.3">
      <c r="A64">
        <v>62</v>
      </c>
      <c r="B64" s="1">
        <v>42236</v>
      </c>
      <c r="C64">
        <v>2015</v>
      </c>
      <c r="D64" t="s">
        <v>30</v>
      </c>
      <c r="E64">
        <v>19</v>
      </c>
      <c r="F64" t="s">
        <v>37</v>
      </c>
      <c r="G64" t="s">
        <v>17</v>
      </c>
      <c r="H64" t="s">
        <v>35</v>
      </c>
      <c r="I64" t="s">
        <v>23</v>
      </c>
      <c r="J64" t="s">
        <v>42</v>
      </c>
      <c r="K64">
        <v>3</v>
      </c>
      <c r="L64">
        <v>133.33000000000001</v>
      </c>
      <c r="M64">
        <v>161</v>
      </c>
      <c r="N64">
        <v>400</v>
      </c>
      <c r="O64">
        <v>483</v>
      </c>
      <c r="P64">
        <v>62</v>
      </c>
      <c r="Q64">
        <v>483</v>
      </c>
    </row>
    <row r="65" spans="1:17" x14ac:dyDescent="0.3">
      <c r="A65">
        <v>63</v>
      </c>
      <c r="B65" s="1">
        <v>42237</v>
      </c>
      <c r="C65">
        <v>2015</v>
      </c>
      <c r="D65" t="s">
        <v>30</v>
      </c>
      <c r="E65">
        <v>19</v>
      </c>
      <c r="F65" t="s">
        <v>37</v>
      </c>
      <c r="G65" t="s">
        <v>17</v>
      </c>
      <c r="H65" t="s">
        <v>35</v>
      </c>
      <c r="I65" t="s">
        <v>23</v>
      </c>
      <c r="J65" t="s">
        <v>42</v>
      </c>
      <c r="K65">
        <v>2</v>
      </c>
      <c r="L65">
        <v>594</v>
      </c>
      <c r="M65">
        <v>569.5</v>
      </c>
      <c r="N65">
        <v>1188</v>
      </c>
      <c r="O65">
        <v>1139</v>
      </c>
      <c r="P65">
        <v>63</v>
      </c>
      <c r="Q65">
        <v>1139</v>
      </c>
    </row>
    <row r="66" spans="1:17" x14ac:dyDescent="0.3">
      <c r="A66">
        <v>64</v>
      </c>
      <c r="B66" s="1">
        <v>42274</v>
      </c>
      <c r="C66">
        <v>2015</v>
      </c>
      <c r="D66" t="s">
        <v>31</v>
      </c>
      <c r="E66">
        <v>19</v>
      </c>
      <c r="F66" t="s">
        <v>37</v>
      </c>
      <c r="G66" t="s">
        <v>17</v>
      </c>
      <c r="H66" t="s">
        <v>35</v>
      </c>
      <c r="I66" t="s">
        <v>23</v>
      </c>
      <c r="J66" t="s">
        <v>42</v>
      </c>
      <c r="K66">
        <v>2</v>
      </c>
      <c r="L66">
        <v>75</v>
      </c>
      <c r="M66">
        <v>79.5</v>
      </c>
      <c r="N66">
        <v>150</v>
      </c>
      <c r="O66">
        <v>159</v>
      </c>
      <c r="P66">
        <v>64</v>
      </c>
      <c r="Q66">
        <v>159</v>
      </c>
    </row>
    <row r="67" spans="1:17" x14ac:dyDescent="0.3">
      <c r="A67">
        <v>65</v>
      </c>
      <c r="B67" s="1">
        <v>42396</v>
      </c>
      <c r="C67">
        <v>2016</v>
      </c>
      <c r="D67" t="s">
        <v>45</v>
      </c>
      <c r="E67">
        <v>19</v>
      </c>
      <c r="F67" t="s">
        <v>37</v>
      </c>
      <c r="G67" t="s">
        <v>17</v>
      </c>
      <c r="H67" t="s">
        <v>35</v>
      </c>
      <c r="I67" t="s">
        <v>19</v>
      </c>
      <c r="J67" t="s">
        <v>46</v>
      </c>
      <c r="K67">
        <v>2</v>
      </c>
      <c r="L67">
        <v>99.5</v>
      </c>
      <c r="M67">
        <v>126</v>
      </c>
      <c r="N67">
        <v>199</v>
      </c>
      <c r="O67">
        <v>252</v>
      </c>
      <c r="P67">
        <v>65</v>
      </c>
      <c r="Q67">
        <v>252</v>
      </c>
    </row>
    <row r="68" spans="1:17" x14ac:dyDescent="0.3">
      <c r="A68">
        <v>66</v>
      </c>
      <c r="B68" s="1">
        <v>42394</v>
      </c>
      <c r="C68">
        <v>2016</v>
      </c>
      <c r="D68" t="s">
        <v>45</v>
      </c>
      <c r="E68">
        <v>19</v>
      </c>
      <c r="F68" t="s">
        <v>16</v>
      </c>
      <c r="G68" t="s">
        <v>17</v>
      </c>
      <c r="H68" t="s">
        <v>35</v>
      </c>
      <c r="I68" t="s">
        <v>19</v>
      </c>
      <c r="J68" t="s">
        <v>28</v>
      </c>
      <c r="K68">
        <v>3</v>
      </c>
      <c r="L68">
        <v>46.67</v>
      </c>
      <c r="M68">
        <v>51.666666999999997</v>
      </c>
      <c r="N68">
        <v>140</v>
      </c>
      <c r="O68">
        <v>155</v>
      </c>
      <c r="P68">
        <v>66</v>
      </c>
      <c r="Q68">
        <v>155</v>
      </c>
    </row>
    <row r="69" spans="1:17" x14ac:dyDescent="0.3">
      <c r="A69">
        <v>67</v>
      </c>
      <c r="B69" s="1">
        <v>42395</v>
      </c>
      <c r="C69">
        <v>2016</v>
      </c>
      <c r="D69" t="s">
        <v>45</v>
      </c>
      <c r="E69">
        <v>19</v>
      </c>
      <c r="F69" t="s">
        <v>16</v>
      </c>
      <c r="G69" t="s">
        <v>17</v>
      </c>
      <c r="H69" t="s">
        <v>35</v>
      </c>
      <c r="I69" t="s">
        <v>19</v>
      </c>
      <c r="J69" t="s">
        <v>28</v>
      </c>
      <c r="K69">
        <v>1</v>
      </c>
      <c r="L69">
        <v>175</v>
      </c>
      <c r="M69">
        <v>218</v>
      </c>
      <c r="N69">
        <v>175</v>
      </c>
      <c r="O69">
        <v>218</v>
      </c>
      <c r="P69">
        <v>67</v>
      </c>
      <c r="Q69">
        <v>218</v>
      </c>
    </row>
    <row r="70" spans="1:17" x14ac:dyDescent="0.3">
      <c r="A70">
        <v>68</v>
      </c>
      <c r="B70" s="1">
        <v>42510</v>
      </c>
      <c r="C70">
        <v>2016</v>
      </c>
      <c r="D70" t="s">
        <v>43</v>
      </c>
      <c r="E70">
        <v>19</v>
      </c>
      <c r="F70" t="s">
        <v>16</v>
      </c>
      <c r="G70" t="s">
        <v>17</v>
      </c>
      <c r="H70" t="s">
        <v>35</v>
      </c>
      <c r="I70" t="s">
        <v>19</v>
      </c>
      <c r="J70" t="s">
        <v>28</v>
      </c>
      <c r="K70">
        <v>2</v>
      </c>
      <c r="L70">
        <v>52.5</v>
      </c>
      <c r="M70">
        <v>60</v>
      </c>
      <c r="N70">
        <v>105</v>
      </c>
      <c r="O70">
        <v>120</v>
      </c>
      <c r="P70">
        <v>68</v>
      </c>
      <c r="Q70">
        <v>120</v>
      </c>
    </row>
    <row r="71" spans="1:17" x14ac:dyDescent="0.3">
      <c r="A71">
        <v>69</v>
      </c>
      <c r="B71" s="1">
        <v>42211</v>
      </c>
      <c r="C71">
        <v>2015</v>
      </c>
      <c r="D71" t="s">
        <v>29</v>
      </c>
      <c r="E71">
        <v>19</v>
      </c>
      <c r="F71" t="s">
        <v>16</v>
      </c>
      <c r="G71" t="s">
        <v>17</v>
      </c>
      <c r="H71" t="s">
        <v>35</v>
      </c>
      <c r="I71" t="s">
        <v>19</v>
      </c>
      <c r="J71" t="s">
        <v>28</v>
      </c>
      <c r="K71">
        <v>2</v>
      </c>
      <c r="L71">
        <v>122.5</v>
      </c>
      <c r="M71">
        <v>139.5</v>
      </c>
      <c r="N71">
        <v>245</v>
      </c>
      <c r="O71">
        <v>279</v>
      </c>
      <c r="P71">
        <v>69</v>
      </c>
      <c r="Q71">
        <v>279</v>
      </c>
    </row>
    <row r="72" spans="1:17" x14ac:dyDescent="0.3">
      <c r="A72">
        <v>70</v>
      </c>
      <c r="B72" s="1">
        <v>42344</v>
      </c>
      <c r="C72">
        <v>2015</v>
      </c>
      <c r="D72" t="s">
        <v>34</v>
      </c>
      <c r="E72">
        <v>19</v>
      </c>
      <c r="F72" t="s">
        <v>16</v>
      </c>
      <c r="G72" t="s">
        <v>17</v>
      </c>
      <c r="H72" t="s">
        <v>35</v>
      </c>
      <c r="I72" t="s">
        <v>19</v>
      </c>
      <c r="J72" t="s">
        <v>28</v>
      </c>
      <c r="K72">
        <v>1</v>
      </c>
      <c r="L72">
        <v>420</v>
      </c>
      <c r="M72">
        <v>458</v>
      </c>
      <c r="N72">
        <v>420</v>
      </c>
      <c r="O72">
        <v>458</v>
      </c>
      <c r="P72">
        <v>70</v>
      </c>
      <c r="Q72">
        <v>458</v>
      </c>
    </row>
    <row r="73" spans="1:17" x14ac:dyDescent="0.3">
      <c r="A73">
        <v>71</v>
      </c>
      <c r="B73" s="1">
        <v>42545</v>
      </c>
      <c r="C73">
        <v>2016</v>
      </c>
      <c r="D73" t="s">
        <v>27</v>
      </c>
      <c r="E73">
        <v>20</v>
      </c>
      <c r="F73" t="s">
        <v>37</v>
      </c>
      <c r="G73" t="s">
        <v>17</v>
      </c>
      <c r="H73" t="s">
        <v>18</v>
      </c>
      <c r="I73" t="s">
        <v>23</v>
      </c>
      <c r="J73" t="s">
        <v>47</v>
      </c>
      <c r="K73">
        <v>3</v>
      </c>
      <c r="L73">
        <v>45</v>
      </c>
      <c r="M73">
        <v>52.666666999999997</v>
      </c>
      <c r="N73">
        <v>135</v>
      </c>
      <c r="O73">
        <v>158</v>
      </c>
      <c r="P73">
        <v>71</v>
      </c>
      <c r="Q73">
        <v>158</v>
      </c>
    </row>
    <row r="74" spans="1:17" x14ac:dyDescent="0.3">
      <c r="A74">
        <v>72</v>
      </c>
      <c r="B74" s="1">
        <v>42282</v>
      </c>
      <c r="C74">
        <v>2015</v>
      </c>
      <c r="D74" t="s">
        <v>32</v>
      </c>
      <c r="E74">
        <v>20</v>
      </c>
      <c r="F74" t="s">
        <v>37</v>
      </c>
      <c r="G74" t="s">
        <v>17</v>
      </c>
      <c r="H74" t="s">
        <v>18</v>
      </c>
      <c r="I74" t="s">
        <v>23</v>
      </c>
      <c r="J74" t="s">
        <v>47</v>
      </c>
      <c r="K74">
        <v>2</v>
      </c>
      <c r="L74">
        <v>27</v>
      </c>
      <c r="M74">
        <v>30.5</v>
      </c>
      <c r="N74">
        <v>54</v>
      </c>
      <c r="O74">
        <v>61</v>
      </c>
      <c r="P74">
        <v>72</v>
      </c>
      <c r="Q74">
        <v>61</v>
      </c>
    </row>
    <row r="75" spans="1:17" x14ac:dyDescent="0.3">
      <c r="A75">
        <v>73</v>
      </c>
      <c r="B75" s="1">
        <v>42203</v>
      </c>
      <c r="C75">
        <v>2015</v>
      </c>
      <c r="D75" t="s">
        <v>29</v>
      </c>
      <c r="E75">
        <v>20</v>
      </c>
      <c r="F75" t="s">
        <v>16</v>
      </c>
      <c r="G75" t="s">
        <v>17</v>
      </c>
      <c r="H75" t="s">
        <v>35</v>
      </c>
      <c r="I75" t="s">
        <v>38</v>
      </c>
      <c r="J75" t="s">
        <v>39</v>
      </c>
      <c r="K75">
        <v>1</v>
      </c>
      <c r="L75">
        <v>2295</v>
      </c>
      <c r="M75">
        <v>2146</v>
      </c>
      <c r="N75">
        <v>2295</v>
      </c>
      <c r="O75">
        <v>2146</v>
      </c>
      <c r="P75">
        <v>73</v>
      </c>
      <c r="Q75">
        <v>2146</v>
      </c>
    </row>
    <row r="76" spans="1:17" x14ac:dyDescent="0.3">
      <c r="A76">
        <v>74</v>
      </c>
      <c r="B76" s="1">
        <v>42210</v>
      </c>
      <c r="C76">
        <v>2015</v>
      </c>
      <c r="D76" t="s">
        <v>29</v>
      </c>
      <c r="E76">
        <v>20</v>
      </c>
      <c r="F76" t="s">
        <v>16</v>
      </c>
      <c r="G76" t="s">
        <v>17</v>
      </c>
      <c r="H76" t="s">
        <v>35</v>
      </c>
      <c r="I76" t="s">
        <v>38</v>
      </c>
      <c r="J76" t="s">
        <v>39</v>
      </c>
      <c r="K76">
        <v>1</v>
      </c>
      <c r="L76">
        <v>2320</v>
      </c>
      <c r="M76">
        <v>2030</v>
      </c>
      <c r="N76">
        <v>2320</v>
      </c>
      <c r="O76">
        <v>2030</v>
      </c>
      <c r="P76">
        <v>74</v>
      </c>
      <c r="Q76">
        <v>2030</v>
      </c>
    </row>
    <row r="77" spans="1:17" x14ac:dyDescent="0.3">
      <c r="A77">
        <v>75</v>
      </c>
      <c r="B77" s="1">
        <v>42342</v>
      </c>
      <c r="C77">
        <v>2015</v>
      </c>
      <c r="D77" t="s">
        <v>34</v>
      </c>
      <c r="E77">
        <v>20</v>
      </c>
      <c r="F77" t="s">
        <v>16</v>
      </c>
      <c r="G77" t="s">
        <v>17</v>
      </c>
      <c r="H77" t="s">
        <v>35</v>
      </c>
      <c r="I77" t="s">
        <v>38</v>
      </c>
      <c r="J77" t="s">
        <v>39</v>
      </c>
      <c r="K77">
        <v>1</v>
      </c>
      <c r="L77">
        <v>2295</v>
      </c>
      <c r="M77">
        <v>1884</v>
      </c>
      <c r="N77">
        <v>2295</v>
      </c>
      <c r="O77">
        <v>1884</v>
      </c>
      <c r="P77">
        <v>75</v>
      </c>
      <c r="Q77">
        <v>1884</v>
      </c>
    </row>
    <row r="78" spans="1:17" x14ac:dyDescent="0.3">
      <c r="A78">
        <v>76</v>
      </c>
      <c r="B78" s="1">
        <v>42201</v>
      </c>
      <c r="C78">
        <v>2015</v>
      </c>
      <c r="D78" t="s">
        <v>29</v>
      </c>
      <c r="E78">
        <v>22</v>
      </c>
      <c r="F78" t="s">
        <v>16</v>
      </c>
      <c r="G78" t="s">
        <v>17</v>
      </c>
      <c r="H78" t="s">
        <v>18</v>
      </c>
      <c r="I78" t="s">
        <v>23</v>
      </c>
      <c r="J78" t="s">
        <v>48</v>
      </c>
      <c r="K78">
        <v>1</v>
      </c>
      <c r="L78">
        <v>216</v>
      </c>
      <c r="M78">
        <v>228</v>
      </c>
      <c r="N78">
        <v>216</v>
      </c>
      <c r="O78">
        <v>228</v>
      </c>
      <c r="P78">
        <v>76</v>
      </c>
      <c r="Q78">
        <v>228</v>
      </c>
    </row>
    <row r="79" spans="1:17" x14ac:dyDescent="0.3">
      <c r="A79">
        <v>77</v>
      </c>
      <c r="B79" s="1">
        <v>42230</v>
      </c>
      <c r="C79">
        <v>2015</v>
      </c>
      <c r="D79" t="s">
        <v>30</v>
      </c>
      <c r="E79">
        <v>24</v>
      </c>
      <c r="F79" t="s">
        <v>16</v>
      </c>
      <c r="G79" t="s">
        <v>17</v>
      </c>
      <c r="H79" t="s">
        <v>35</v>
      </c>
      <c r="I79" t="s">
        <v>19</v>
      </c>
      <c r="J79" t="s">
        <v>36</v>
      </c>
      <c r="K79">
        <v>3</v>
      </c>
      <c r="L79">
        <v>530</v>
      </c>
      <c r="M79">
        <v>529.33333300000004</v>
      </c>
      <c r="N79">
        <v>1590</v>
      </c>
      <c r="O79">
        <v>1588</v>
      </c>
      <c r="P79">
        <v>77</v>
      </c>
      <c r="Q79">
        <v>1588</v>
      </c>
    </row>
    <row r="80" spans="1:17" x14ac:dyDescent="0.3">
      <c r="A80">
        <v>78</v>
      </c>
      <c r="B80" s="1">
        <v>42366</v>
      </c>
      <c r="C80">
        <v>2015</v>
      </c>
      <c r="D80" t="s">
        <v>34</v>
      </c>
      <c r="E80">
        <v>24</v>
      </c>
      <c r="F80" t="s">
        <v>16</v>
      </c>
      <c r="G80" t="s">
        <v>17</v>
      </c>
      <c r="H80" t="s">
        <v>35</v>
      </c>
      <c r="I80" t="s">
        <v>19</v>
      </c>
      <c r="J80" t="s">
        <v>36</v>
      </c>
      <c r="K80">
        <v>1</v>
      </c>
      <c r="L80">
        <v>1113</v>
      </c>
      <c r="M80">
        <v>1297</v>
      </c>
      <c r="N80">
        <v>1113</v>
      </c>
      <c r="O80">
        <v>1297</v>
      </c>
      <c r="P80">
        <v>78</v>
      </c>
      <c r="Q80">
        <v>1297</v>
      </c>
    </row>
    <row r="81" spans="1:17" x14ac:dyDescent="0.3">
      <c r="A81">
        <v>79</v>
      </c>
      <c r="B81" s="1">
        <v>42455</v>
      </c>
      <c r="C81">
        <v>2016</v>
      </c>
      <c r="D81" t="s">
        <v>25</v>
      </c>
      <c r="E81">
        <v>40</v>
      </c>
      <c r="F81" t="s">
        <v>37</v>
      </c>
      <c r="G81" t="s">
        <v>17</v>
      </c>
      <c r="H81" t="s">
        <v>40</v>
      </c>
      <c r="I81" t="s">
        <v>38</v>
      </c>
      <c r="J81" t="s">
        <v>39</v>
      </c>
      <c r="K81">
        <v>1</v>
      </c>
      <c r="L81">
        <v>769</v>
      </c>
      <c r="M81">
        <v>873</v>
      </c>
      <c r="N81">
        <v>769</v>
      </c>
      <c r="O81">
        <v>873</v>
      </c>
      <c r="P81">
        <v>79</v>
      </c>
      <c r="Q81">
        <v>873</v>
      </c>
    </row>
    <row r="82" spans="1:17" x14ac:dyDescent="0.3">
      <c r="A82">
        <v>80</v>
      </c>
      <c r="B82" s="1">
        <v>42514</v>
      </c>
      <c r="C82">
        <v>2016</v>
      </c>
      <c r="D82" t="s">
        <v>43</v>
      </c>
      <c r="E82">
        <v>40</v>
      </c>
      <c r="F82" t="s">
        <v>37</v>
      </c>
      <c r="G82" t="s">
        <v>17</v>
      </c>
      <c r="H82" t="s">
        <v>40</v>
      </c>
      <c r="I82" t="s">
        <v>38</v>
      </c>
      <c r="J82" t="s">
        <v>49</v>
      </c>
      <c r="K82">
        <v>3</v>
      </c>
      <c r="L82">
        <v>247.33</v>
      </c>
      <c r="M82">
        <v>250.33333300000001</v>
      </c>
      <c r="N82">
        <v>742</v>
      </c>
      <c r="O82">
        <v>751</v>
      </c>
      <c r="P82">
        <v>80</v>
      </c>
      <c r="Q82">
        <v>751</v>
      </c>
    </row>
    <row r="83" spans="1:17" x14ac:dyDescent="0.3">
      <c r="A83">
        <v>81</v>
      </c>
      <c r="B83" s="1">
        <v>42193</v>
      </c>
      <c r="C83">
        <v>2015</v>
      </c>
      <c r="D83" t="s">
        <v>29</v>
      </c>
      <c r="E83">
        <v>40</v>
      </c>
      <c r="F83" t="s">
        <v>37</v>
      </c>
      <c r="G83" t="s">
        <v>17</v>
      </c>
      <c r="H83" t="s">
        <v>40</v>
      </c>
      <c r="I83" t="s">
        <v>38</v>
      </c>
      <c r="J83" t="s">
        <v>39</v>
      </c>
      <c r="K83">
        <v>1</v>
      </c>
      <c r="L83">
        <v>2320</v>
      </c>
      <c r="M83">
        <v>2340</v>
      </c>
      <c r="N83">
        <v>2320</v>
      </c>
      <c r="O83">
        <v>2340</v>
      </c>
      <c r="P83">
        <v>81</v>
      </c>
      <c r="Q83">
        <v>2340</v>
      </c>
    </row>
    <row r="84" spans="1:17" x14ac:dyDescent="0.3">
      <c r="A84">
        <v>82</v>
      </c>
      <c r="B84" s="1">
        <v>42198</v>
      </c>
      <c r="C84">
        <v>2015</v>
      </c>
      <c r="D84" t="s">
        <v>29</v>
      </c>
      <c r="E84">
        <v>40</v>
      </c>
      <c r="F84" t="s">
        <v>37</v>
      </c>
      <c r="G84" t="s">
        <v>17</v>
      </c>
      <c r="H84" t="s">
        <v>40</v>
      </c>
      <c r="I84" t="s">
        <v>38</v>
      </c>
      <c r="J84" t="s">
        <v>39</v>
      </c>
      <c r="K84">
        <v>2</v>
      </c>
      <c r="L84">
        <v>384.5</v>
      </c>
      <c r="M84">
        <v>353.5</v>
      </c>
      <c r="N84">
        <v>769</v>
      </c>
      <c r="O84">
        <v>707</v>
      </c>
      <c r="P84">
        <v>82</v>
      </c>
      <c r="Q84">
        <v>707</v>
      </c>
    </row>
    <row r="85" spans="1:17" x14ac:dyDescent="0.3">
      <c r="A85">
        <v>83</v>
      </c>
      <c r="B85" s="1">
        <v>42224</v>
      </c>
      <c r="C85">
        <v>2015</v>
      </c>
      <c r="D85" t="s">
        <v>30</v>
      </c>
      <c r="E85">
        <v>40</v>
      </c>
      <c r="F85" t="s">
        <v>37</v>
      </c>
      <c r="G85" t="s">
        <v>17</v>
      </c>
      <c r="H85" t="s">
        <v>40</v>
      </c>
      <c r="I85" t="s">
        <v>38</v>
      </c>
      <c r="J85" t="s">
        <v>39</v>
      </c>
      <c r="K85">
        <v>1</v>
      </c>
      <c r="L85">
        <v>2320</v>
      </c>
      <c r="M85">
        <v>2340</v>
      </c>
      <c r="N85">
        <v>2320</v>
      </c>
      <c r="O85">
        <v>2340</v>
      </c>
      <c r="P85">
        <v>83</v>
      </c>
      <c r="Q85">
        <v>2340</v>
      </c>
    </row>
    <row r="86" spans="1:17" x14ac:dyDescent="0.3">
      <c r="A86">
        <v>84</v>
      </c>
      <c r="B86" s="1">
        <v>42363</v>
      </c>
      <c r="C86">
        <v>2015</v>
      </c>
      <c r="D86" t="s">
        <v>34</v>
      </c>
      <c r="E86">
        <v>40</v>
      </c>
      <c r="F86" t="s">
        <v>37</v>
      </c>
      <c r="G86" t="s">
        <v>17</v>
      </c>
      <c r="H86" t="s">
        <v>40</v>
      </c>
      <c r="I86" t="s">
        <v>38</v>
      </c>
      <c r="J86" t="s">
        <v>39</v>
      </c>
      <c r="K86">
        <v>1</v>
      </c>
      <c r="L86">
        <v>2320</v>
      </c>
      <c r="M86">
        <v>2095</v>
      </c>
      <c r="N86">
        <v>2320</v>
      </c>
      <c r="O86">
        <v>2095</v>
      </c>
      <c r="P86">
        <v>84</v>
      </c>
      <c r="Q86">
        <v>2095</v>
      </c>
    </row>
    <row r="87" spans="1:17" x14ac:dyDescent="0.3">
      <c r="A87">
        <v>85</v>
      </c>
      <c r="B87" s="1">
        <v>42245</v>
      </c>
      <c r="C87">
        <v>2015</v>
      </c>
      <c r="D87" t="s">
        <v>30</v>
      </c>
      <c r="E87">
        <v>40</v>
      </c>
      <c r="F87" t="s">
        <v>16</v>
      </c>
      <c r="G87" t="s">
        <v>17</v>
      </c>
      <c r="H87" t="s">
        <v>35</v>
      </c>
      <c r="I87" t="s">
        <v>19</v>
      </c>
      <c r="J87" t="s">
        <v>36</v>
      </c>
      <c r="K87">
        <v>2</v>
      </c>
      <c r="L87">
        <v>477</v>
      </c>
      <c r="M87">
        <v>524.5</v>
      </c>
      <c r="N87">
        <v>954</v>
      </c>
      <c r="O87">
        <v>1049</v>
      </c>
      <c r="P87">
        <v>85</v>
      </c>
      <c r="Q87">
        <v>1049</v>
      </c>
    </row>
    <row r="88" spans="1:17" x14ac:dyDescent="0.3">
      <c r="A88">
        <v>86</v>
      </c>
      <c r="B88" s="1">
        <v>42385</v>
      </c>
      <c r="C88">
        <v>2016</v>
      </c>
      <c r="D88" t="s">
        <v>45</v>
      </c>
      <c r="E88">
        <v>40</v>
      </c>
      <c r="F88" t="s">
        <v>37</v>
      </c>
      <c r="G88" t="s">
        <v>17</v>
      </c>
      <c r="H88" t="s">
        <v>35</v>
      </c>
      <c r="I88" t="s">
        <v>19</v>
      </c>
      <c r="J88" t="s">
        <v>41</v>
      </c>
      <c r="K88">
        <v>3</v>
      </c>
      <c r="L88">
        <v>165</v>
      </c>
      <c r="M88">
        <v>186.33333300000001</v>
      </c>
      <c r="N88">
        <v>495</v>
      </c>
      <c r="O88">
        <v>559</v>
      </c>
      <c r="P88">
        <v>86</v>
      </c>
      <c r="Q88">
        <v>559</v>
      </c>
    </row>
    <row r="89" spans="1:17" x14ac:dyDescent="0.3">
      <c r="A89">
        <v>87</v>
      </c>
      <c r="B89" s="1">
        <v>42420</v>
      </c>
      <c r="C89">
        <v>2016</v>
      </c>
      <c r="D89" t="s">
        <v>15</v>
      </c>
      <c r="E89">
        <v>40</v>
      </c>
      <c r="F89" t="s">
        <v>37</v>
      </c>
      <c r="G89" t="s">
        <v>17</v>
      </c>
      <c r="H89" t="s">
        <v>35</v>
      </c>
      <c r="I89" t="s">
        <v>19</v>
      </c>
      <c r="J89" t="s">
        <v>41</v>
      </c>
      <c r="K89">
        <v>3</v>
      </c>
      <c r="L89">
        <v>256.67</v>
      </c>
      <c r="M89">
        <v>334.33333299999998</v>
      </c>
      <c r="N89">
        <v>770</v>
      </c>
      <c r="O89">
        <v>1003</v>
      </c>
      <c r="P89">
        <v>87</v>
      </c>
      <c r="Q89">
        <v>1003</v>
      </c>
    </row>
    <row r="90" spans="1:17" x14ac:dyDescent="0.3">
      <c r="A90">
        <v>88</v>
      </c>
      <c r="B90" s="1">
        <v>42216</v>
      </c>
      <c r="C90">
        <v>2015</v>
      </c>
      <c r="D90" t="s">
        <v>29</v>
      </c>
      <c r="E90">
        <v>40</v>
      </c>
      <c r="F90" t="s">
        <v>37</v>
      </c>
      <c r="G90" t="s">
        <v>17</v>
      </c>
      <c r="H90" t="s">
        <v>35</v>
      </c>
      <c r="I90" t="s">
        <v>19</v>
      </c>
      <c r="J90" t="s">
        <v>41</v>
      </c>
      <c r="K90">
        <v>1</v>
      </c>
      <c r="L90">
        <v>715</v>
      </c>
      <c r="M90">
        <v>752</v>
      </c>
      <c r="N90">
        <v>715</v>
      </c>
      <c r="O90">
        <v>752</v>
      </c>
      <c r="P90">
        <v>88</v>
      </c>
      <c r="Q90">
        <v>752</v>
      </c>
    </row>
    <row r="91" spans="1:17" x14ac:dyDescent="0.3">
      <c r="A91">
        <v>89</v>
      </c>
      <c r="B91" s="1">
        <v>42413</v>
      </c>
      <c r="C91">
        <v>2016</v>
      </c>
      <c r="D91" t="s">
        <v>15</v>
      </c>
      <c r="E91">
        <v>22</v>
      </c>
      <c r="F91" t="s">
        <v>16</v>
      </c>
      <c r="G91" t="s">
        <v>17</v>
      </c>
      <c r="H91" t="s">
        <v>18</v>
      </c>
      <c r="I91" t="s">
        <v>19</v>
      </c>
      <c r="J91" t="s">
        <v>50</v>
      </c>
      <c r="K91">
        <v>1</v>
      </c>
      <c r="L91">
        <v>120</v>
      </c>
      <c r="M91">
        <v>156</v>
      </c>
      <c r="N91">
        <v>120</v>
      </c>
      <c r="O91">
        <v>156</v>
      </c>
      <c r="P91">
        <v>89</v>
      </c>
      <c r="Q91">
        <v>156</v>
      </c>
    </row>
    <row r="92" spans="1:17" x14ac:dyDescent="0.3">
      <c r="A92">
        <v>90</v>
      </c>
      <c r="B92" s="1">
        <v>42558</v>
      </c>
      <c r="C92">
        <v>2016</v>
      </c>
      <c r="D92" t="s">
        <v>29</v>
      </c>
      <c r="E92">
        <v>22</v>
      </c>
      <c r="F92" t="s">
        <v>16</v>
      </c>
      <c r="G92" t="s">
        <v>17</v>
      </c>
      <c r="H92" t="s">
        <v>18</v>
      </c>
      <c r="I92" t="s">
        <v>19</v>
      </c>
      <c r="J92" t="s">
        <v>50</v>
      </c>
      <c r="K92">
        <v>1</v>
      </c>
      <c r="L92">
        <v>85</v>
      </c>
      <c r="M92">
        <v>108</v>
      </c>
      <c r="N92">
        <v>85</v>
      </c>
      <c r="O92">
        <v>108</v>
      </c>
      <c r="P92">
        <v>90</v>
      </c>
      <c r="Q92">
        <v>108</v>
      </c>
    </row>
    <row r="93" spans="1:17" x14ac:dyDescent="0.3">
      <c r="A93">
        <v>91</v>
      </c>
      <c r="B93" s="1">
        <v>42559</v>
      </c>
      <c r="C93">
        <v>2016</v>
      </c>
      <c r="D93" t="s">
        <v>29</v>
      </c>
      <c r="E93">
        <v>22</v>
      </c>
      <c r="F93" t="s">
        <v>16</v>
      </c>
      <c r="G93" t="s">
        <v>17</v>
      </c>
      <c r="H93" t="s">
        <v>18</v>
      </c>
      <c r="I93" t="s">
        <v>19</v>
      </c>
      <c r="J93" t="s">
        <v>50</v>
      </c>
      <c r="K93">
        <v>2</v>
      </c>
      <c r="L93">
        <v>105</v>
      </c>
      <c r="M93">
        <v>136</v>
      </c>
      <c r="N93">
        <v>210</v>
      </c>
      <c r="O93">
        <v>272</v>
      </c>
      <c r="P93">
        <v>91</v>
      </c>
      <c r="Q93">
        <v>272</v>
      </c>
    </row>
    <row r="94" spans="1:17" x14ac:dyDescent="0.3">
      <c r="A94">
        <v>92</v>
      </c>
      <c r="B94" s="1">
        <v>42201</v>
      </c>
      <c r="C94">
        <v>2015</v>
      </c>
      <c r="D94" t="s">
        <v>29</v>
      </c>
      <c r="E94">
        <v>22</v>
      </c>
      <c r="F94" t="s">
        <v>16</v>
      </c>
      <c r="G94" t="s">
        <v>17</v>
      </c>
      <c r="H94" t="s">
        <v>18</v>
      </c>
      <c r="I94" t="s">
        <v>19</v>
      </c>
      <c r="J94" t="s">
        <v>50</v>
      </c>
      <c r="K94">
        <v>1</v>
      </c>
      <c r="L94">
        <v>65</v>
      </c>
      <c r="M94">
        <v>67</v>
      </c>
      <c r="N94">
        <v>65</v>
      </c>
      <c r="O94">
        <v>67</v>
      </c>
      <c r="P94">
        <v>92</v>
      </c>
      <c r="Q94">
        <v>67</v>
      </c>
    </row>
    <row r="95" spans="1:17" x14ac:dyDescent="0.3">
      <c r="A95">
        <v>93</v>
      </c>
      <c r="B95" s="1">
        <v>42201</v>
      </c>
      <c r="C95">
        <v>2015</v>
      </c>
      <c r="D95" t="s">
        <v>29</v>
      </c>
      <c r="E95">
        <v>22</v>
      </c>
      <c r="F95" t="s">
        <v>16</v>
      </c>
      <c r="G95" t="s">
        <v>17</v>
      </c>
      <c r="H95" t="s">
        <v>18</v>
      </c>
      <c r="I95" t="s">
        <v>19</v>
      </c>
      <c r="J95" t="s">
        <v>50</v>
      </c>
      <c r="K95">
        <v>2</v>
      </c>
      <c r="L95">
        <v>125</v>
      </c>
      <c r="M95">
        <v>143.5</v>
      </c>
      <c r="N95">
        <v>250</v>
      </c>
      <c r="O95">
        <v>287</v>
      </c>
      <c r="P95">
        <v>93</v>
      </c>
      <c r="Q95">
        <v>287</v>
      </c>
    </row>
    <row r="96" spans="1:17" x14ac:dyDescent="0.3">
      <c r="A96">
        <v>94</v>
      </c>
      <c r="B96" s="1">
        <v>42201</v>
      </c>
      <c r="C96">
        <v>2015</v>
      </c>
      <c r="D96" t="s">
        <v>29</v>
      </c>
      <c r="E96">
        <v>22</v>
      </c>
      <c r="F96" t="s">
        <v>16</v>
      </c>
      <c r="G96" t="s">
        <v>17</v>
      </c>
      <c r="H96" t="s">
        <v>18</v>
      </c>
      <c r="I96" t="s">
        <v>23</v>
      </c>
      <c r="J96" t="s">
        <v>42</v>
      </c>
      <c r="K96">
        <v>3</v>
      </c>
      <c r="L96">
        <v>414</v>
      </c>
      <c r="M96">
        <v>437.66666700000002</v>
      </c>
      <c r="N96">
        <v>1242</v>
      </c>
      <c r="O96">
        <v>1313</v>
      </c>
      <c r="P96">
        <v>94</v>
      </c>
      <c r="Q96">
        <v>1313</v>
      </c>
    </row>
    <row r="97" spans="1:17" x14ac:dyDescent="0.3">
      <c r="A97">
        <v>95</v>
      </c>
      <c r="B97" s="1">
        <v>42251</v>
      </c>
      <c r="C97">
        <v>2015</v>
      </c>
      <c r="D97" t="s">
        <v>31</v>
      </c>
      <c r="E97">
        <v>22</v>
      </c>
      <c r="F97" t="s">
        <v>16</v>
      </c>
      <c r="G97" t="s">
        <v>17</v>
      </c>
      <c r="H97" t="s">
        <v>18</v>
      </c>
      <c r="I97" t="s">
        <v>23</v>
      </c>
      <c r="J97" t="s">
        <v>42</v>
      </c>
      <c r="K97">
        <v>2</v>
      </c>
      <c r="L97">
        <v>486</v>
      </c>
      <c r="M97">
        <v>535.5</v>
      </c>
      <c r="N97">
        <v>972</v>
      </c>
      <c r="O97">
        <v>1071</v>
      </c>
      <c r="P97">
        <v>95</v>
      </c>
      <c r="Q97">
        <v>1071</v>
      </c>
    </row>
    <row r="98" spans="1:17" x14ac:dyDescent="0.3">
      <c r="A98">
        <v>96</v>
      </c>
      <c r="B98" s="1">
        <v>42253</v>
      </c>
      <c r="C98">
        <v>2015</v>
      </c>
      <c r="D98" t="s">
        <v>31</v>
      </c>
      <c r="E98">
        <v>22</v>
      </c>
      <c r="F98" t="s">
        <v>16</v>
      </c>
      <c r="G98" t="s">
        <v>17</v>
      </c>
      <c r="H98" t="s">
        <v>18</v>
      </c>
      <c r="I98" t="s">
        <v>19</v>
      </c>
      <c r="J98" t="s">
        <v>50</v>
      </c>
      <c r="K98">
        <v>2</v>
      </c>
      <c r="L98">
        <v>25</v>
      </c>
      <c r="M98">
        <v>26.5</v>
      </c>
      <c r="N98">
        <v>50</v>
      </c>
      <c r="O98">
        <v>53</v>
      </c>
      <c r="P98">
        <v>96</v>
      </c>
      <c r="Q98">
        <v>53</v>
      </c>
    </row>
    <row r="99" spans="1:17" x14ac:dyDescent="0.3">
      <c r="A99">
        <v>97</v>
      </c>
      <c r="B99" s="1">
        <v>42299</v>
      </c>
      <c r="C99">
        <v>2015</v>
      </c>
      <c r="D99" t="s">
        <v>32</v>
      </c>
      <c r="E99">
        <v>22</v>
      </c>
      <c r="F99" t="s">
        <v>16</v>
      </c>
      <c r="G99" t="s">
        <v>17</v>
      </c>
      <c r="H99" t="s">
        <v>18</v>
      </c>
      <c r="I99" t="s">
        <v>19</v>
      </c>
      <c r="J99" t="s">
        <v>50</v>
      </c>
      <c r="K99">
        <v>1</v>
      </c>
      <c r="L99">
        <v>189</v>
      </c>
      <c r="M99">
        <v>179</v>
      </c>
      <c r="N99">
        <v>189</v>
      </c>
      <c r="O99">
        <v>179</v>
      </c>
      <c r="P99">
        <v>97</v>
      </c>
      <c r="Q99">
        <v>179</v>
      </c>
    </row>
    <row r="100" spans="1:17" x14ac:dyDescent="0.3">
      <c r="A100">
        <v>98</v>
      </c>
      <c r="B100" s="1">
        <v>42299</v>
      </c>
      <c r="C100">
        <v>2015</v>
      </c>
      <c r="D100" t="s">
        <v>32</v>
      </c>
      <c r="E100">
        <v>22</v>
      </c>
      <c r="F100" t="s">
        <v>16</v>
      </c>
      <c r="G100" t="s">
        <v>17</v>
      </c>
      <c r="H100" t="s">
        <v>18</v>
      </c>
      <c r="I100" t="s">
        <v>19</v>
      </c>
      <c r="J100" t="s">
        <v>50</v>
      </c>
      <c r="K100">
        <v>3</v>
      </c>
      <c r="L100">
        <v>6.67</v>
      </c>
      <c r="M100">
        <v>7</v>
      </c>
      <c r="N100">
        <v>20</v>
      </c>
      <c r="O100">
        <v>21</v>
      </c>
      <c r="P100">
        <v>98</v>
      </c>
      <c r="Q100">
        <v>21</v>
      </c>
    </row>
    <row r="101" spans="1:17" x14ac:dyDescent="0.3">
      <c r="A101">
        <v>99</v>
      </c>
      <c r="B101" s="1">
        <v>42359</v>
      </c>
      <c r="C101">
        <v>2015</v>
      </c>
      <c r="D101" t="s">
        <v>34</v>
      </c>
      <c r="E101">
        <v>22</v>
      </c>
      <c r="F101" t="s">
        <v>16</v>
      </c>
      <c r="G101" t="s">
        <v>17</v>
      </c>
      <c r="H101" t="s">
        <v>18</v>
      </c>
      <c r="I101" t="s">
        <v>23</v>
      </c>
      <c r="J101" t="s">
        <v>42</v>
      </c>
      <c r="K101">
        <v>1</v>
      </c>
      <c r="L101">
        <v>150</v>
      </c>
      <c r="M101">
        <v>159</v>
      </c>
      <c r="N101">
        <v>150</v>
      </c>
      <c r="O101">
        <v>159</v>
      </c>
      <c r="P101">
        <v>99</v>
      </c>
      <c r="Q101">
        <v>159</v>
      </c>
    </row>
    <row r="102" spans="1:17" x14ac:dyDescent="0.3">
      <c r="A102">
        <v>100</v>
      </c>
      <c r="B102" s="1">
        <v>42198</v>
      </c>
      <c r="C102">
        <v>2015</v>
      </c>
      <c r="D102" t="s">
        <v>29</v>
      </c>
      <c r="E102">
        <v>22</v>
      </c>
      <c r="F102" t="s">
        <v>16</v>
      </c>
      <c r="G102" t="s">
        <v>17</v>
      </c>
      <c r="H102" t="s">
        <v>18</v>
      </c>
      <c r="I102" t="s">
        <v>38</v>
      </c>
      <c r="J102" t="s">
        <v>39</v>
      </c>
      <c r="K102">
        <v>2</v>
      </c>
      <c r="L102">
        <v>1147.5</v>
      </c>
      <c r="M102">
        <v>1077</v>
      </c>
      <c r="N102">
        <v>2295</v>
      </c>
      <c r="O102">
        <v>2154</v>
      </c>
      <c r="P102">
        <v>100</v>
      </c>
      <c r="Q102">
        <v>2154</v>
      </c>
    </row>
    <row r="103" spans="1:17" x14ac:dyDescent="0.3">
      <c r="A103">
        <v>101</v>
      </c>
      <c r="B103" s="1">
        <v>42201</v>
      </c>
      <c r="C103">
        <v>2015</v>
      </c>
      <c r="D103" t="s">
        <v>29</v>
      </c>
      <c r="E103">
        <v>22</v>
      </c>
      <c r="F103" t="s">
        <v>16</v>
      </c>
      <c r="G103" t="s">
        <v>17</v>
      </c>
      <c r="H103" t="s">
        <v>18</v>
      </c>
      <c r="I103" t="s">
        <v>38</v>
      </c>
      <c r="J103" t="s">
        <v>39</v>
      </c>
      <c r="K103">
        <v>3</v>
      </c>
      <c r="L103">
        <v>765</v>
      </c>
      <c r="M103">
        <v>712.33333300000004</v>
      </c>
      <c r="N103">
        <v>2295</v>
      </c>
      <c r="O103">
        <v>2137</v>
      </c>
      <c r="P103">
        <v>101</v>
      </c>
      <c r="Q103">
        <v>2137</v>
      </c>
    </row>
    <row r="104" spans="1:17" x14ac:dyDescent="0.3">
      <c r="A104">
        <v>102</v>
      </c>
      <c r="B104" s="1">
        <v>42413</v>
      </c>
      <c r="C104">
        <v>2016</v>
      </c>
      <c r="D104" t="s">
        <v>15</v>
      </c>
      <c r="E104">
        <v>19</v>
      </c>
      <c r="F104" t="s">
        <v>16</v>
      </c>
      <c r="G104" t="s">
        <v>17</v>
      </c>
      <c r="H104" t="s">
        <v>35</v>
      </c>
      <c r="I104" t="s">
        <v>19</v>
      </c>
      <c r="J104" t="s">
        <v>20</v>
      </c>
      <c r="K104">
        <v>1</v>
      </c>
      <c r="L104">
        <v>96</v>
      </c>
      <c r="M104">
        <v>105</v>
      </c>
      <c r="N104">
        <v>96</v>
      </c>
      <c r="O104">
        <v>105</v>
      </c>
      <c r="P104">
        <v>102</v>
      </c>
      <c r="Q104">
        <v>105</v>
      </c>
    </row>
    <row r="105" spans="1:17" x14ac:dyDescent="0.3">
      <c r="A105">
        <v>103</v>
      </c>
      <c r="B105" s="1">
        <v>42451</v>
      </c>
      <c r="C105">
        <v>2016</v>
      </c>
      <c r="D105" t="s">
        <v>25</v>
      </c>
      <c r="E105">
        <v>19</v>
      </c>
      <c r="F105" t="s">
        <v>16</v>
      </c>
      <c r="G105" t="s">
        <v>17</v>
      </c>
      <c r="H105" t="s">
        <v>35</v>
      </c>
      <c r="I105" t="s">
        <v>19</v>
      </c>
      <c r="J105" t="s">
        <v>20</v>
      </c>
      <c r="K105">
        <v>1</v>
      </c>
      <c r="L105">
        <v>100</v>
      </c>
      <c r="M105">
        <v>113</v>
      </c>
      <c r="N105">
        <v>100</v>
      </c>
      <c r="O105">
        <v>113</v>
      </c>
      <c r="P105">
        <v>103</v>
      </c>
      <c r="Q105">
        <v>113</v>
      </c>
    </row>
    <row r="106" spans="1:17" x14ac:dyDescent="0.3">
      <c r="A106">
        <v>104</v>
      </c>
      <c r="B106" s="1">
        <v>42493</v>
      </c>
      <c r="C106">
        <v>2016</v>
      </c>
      <c r="D106" t="s">
        <v>43</v>
      </c>
      <c r="E106">
        <v>19</v>
      </c>
      <c r="F106" t="s">
        <v>16</v>
      </c>
      <c r="G106" t="s">
        <v>17</v>
      </c>
      <c r="H106" t="s">
        <v>35</v>
      </c>
      <c r="I106" t="s">
        <v>19</v>
      </c>
      <c r="J106" t="s">
        <v>20</v>
      </c>
      <c r="K106">
        <v>2</v>
      </c>
      <c r="L106">
        <v>24</v>
      </c>
      <c r="M106">
        <v>28</v>
      </c>
      <c r="N106">
        <v>48</v>
      </c>
      <c r="O106">
        <v>56</v>
      </c>
      <c r="P106">
        <v>104</v>
      </c>
      <c r="Q106">
        <v>56</v>
      </c>
    </row>
    <row r="107" spans="1:17" x14ac:dyDescent="0.3">
      <c r="A107">
        <v>105</v>
      </c>
      <c r="B107" s="1">
        <v>42510</v>
      </c>
      <c r="C107">
        <v>2016</v>
      </c>
      <c r="D107" t="s">
        <v>43</v>
      </c>
      <c r="E107">
        <v>19</v>
      </c>
      <c r="F107" t="s">
        <v>16</v>
      </c>
      <c r="G107" t="s">
        <v>17</v>
      </c>
      <c r="H107" t="s">
        <v>35</v>
      </c>
      <c r="I107" t="s">
        <v>19</v>
      </c>
      <c r="J107" t="s">
        <v>20</v>
      </c>
      <c r="K107">
        <v>2</v>
      </c>
      <c r="L107">
        <v>30</v>
      </c>
      <c r="M107">
        <v>35.5</v>
      </c>
      <c r="N107">
        <v>60</v>
      </c>
      <c r="O107">
        <v>71</v>
      </c>
      <c r="P107">
        <v>105</v>
      </c>
      <c r="Q107">
        <v>71</v>
      </c>
    </row>
    <row r="108" spans="1:17" x14ac:dyDescent="0.3">
      <c r="A108">
        <v>106</v>
      </c>
      <c r="B108" s="1">
        <v>42549</v>
      </c>
      <c r="C108">
        <v>2016</v>
      </c>
      <c r="D108" t="s">
        <v>27</v>
      </c>
      <c r="E108">
        <v>19</v>
      </c>
      <c r="F108" t="s">
        <v>16</v>
      </c>
      <c r="G108" t="s">
        <v>17</v>
      </c>
      <c r="H108" t="s">
        <v>35</v>
      </c>
      <c r="I108" t="s">
        <v>19</v>
      </c>
      <c r="J108" t="s">
        <v>20</v>
      </c>
      <c r="K108">
        <v>1</v>
      </c>
      <c r="L108">
        <v>50</v>
      </c>
      <c r="M108">
        <v>54</v>
      </c>
      <c r="N108">
        <v>50</v>
      </c>
      <c r="O108">
        <v>54</v>
      </c>
      <c r="P108">
        <v>106</v>
      </c>
      <c r="Q108">
        <v>54</v>
      </c>
    </row>
    <row r="109" spans="1:17" x14ac:dyDescent="0.3">
      <c r="A109">
        <v>107</v>
      </c>
      <c r="B109" s="1">
        <v>42554</v>
      </c>
      <c r="C109">
        <v>2016</v>
      </c>
      <c r="D109" t="s">
        <v>29</v>
      </c>
      <c r="E109">
        <v>19</v>
      </c>
      <c r="F109" t="s">
        <v>16</v>
      </c>
      <c r="G109" t="s">
        <v>17</v>
      </c>
      <c r="H109" t="s">
        <v>35</v>
      </c>
      <c r="I109" t="s">
        <v>19</v>
      </c>
      <c r="J109" t="s">
        <v>20</v>
      </c>
      <c r="K109">
        <v>2</v>
      </c>
      <c r="L109">
        <v>70</v>
      </c>
      <c r="M109">
        <v>92.5</v>
      </c>
      <c r="N109">
        <v>140</v>
      </c>
      <c r="O109">
        <v>185</v>
      </c>
      <c r="P109">
        <v>107</v>
      </c>
      <c r="Q109">
        <v>185</v>
      </c>
    </row>
    <row r="110" spans="1:17" x14ac:dyDescent="0.3">
      <c r="A110">
        <v>108</v>
      </c>
      <c r="B110" s="1">
        <v>42554</v>
      </c>
      <c r="C110">
        <v>2016</v>
      </c>
      <c r="D110" t="s">
        <v>29</v>
      </c>
      <c r="E110">
        <v>19</v>
      </c>
      <c r="F110" t="s">
        <v>16</v>
      </c>
      <c r="G110" t="s">
        <v>17</v>
      </c>
      <c r="H110" t="s">
        <v>35</v>
      </c>
      <c r="I110" t="s">
        <v>19</v>
      </c>
      <c r="J110" t="s">
        <v>20</v>
      </c>
      <c r="K110">
        <v>1</v>
      </c>
      <c r="L110">
        <v>40</v>
      </c>
      <c r="M110">
        <v>48</v>
      </c>
      <c r="N110">
        <v>40</v>
      </c>
      <c r="O110">
        <v>48</v>
      </c>
      <c r="P110">
        <v>108</v>
      </c>
      <c r="Q110">
        <v>48</v>
      </c>
    </row>
    <row r="111" spans="1:17" x14ac:dyDescent="0.3">
      <c r="A111">
        <v>109</v>
      </c>
      <c r="B111" s="1">
        <v>42224</v>
      </c>
      <c r="C111">
        <v>2015</v>
      </c>
      <c r="D111" t="s">
        <v>30</v>
      </c>
      <c r="E111">
        <v>19</v>
      </c>
      <c r="F111" t="s">
        <v>16</v>
      </c>
      <c r="G111" t="s">
        <v>17</v>
      </c>
      <c r="H111" t="s">
        <v>35</v>
      </c>
      <c r="I111" t="s">
        <v>19</v>
      </c>
      <c r="J111" t="s">
        <v>20</v>
      </c>
      <c r="K111">
        <v>3</v>
      </c>
      <c r="L111">
        <v>290</v>
      </c>
      <c r="M111">
        <v>341</v>
      </c>
      <c r="N111">
        <v>870</v>
      </c>
      <c r="O111">
        <v>1023</v>
      </c>
      <c r="P111">
        <v>109</v>
      </c>
      <c r="Q111">
        <v>1023</v>
      </c>
    </row>
    <row r="112" spans="1:17" x14ac:dyDescent="0.3">
      <c r="A112">
        <v>110</v>
      </c>
      <c r="B112" s="1">
        <v>42224</v>
      </c>
      <c r="C112">
        <v>2015</v>
      </c>
      <c r="D112" t="s">
        <v>30</v>
      </c>
      <c r="E112">
        <v>19</v>
      </c>
      <c r="F112" t="s">
        <v>16</v>
      </c>
      <c r="G112" t="s">
        <v>17</v>
      </c>
      <c r="H112" t="s">
        <v>35</v>
      </c>
      <c r="I112" t="s">
        <v>19</v>
      </c>
      <c r="J112" t="s">
        <v>20</v>
      </c>
      <c r="K112">
        <v>3</v>
      </c>
      <c r="L112">
        <v>1.67</v>
      </c>
      <c r="M112">
        <v>2</v>
      </c>
      <c r="N112">
        <v>5</v>
      </c>
      <c r="O112">
        <v>6</v>
      </c>
      <c r="P112">
        <v>110</v>
      </c>
      <c r="Q112">
        <v>6</v>
      </c>
    </row>
    <row r="113" spans="1:17" x14ac:dyDescent="0.3">
      <c r="A113">
        <v>111</v>
      </c>
      <c r="B113" s="1">
        <v>42224</v>
      </c>
      <c r="C113">
        <v>2015</v>
      </c>
      <c r="D113" t="s">
        <v>30</v>
      </c>
      <c r="E113">
        <v>19</v>
      </c>
      <c r="F113" t="s">
        <v>16</v>
      </c>
      <c r="G113" t="s">
        <v>17</v>
      </c>
      <c r="H113" t="s">
        <v>35</v>
      </c>
      <c r="I113" t="s">
        <v>19</v>
      </c>
      <c r="J113" t="s">
        <v>20</v>
      </c>
      <c r="K113">
        <v>3</v>
      </c>
      <c r="L113">
        <v>0.67</v>
      </c>
      <c r="M113">
        <v>0.66666700000000001</v>
      </c>
      <c r="N113">
        <v>2</v>
      </c>
      <c r="O113">
        <v>2</v>
      </c>
      <c r="P113">
        <v>111</v>
      </c>
      <c r="Q113">
        <v>2</v>
      </c>
    </row>
    <row r="114" spans="1:17" x14ac:dyDescent="0.3">
      <c r="A114">
        <v>112</v>
      </c>
      <c r="B114" s="1">
        <v>42304</v>
      </c>
      <c r="C114">
        <v>2015</v>
      </c>
      <c r="D114" t="s">
        <v>32</v>
      </c>
      <c r="E114">
        <v>19</v>
      </c>
      <c r="F114" t="s">
        <v>16</v>
      </c>
      <c r="G114" t="s">
        <v>17</v>
      </c>
      <c r="H114" t="s">
        <v>35</v>
      </c>
      <c r="I114" t="s">
        <v>19</v>
      </c>
      <c r="J114" t="s">
        <v>20</v>
      </c>
      <c r="K114">
        <v>3</v>
      </c>
      <c r="L114">
        <v>83.33</v>
      </c>
      <c r="M114">
        <v>86.333332999999996</v>
      </c>
      <c r="N114">
        <v>250</v>
      </c>
      <c r="O114">
        <v>259</v>
      </c>
      <c r="P114">
        <v>112</v>
      </c>
      <c r="Q114">
        <v>259</v>
      </c>
    </row>
    <row r="115" spans="1:17" x14ac:dyDescent="0.3">
      <c r="A115">
        <v>113</v>
      </c>
      <c r="B115" s="1">
        <v>42304</v>
      </c>
      <c r="C115">
        <v>2015</v>
      </c>
      <c r="D115" t="s">
        <v>32</v>
      </c>
      <c r="E115">
        <v>19</v>
      </c>
      <c r="F115" t="s">
        <v>16</v>
      </c>
      <c r="G115" t="s">
        <v>17</v>
      </c>
      <c r="H115" t="s">
        <v>35</v>
      </c>
      <c r="I115" t="s">
        <v>19</v>
      </c>
      <c r="J115" t="s">
        <v>20</v>
      </c>
      <c r="K115">
        <v>1</v>
      </c>
      <c r="L115">
        <v>27</v>
      </c>
      <c r="M115">
        <v>29</v>
      </c>
      <c r="N115">
        <v>27</v>
      </c>
      <c r="O115">
        <v>29</v>
      </c>
      <c r="P115">
        <v>113</v>
      </c>
      <c r="Q115">
        <v>29</v>
      </c>
    </row>
    <row r="116" spans="1:17" x14ac:dyDescent="0.3">
      <c r="A116">
        <v>114</v>
      </c>
      <c r="B116" s="1">
        <v>42308</v>
      </c>
      <c r="C116">
        <v>2015</v>
      </c>
      <c r="D116" t="s">
        <v>32</v>
      </c>
      <c r="E116">
        <v>19</v>
      </c>
      <c r="F116" t="s">
        <v>16</v>
      </c>
      <c r="G116" t="s">
        <v>17</v>
      </c>
      <c r="H116" t="s">
        <v>35</v>
      </c>
      <c r="I116" t="s">
        <v>19</v>
      </c>
      <c r="J116" t="s">
        <v>20</v>
      </c>
      <c r="K116">
        <v>3</v>
      </c>
      <c r="L116">
        <v>163.33000000000001</v>
      </c>
      <c r="M116">
        <v>173.33333300000001</v>
      </c>
      <c r="N116">
        <v>490</v>
      </c>
      <c r="O116">
        <v>520</v>
      </c>
      <c r="P116">
        <v>114</v>
      </c>
      <c r="Q116">
        <v>520</v>
      </c>
    </row>
    <row r="117" spans="1:17" x14ac:dyDescent="0.3">
      <c r="A117">
        <v>115</v>
      </c>
      <c r="B117" s="1">
        <v>42308</v>
      </c>
      <c r="C117">
        <v>2015</v>
      </c>
      <c r="D117" t="s">
        <v>32</v>
      </c>
      <c r="E117">
        <v>19</v>
      </c>
      <c r="F117" t="s">
        <v>16</v>
      </c>
      <c r="G117" t="s">
        <v>17</v>
      </c>
      <c r="H117" t="s">
        <v>35</v>
      </c>
      <c r="I117" t="s">
        <v>19</v>
      </c>
      <c r="J117" t="s">
        <v>20</v>
      </c>
      <c r="K117">
        <v>2</v>
      </c>
      <c r="L117">
        <v>42.5</v>
      </c>
      <c r="M117">
        <v>47</v>
      </c>
      <c r="N117">
        <v>85</v>
      </c>
      <c r="O117">
        <v>94</v>
      </c>
      <c r="P117">
        <v>115</v>
      </c>
      <c r="Q117">
        <v>94</v>
      </c>
    </row>
    <row r="118" spans="1:17" x14ac:dyDescent="0.3">
      <c r="A118">
        <v>116</v>
      </c>
      <c r="B118" s="1">
        <v>42308</v>
      </c>
      <c r="C118">
        <v>2015</v>
      </c>
      <c r="D118" t="s">
        <v>32</v>
      </c>
      <c r="E118">
        <v>19</v>
      </c>
      <c r="F118" t="s">
        <v>16</v>
      </c>
      <c r="G118" t="s">
        <v>17</v>
      </c>
      <c r="H118" t="s">
        <v>35</v>
      </c>
      <c r="I118" t="s">
        <v>19</v>
      </c>
      <c r="J118" t="s">
        <v>20</v>
      </c>
      <c r="K118">
        <v>2</v>
      </c>
      <c r="L118">
        <v>18.5</v>
      </c>
      <c r="M118">
        <v>20.5</v>
      </c>
      <c r="N118">
        <v>37</v>
      </c>
      <c r="O118">
        <v>41</v>
      </c>
      <c r="P118">
        <v>116</v>
      </c>
      <c r="Q118">
        <v>41</v>
      </c>
    </row>
    <row r="119" spans="1:17" x14ac:dyDescent="0.3">
      <c r="A119">
        <v>117</v>
      </c>
      <c r="B119" s="1">
        <v>42340</v>
      </c>
      <c r="C119">
        <v>2015</v>
      </c>
      <c r="D119" t="s">
        <v>34</v>
      </c>
      <c r="E119">
        <v>19</v>
      </c>
      <c r="F119" t="s">
        <v>16</v>
      </c>
      <c r="G119" t="s">
        <v>17</v>
      </c>
      <c r="H119" t="s">
        <v>35</v>
      </c>
      <c r="I119" t="s">
        <v>19</v>
      </c>
      <c r="J119" t="s">
        <v>20</v>
      </c>
      <c r="K119">
        <v>3</v>
      </c>
      <c r="L119">
        <v>5</v>
      </c>
      <c r="M119">
        <v>5.6666670000000003</v>
      </c>
      <c r="N119">
        <v>15</v>
      </c>
      <c r="O119">
        <v>17</v>
      </c>
      <c r="P119">
        <v>117</v>
      </c>
      <c r="Q119">
        <v>17</v>
      </c>
    </row>
    <row r="120" spans="1:17" x14ac:dyDescent="0.3">
      <c r="A120">
        <v>118</v>
      </c>
      <c r="B120" s="1">
        <v>42340</v>
      </c>
      <c r="C120">
        <v>2015</v>
      </c>
      <c r="D120" t="s">
        <v>34</v>
      </c>
      <c r="E120">
        <v>19</v>
      </c>
      <c r="F120" t="s">
        <v>16</v>
      </c>
      <c r="G120" t="s">
        <v>17</v>
      </c>
      <c r="H120" t="s">
        <v>35</v>
      </c>
      <c r="I120" t="s">
        <v>19</v>
      </c>
      <c r="J120" t="s">
        <v>20</v>
      </c>
      <c r="K120">
        <v>1</v>
      </c>
      <c r="L120">
        <v>1050</v>
      </c>
      <c r="M120">
        <v>1111</v>
      </c>
      <c r="N120">
        <v>1050</v>
      </c>
      <c r="O120">
        <v>1111</v>
      </c>
      <c r="P120">
        <v>118</v>
      </c>
      <c r="Q120">
        <v>1111</v>
      </c>
    </row>
    <row r="121" spans="1:17" x14ac:dyDescent="0.3">
      <c r="A121">
        <v>119</v>
      </c>
      <c r="B121" s="1">
        <v>42379</v>
      </c>
      <c r="C121">
        <v>2016</v>
      </c>
      <c r="D121" t="s">
        <v>45</v>
      </c>
      <c r="E121">
        <v>20</v>
      </c>
      <c r="F121" t="s">
        <v>16</v>
      </c>
      <c r="G121" t="s">
        <v>17</v>
      </c>
      <c r="H121" t="s">
        <v>35</v>
      </c>
      <c r="I121" t="s">
        <v>19</v>
      </c>
      <c r="J121" t="s">
        <v>28</v>
      </c>
      <c r="K121">
        <v>3</v>
      </c>
      <c r="L121">
        <v>23.33</v>
      </c>
      <c r="M121">
        <v>29.333333</v>
      </c>
      <c r="N121">
        <v>70</v>
      </c>
      <c r="O121">
        <v>88</v>
      </c>
      <c r="P121">
        <v>119</v>
      </c>
      <c r="Q121">
        <v>88</v>
      </c>
    </row>
    <row r="122" spans="1:17" x14ac:dyDescent="0.3">
      <c r="A122">
        <v>120</v>
      </c>
      <c r="B122" s="1">
        <v>42382</v>
      </c>
      <c r="C122">
        <v>2016</v>
      </c>
      <c r="D122" t="s">
        <v>45</v>
      </c>
      <c r="E122">
        <v>20</v>
      </c>
      <c r="F122" t="s">
        <v>16</v>
      </c>
      <c r="G122" t="s">
        <v>17</v>
      </c>
      <c r="H122" t="s">
        <v>35</v>
      </c>
      <c r="I122" t="s">
        <v>19</v>
      </c>
      <c r="J122" t="s">
        <v>28</v>
      </c>
      <c r="K122">
        <v>1</v>
      </c>
      <c r="L122">
        <v>105</v>
      </c>
      <c r="M122">
        <v>131</v>
      </c>
      <c r="N122">
        <v>105</v>
      </c>
      <c r="O122">
        <v>131</v>
      </c>
      <c r="P122">
        <v>120</v>
      </c>
      <c r="Q122">
        <v>131</v>
      </c>
    </row>
    <row r="123" spans="1:17" x14ac:dyDescent="0.3">
      <c r="A123">
        <v>121</v>
      </c>
      <c r="B123" s="1">
        <v>42427</v>
      </c>
      <c r="C123">
        <v>2016</v>
      </c>
      <c r="D123" t="s">
        <v>15</v>
      </c>
      <c r="E123">
        <v>20</v>
      </c>
      <c r="F123" t="s">
        <v>16</v>
      </c>
      <c r="G123" t="s">
        <v>17</v>
      </c>
      <c r="H123" t="s">
        <v>35</v>
      </c>
      <c r="I123" t="s">
        <v>19</v>
      </c>
      <c r="J123" t="s">
        <v>28</v>
      </c>
      <c r="K123">
        <v>3</v>
      </c>
      <c r="L123">
        <v>11.67</v>
      </c>
      <c r="M123">
        <v>13.333333</v>
      </c>
      <c r="N123">
        <v>35</v>
      </c>
      <c r="O123">
        <v>40</v>
      </c>
      <c r="P123">
        <v>121</v>
      </c>
      <c r="Q123">
        <v>40</v>
      </c>
    </row>
    <row r="124" spans="1:17" x14ac:dyDescent="0.3">
      <c r="A124">
        <v>122</v>
      </c>
      <c r="B124" s="1">
        <v>42232</v>
      </c>
      <c r="C124">
        <v>2015</v>
      </c>
      <c r="D124" t="s">
        <v>30</v>
      </c>
      <c r="E124">
        <v>20</v>
      </c>
      <c r="F124" t="s">
        <v>16</v>
      </c>
      <c r="G124" t="s">
        <v>17</v>
      </c>
      <c r="H124" t="s">
        <v>35</v>
      </c>
      <c r="I124" t="s">
        <v>19</v>
      </c>
      <c r="J124" t="s">
        <v>28</v>
      </c>
      <c r="K124">
        <v>1</v>
      </c>
      <c r="L124">
        <v>910</v>
      </c>
      <c r="M124">
        <v>928</v>
      </c>
      <c r="N124">
        <v>910</v>
      </c>
      <c r="O124">
        <v>928</v>
      </c>
      <c r="P124">
        <v>122</v>
      </c>
      <c r="Q124">
        <v>928</v>
      </c>
    </row>
    <row r="125" spans="1:17" x14ac:dyDescent="0.3">
      <c r="A125">
        <v>123</v>
      </c>
      <c r="B125" s="1">
        <v>42325</v>
      </c>
      <c r="C125">
        <v>2015</v>
      </c>
      <c r="D125" t="s">
        <v>33</v>
      </c>
      <c r="E125">
        <v>20</v>
      </c>
      <c r="F125" t="s">
        <v>16</v>
      </c>
      <c r="G125" t="s">
        <v>17</v>
      </c>
      <c r="H125" t="s">
        <v>35</v>
      </c>
      <c r="I125" t="s">
        <v>19</v>
      </c>
      <c r="J125" t="s">
        <v>28</v>
      </c>
      <c r="K125">
        <v>3</v>
      </c>
      <c r="L125">
        <v>35</v>
      </c>
      <c r="M125">
        <v>37.666666999999997</v>
      </c>
      <c r="N125">
        <v>105</v>
      </c>
      <c r="O125">
        <v>113</v>
      </c>
      <c r="P125">
        <v>123</v>
      </c>
      <c r="Q125">
        <v>113</v>
      </c>
    </row>
    <row r="126" spans="1:17" x14ac:dyDescent="0.3">
      <c r="A126">
        <v>124</v>
      </c>
      <c r="B126" s="1">
        <v>42214</v>
      </c>
      <c r="C126">
        <v>2015</v>
      </c>
      <c r="D126" t="s">
        <v>29</v>
      </c>
      <c r="E126">
        <v>18</v>
      </c>
      <c r="F126" t="s">
        <v>37</v>
      </c>
      <c r="G126" t="s">
        <v>17</v>
      </c>
      <c r="H126" t="s">
        <v>18</v>
      </c>
      <c r="I126" t="s">
        <v>38</v>
      </c>
      <c r="J126" t="s">
        <v>39</v>
      </c>
      <c r="K126">
        <v>2</v>
      </c>
      <c r="L126">
        <v>1147.5</v>
      </c>
      <c r="M126">
        <v>1106.5</v>
      </c>
      <c r="N126">
        <v>2295</v>
      </c>
      <c r="O126">
        <v>2213</v>
      </c>
      <c r="P126">
        <v>124</v>
      </c>
      <c r="Q126">
        <v>2213</v>
      </c>
    </row>
    <row r="127" spans="1:17" x14ac:dyDescent="0.3">
      <c r="A127">
        <v>125</v>
      </c>
      <c r="B127" s="1">
        <v>42214</v>
      </c>
      <c r="C127">
        <v>2015</v>
      </c>
      <c r="D127" t="s">
        <v>29</v>
      </c>
      <c r="E127">
        <v>18</v>
      </c>
      <c r="F127" t="s">
        <v>37</v>
      </c>
      <c r="G127" t="s">
        <v>17</v>
      </c>
      <c r="H127" t="s">
        <v>18</v>
      </c>
      <c r="I127" t="s">
        <v>19</v>
      </c>
      <c r="J127" t="s">
        <v>41</v>
      </c>
      <c r="K127">
        <v>1</v>
      </c>
      <c r="L127">
        <v>440</v>
      </c>
      <c r="M127">
        <v>509</v>
      </c>
      <c r="N127">
        <v>440</v>
      </c>
      <c r="O127">
        <v>509</v>
      </c>
      <c r="P127">
        <v>125</v>
      </c>
      <c r="Q127">
        <v>509</v>
      </c>
    </row>
    <row r="128" spans="1:17" x14ac:dyDescent="0.3">
      <c r="A128">
        <v>126</v>
      </c>
      <c r="B128" s="1">
        <v>42214</v>
      </c>
      <c r="C128">
        <v>2015</v>
      </c>
      <c r="D128" t="s">
        <v>29</v>
      </c>
      <c r="E128">
        <v>18</v>
      </c>
      <c r="F128" t="s">
        <v>16</v>
      </c>
      <c r="G128" t="s">
        <v>17</v>
      </c>
      <c r="H128" t="s">
        <v>40</v>
      </c>
      <c r="I128" t="s">
        <v>38</v>
      </c>
      <c r="J128" t="s">
        <v>39</v>
      </c>
      <c r="K128">
        <v>1</v>
      </c>
      <c r="L128">
        <v>2295</v>
      </c>
      <c r="M128">
        <v>2115</v>
      </c>
      <c r="N128">
        <v>2295</v>
      </c>
      <c r="O128">
        <v>2115</v>
      </c>
      <c r="P128">
        <v>126</v>
      </c>
      <c r="Q128">
        <v>2115</v>
      </c>
    </row>
    <row r="129" spans="1:17" x14ac:dyDescent="0.3">
      <c r="A129">
        <v>127</v>
      </c>
      <c r="B129" s="1">
        <v>42214</v>
      </c>
      <c r="C129">
        <v>2015</v>
      </c>
      <c r="D129" t="s">
        <v>29</v>
      </c>
      <c r="E129">
        <v>18</v>
      </c>
      <c r="F129" t="s">
        <v>16</v>
      </c>
      <c r="G129" t="s">
        <v>17</v>
      </c>
      <c r="H129" t="s">
        <v>40</v>
      </c>
      <c r="I129" t="s">
        <v>19</v>
      </c>
      <c r="J129" t="s">
        <v>50</v>
      </c>
      <c r="K129">
        <v>1</v>
      </c>
      <c r="L129">
        <v>230</v>
      </c>
      <c r="M129">
        <v>250</v>
      </c>
      <c r="N129">
        <v>230</v>
      </c>
      <c r="O129">
        <v>250</v>
      </c>
      <c r="P129">
        <v>127</v>
      </c>
      <c r="Q129">
        <v>250</v>
      </c>
    </row>
    <row r="130" spans="1:17" x14ac:dyDescent="0.3">
      <c r="A130">
        <v>128</v>
      </c>
      <c r="B130" s="1">
        <v>42214</v>
      </c>
      <c r="C130">
        <v>2015</v>
      </c>
      <c r="D130" t="s">
        <v>29</v>
      </c>
      <c r="E130">
        <v>18</v>
      </c>
      <c r="F130" t="s">
        <v>16</v>
      </c>
      <c r="G130" t="s">
        <v>17</v>
      </c>
      <c r="H130" t="s">
        <v>40</v>
      </c>
      <c r="I130" t="s">
        <v>19</v>
      </c>
      <c r="J130" t="s">
        <v>50</v>
      </c>
      <c r="K130">
        <v>3</v>
      </c>
      <c r="L130">
        <v>5</v>
      </c>
      <c r="M130">
        <v>5</v>
      </c>
      <c r="N130">
        <v>15</v>
      </c>
      <c r="O130">
        <v>15</v>
      </c>
      <c r="P130">
        <v>128</v>
      </c>
      <c r="Q130">
        <v>15</v>
      </c>
    </row>
    <row r="131" spans="1:17" x14ac:dyDescent="0.3">
      <c r="A131">
        <v>129</v>
      </c>
      <c r="B131" s="1">
        <v>42198</v>
      </c>
      <c r="C131">
        <v>2015</v>
      </c>
      <c r="D131" t="s">
        <v>29</v>
      </c>
      <c r="E131">
        <v>21</v>
      </c>
      <c r="F131" t="s">
        <v>37</v>
      </c>
      <c r="G131" t="s">
        <v>17</v>
      </c>
      <c r="H131" t="s">
        <v>18</v>
      </c>
      <c r="I131" t="s">
        <v>38</v>
      </c>
      <c r="J131" t="s">
        <v>39</v>
      </c>
      <c r="K131">
        <v>1</v>
      </c>
      <c r="L131">
        <v>2295</v>
      </c>
      <c r="M131">
        <v>2218</v>
      </c>
      <c r="N131">
        <v>2295</v>
      </c>
      <c r="O131">
        <v>2218</v>
      </c>
      <c r="P131">
        <v>129</v>
      </c>
      <c r="Q131">
        <v>2218</v>
      </c>
    </row>
    <row r="132" spans="1:17" x14ac:dyDescent="0.3">
      <c r="A132">
        <v>130</v>
      </c>
      <c r="B132" s="1">
        <v>42277</v>
      </c>
      <c r="C132">
        <v>2015</v>
      </c>
      <c r="D132" t="s">
        <v>31</v>
      </c>
      <c r="E132">
        <v>21</v>
      </c>
      <c r="F132" t="s">
        <v>16</v>
      </c>
      <c r="G132" t="s">
        <v>17</v>
      </c>
      <c r="H132" t="s">
        <v>18</v>
      </c>
      <c r="I132" t="s">
        <v>23</v>
      </c>
      <c r="J132" t="s">
        <v>51</v>
      </c>
      <c r="K132">
        <v>1</v>
      </c>
      <c r="L132">
        <v>64</v>
      </c>
      <c r="M132">
        <v>61</v>
      </c>
      <c r="N132">
        <v>64</v>
      </c>
      <c r="O132">
        <v>61</v>
      </c>
      <c r="P132">
        <v>130</v>
      </c>
      <c r="Q132">
        <v>61</v>
      </c>
    </row>
    <row r="133" spans="1:17" x14ac:dyDescent="0.3">
      <c r="A133">
        <v>131</v>
      </c>
      <c r="B133" s="1">
        <v>42199</v>
      </c>
      <c r="C133">
        <v>2015</v>
      </c>
      <c r="D133" t="s">
        <v>29</v>
      </c>
      <c r="E133">
        <v>21</v>
      </c>
      <c r="F133" t="s">
        <v>16</v>
      </c>
      <c r="G133" t="s">
        <v>17</v>
      </c>
      <c r="H133" t="s">
        <v>40</v>
      </c>
      <c r="I133" t="s">
        <v>38</v>
      </c>
      <c r="J133" t="s">
        <v>39</v>
      </c>
      <c r="K133">
        <v>1</v>
      </c>
      <c r="L133">
        <v>2320</v>
      </c>
      <c r="M133">
        <v>2155</v>
      </c>
      <c r="N133">
        <v>2320</v>
      </c>
      <c r="O133">
        <v>2155</v>
      </c>
      <c r="P133">
        <v>131</v>
      </c>
      <c r="Q133">
        <v>2155</v>
      </c>
    </row>
    <row r="134" spans="1:17" x14ac:dyDescent="0.3">
      <c r="A134">
        <v>132</v>
      </c>
      <c r="B134" s="1">
        <v>42285</v>
      </c>
      <c r="C134">
        <v>2015</v>
      </c>
      <c r="D134" t="s">
        <v>32</v>
      </c>
      <c r="E134">
        <v>21</v>
      </c>
      <c r="F134" t="s">
        <v>16</v>
      </c>
      <c r="G134" t="s">
        <v>17</v>
      </c>
      <c r="H134" t="s">
        <v>40</v>
      </c>
      <c r="I134" t="s">
        <v>38</v>
      </c>
      <c r="J134" t="s">
        <v>39</v>
      </c>
      <c r="K134">
        <v>3</v>
      </c>
      <c r="L134">
        <v>256.33</v>
      </c>
      <c r="M134">
        <v>256.33333299999998</v>
      </c>
      <c r="N134">
        <v>769</v>
      </c>
      <c r="O134">
        <v>769</v>
      </c>
      <c r="P134">
        <v>132</v>
      </c>
      <c r="Q134">
        <v>769</v>
      </c>
    </row>
    <row r="135" spans="1:17" x14ac:dyDescent="0.3">
      <c r="A135">
        <v>133</v>
      </c>
      <c r="B135" s="1">
        <v>42197</v>
      </c>
      <c r="C135">
        <v>2015</v>
      </c>
      <c r="D135" t="s">
        <v>29</v>
      </c>
      <c r="E135">
        <v>21</v>
      </c>
      <c r="F135" t="s">
        <v>16</v>
      </c>
      <c r="G135" t="s">
        <v>17</v>
      </c>
      <c r="H135" t="s">
        <v>35</v>
      </c>
      <c r="I135" t="s">
        <v>19</v>
      </c>
      <c r="J135" t="s">
        <v>41</v>
      </c>
      <c r="K135">
        <v>1</v>
      </c>
      <c r="L135">
        <v>825</v>
      </c>
      <c r="M135">
        <v>959</v>
      </c>
      <c r="N135">
        <v>825</v>
      </c>
      <c r="O135">
        <v>959</v>
      </c>
      <c r="P135">
        <v>133</v>
      </c>
      <c r="Q135">
        <v>959</v>
      </c>
    </row>
    <row r="136" spans="1:17" x14ac:dyDescent="0.3">
      <c r="A136">
        <v>134</v>
      </c>
      <c r="B136" s="1">
        <v>42217</v>
      </c>
      <c r="C136">
        <v>2015</v>
      </c>
      <c r="D136" t="s">
        <v>30</v>
      </c>
      <c r="E136">
        <v>21</v>
      </c>
      <c r="F136" t="s">
        <v>16</v>
      </c>
      <c r="G136" t="s">
        <v>17</v>
      </c>
      <c r="H136" t="s">
        <v>35</v>
      </c>
      <c r="I136" t="s">
        <v>19</v>
      </c>
      <c r="J136" t="s">
        <v>41</v>
      </c>
      <c r="K136">
        <v>3</v>
      </c>
      <c r="L136">
        <v>128.33000000000001</v>
      </c>
      <c r="M136">
        <v>141.66666699999999</v>
      </c>
      <c r="N136">
        <v>385</v>
      </c>
      <c r="O136">
        <v>425</v>
      </c>
      <c r="P136">
        <v>134</v>
      </c>
      <c r="Q136">
        <v>425</v>
      </c>
    </row>
    <row r="137" spans="1:17" x14ac:dyDescent="0.3">
      <c r="A137">
        <v>135</v>
      </c>
      <c r="B137" s="1">
        <v>42298</v>
      </c>
      <c r="C137">
        <v>2015</v>
      </c>
      <c r="D137" t="s">
        <v>32</v>
      </c>
      <c r="E137">
        <v>21</v>
      </c>
      <c r="F137" t="s">
        <v>16</v>
      </c>
      <c r="G137" t="s">
        <v>17</v>
      </c>
      <c r="H137" t="s">
        <v>35</v>
      </c>
      <c r="I137" t="s">
        <v>19</v>
      </c>
      <c r="J137" t="s">
        <v>41</v>
      </c>
      <c r="K137">
        <v>3</v>
      </c>
      <c r="L137">
        <v>238.33</v>
      </c>
      <c r="M137">
        <v>268</v>
      </c>
      <c r="N137">
        <v>715</v>
      </c>
      <c r="O137">
        <v>804</v>
      </c>
      <c r="P137">
        <v>135</v>
      </c>
      <c r="Q137">
        <v>804</v>
      </c>
    </row>
    <row r="138" spans="1:17" x14ac:dyDescent="0.3">
      <c r="A138">
        <v>136</v>
      </c>
      <c r="B138" s="1">
        <v>42355</v>
      </c>
      <c r="C138">
        <v>2015</v>
      </c>
      <c r="D138" t="s">
        <v>34</v>
      </c>
      <c r="E138">
        <v>21</v>
      </c>
      <c r="F138" t="s">
        <v>16</v>
      </c>
      <c r="G138" t="s">
        <v>17</v>
      </c>
      <c r="H138" t="s">
        <v>35</v>
      </c>
      <c r="I138" t="s">
        <v>19</v>
      </c>
      <c r="J138" t="s">
        <v>41</v>
      </c>
      <c r="K138">
        <v>2</v>
      </c>
      <c r="L138">
        <v>302.5</v>
      </c>
      <c r="M138">
        <v>337.5</v>
      </c>
      <c r="N138">
        <v>605</v>
      </c>
      <c r="O138">
        <v>675</v>
      </c>
      <c r="P138">
        <v>136</v>
      </c>
      <c r="Q138">
        <v>675</v>
      </c>
    </row>
    <row r="139" spans="1:17" x14ac:dyDescent="0.3">
      <c r="A139">
        <v>137</v>
      </c>
      <c r="B139" s="1">
        <v>42464</v>
      </c>
      <c r="C139">
        <v>2016</v>
      </c>
      <c r="D139" t="s">
        <v>26</v>
      </c>
      <c r="E139">
        <v>23</v>
      </c>
      <c r="F139" t="s">
        <v>37</v>
      </c>
      <c r="G139" t="s">
        <v>17</v>
      </c>
      <c r="H139" t="s">
        <v>35</v>
      </c>
      <c r="I139" t="s">
        <v>38</v>
      </c>
      <c r="J139" t="s">
        <v>39</v>
      </c>
      <c r="K139">
        <v>1</v>
      </c>
      <c r="L139">
        <v>769</v>
      </c>
      <c r="M139">
        <v>815</v>
      </c>
      <c r="N139">
        <v>769</v>
      </c>
      <c r="O139">
        <v>815</v>
      </c>
      <c r="P139">
        <v>137</v>
      </c>
      <c r="Q139">
        <v>815</v>
      </c>
    </row>
    <row r="140" spans="1:17" x14ac:dyDescent="0.3">
      <c r="A140">
        <v>138</v>
      </c>
      <c r="B140" s="1">
        <v>42096</v>
      </c>
      <c r="C140">
        <v>2015</v>
      </c>
      <c r="D140" t="s">
        <v>26</v>
      </c>
      <c r="E140">
        <v>23</v>
      </c>
      <c r="F140" t="s">
        <v>37</v>
      </c>
      <c r="G140" t="s">
        <v>17</v>
      </c>
      <c r="H140" t="s">
        <v>35</v>
      </c>
      <c r="I140" t="s">
        <v>38</v>
      </c>
      <c r="J140" t="s">
        <v>39</v>
      </c>
      <c r="K140">
        <v>3</v>
      </c>
      <c r="L140">
        <v>683</v>
      </c>
      <c r="M140">
        <v>602.66666699999996</v>
      </c>
      <c r="N140">
        <v>2049</v>
      </c>
      <c r="O140">
        <v>1808</v>
      </c>
      <c r="P140">
        <v>138</v>
      </c>
      <c r="Q140">
        <v>1808</v>
      </c>
    </row>
    <row r="141" spans="1:17" x14ac:dyDescent="0.3">
      <c r="A141">
        <v>139</v>
      </c>
      <c r="B141" s="1">
        <v>42238</v>
      </c>
      <c r="C141">
        <v>2015</v>
      </c>
      <c r="D141" t="s">
        <v>30</v>
      </c>
      <c r="E141">
        <v>23</v>
      </c>
      <c r="F141" t="s">
        <v>37</v>
      </c>
      <c r="G141" t="s">
        <v>17</v>
      </c>
      <c r="H141" t="s">
        <v>35</v>
      </c>
      <c r="I141" t="s">
        <v>38</v>
      </c>
      <c r="J141" t="s">
        <v>39</v>
      </c>
      <c r="K141">
        <v>1</v>
      </c>
      <c r="L141">
        <v>2295</v>
      </c>
      <c r="M141">
        <v>2297</v>
      </c>
      <c r="N141">
        <v>2295</v>
      </c>
      <c r="O141">
        <v>2297</v>
      </c>
      <c r="P141">
        <v>139</v>
      </c>
      <c r="Q141">
        <v>2297</v>
      </c>
    </row>
    <row r="142" spans="1:17" x14ac:dyDescent="0.3">
      <c r="A142">
        <v>140</v>
      </c>
      <c r="B142" s="1">
        <v>42241</v>
      </c>
      <c r="C142">
        <v>2015</v>
      </c>
      <c r="D142" t="s">
        <v>30</v>
      </c>
      <c r="E142">
        <v>23</v>
      </c>
      <c r="F142" t="s">
        <v>37</v>
      </c>
      <c r="G142" t="s">
        <v>17</v>
      </c>
      <c r="H142" t="s">
        <v>35</v>
      </c>
      <c r="I142" t="s">
        <v>38</v>
      </c>
      <c r="J142" t="s">
        <v>39</v>
      </c>
      <c r="K142">
        <v>3</v>
      </c>
      <c r="L142">
        <v>773.33</v>
      </c>
      <c r="M142">
        <v>682</v>
      </c>
      <c r="N142">
        <v>2320</v>
      </c>
      <c r="O142">
        <v>2046</v>
      </c>
      <c r="P142">
        <v>140</v>
      </c>
      <c r="Q142">
        <v>2046</v>
      </c>
    </row>
    <row r="143" spans="1:17" x14ac:dyDescent="0.3">
      <c r="A143">
        <v>141</v>
      </c>
      <c r="B143" s="1">
        <v>42503</v>
      </c>
      <c r="C143">
        <v>2016</v>
      </c>
      <c r="D143" t="s">
        <v>43</v>
      </c>
      <c r="E143">
        <v>24</v>
      </c>
      <c r="F143" t="s">
        <v>16</v>
      </c>
      <c r="G143" t="s">
        <v>17</v>
      </c>
      <c r="H143" t="s">
        <v>35</v>
      </c>
      <c r="I143" t="s">
        <v>23</v>
      </c>
      <c r="J143" t="s">
        <v>51</v>
      </c>
      <c r="K143">
        <v>1</v>
      </c>
      <c r="L143">
        <v>191</v>
      </c>
      <c r="M143">
        <v>237</v>
      </c>
      <c r="N143">
        <v>191</v>
      </c>
      <c r="O143">
        <v>237</v>
      </c>
      <c r="P143">
        <v>141</v>
      </c>
      <c r="Q143">
        <v>237</v>
      </c>
    </row>
    <row r="144" spans="1:17" x14ac:dyDescent="0.3">
      <c r="A144">
        <v>142</v>
      </c>
      <c r="B144" s="1">
        <v>42286</v>
      </c>
      <c r="C144">
        <v>2015</v>
      </c>
      <c r="D144" t="s">
        <v>32</v>
      </c>
      <c r="E144">
        <v>24</v>
      </c>
      <c r="F144" t="s">
        <v>16</v>
      </c>
      <c r="G144" t="s">
        <v>17</v>
      </c>
      <c r="H144" t="s">
        <v>35</v>
      </c>
      <c r="I144" t="s">
        <v>23</v>
      </c>
      <c r="J144" t="s">
        <v>51</v>
      </c>
      <c r="K144">
        <v>2</v>
      </c>
      <c r="L144">
        <v>32</v>
      </c>
      <c r="M144">
        <v>29</v>
      </c>
      <c r="N144">
        <v>64</v>
      </c>
      <c r="O144">
        <v>58</v>
      </c>
      <c r="P144">
        <v>142</v>
      </c>
      <c r="Q144">
        <v>58</v>
      </c>
    </row>
    <row r="145" spans="1:17" x14ac:dyDescent="0.3">
      <c r="A145">
        <v>143</v>
      </c>
      <c r="B145" s="1">
        <v>42334</v>
      </c>
      <c r="C145">
        <v>2015</v>
      </c>
      <c r="D145" t="s">
        <v>33</v>
      </c>
      <c r="E145">
        <v>24</v>
      </c>
      <c r="F145" t="s">
        <v>16</v>
      </c>
      <c r="G145" t="s">
        <v>17</v>
      </c>
      <c r="H145" t="s">
        <v>35</v>
      </c>
      <c r="I145" t="s">
        <v>23</v>
      </c>
      <c r="J145" t="s">
        <v>51</v>
      </c>
      <c r="K145">
        <v>3</v>
      </c>
      <c r="L145">
        <v>508</v>
      </c>
      <c r="M145">
        <v>575</v>
      </c>
      <c r="N145">
        <v>1524</v>
      </c>
      <c r="O145">
        <v>1725</v>
      </c>
      <c r="P145">
        <v>143</v>
      </c>
      <c r="Q145">
        <v>1725</v>
      </c>
    </row>
    <row r="146" spans="1:17" x14ac:dyDescent="0.3">
      <c r="A146">
        <v>144</v>
      </c>
      <c r="B146" s="1">
        <v>42476</v>
      </c>
      <c r="C146">
        <v>2016</v>
      </c>
      <c r="D146" t="s">
        <v>26</v>
      </c>
      <c r="E146">
        <v>25</v>
      </c>
      <c r="F146" t="s">
        <v>16</v>
      </c>
      <c r="G146" t="s">
        <v>17</v>
      </c>
      <c r="H146" t="s">
        <v>18</v>
      </c>
      <c r="I146" t="s">
        <v>23</v>
      </c>
      <c r="J146" t="s">
        <v>47</v>
      </c>
      <c r="K146">
        <v>1</v>
      </c>
      <c r="L146">
        <v>207</v>
      </c>
      <c r="M146">
        <v>265</v>
      </c>
      <c r="N146">
        <v>207</v>
      </c>
      <c r="O146">
        <v>265</v>
      </c>
      <c r="P146">
        <v>144</v>
      </c>
      <c r="Q146">
        <v>265</v>
      </c>
    </row>
    <row r="147" spans="1:17" x14ac:dyDescent="0.3">
      <c r="A147">
        <v>145</v>
      </c>
      <c r="B147" s="1">
        <v>42456</v>
      </c>
      <c r="C147">
        <v>2016</v>
      </c>
      <c r="D147" t="s">
        <v>25</v>
      </c>
      <c r="E147">
        <v>30</v>
      </c>
      <c r="F147" t="s">
        <v>37</v>
      </c>
      <c r="G147" t="s">
        <v>17</v>
      </c>
      <c r="H147" t="s">
        <v>35</v>
      </c>
      <c r="I147" t="s">
        <v>19</v>
      </c>
      <c r="J147" t="s">
        <v>41</v>
      </c>
      <c r="K147">
        <v>1</v>
      </c>
      <c r="L147">
        <v>330</v>
      </c>
      <c r="M147">
        <v>413</v>
      </c>
      <c r="N147">
        <v>330</v>
      </c>
      <c r="O147">
        <v>413</v>
      </c>
      <c r="P147">
        <v>145</v>
      </c>
      <c r="Q147">
        <v>413</v>
      </c>
    </row>
    <row r="148" spans="1:17" x14ac:dyDescent="0.3">
      <c r="A148">
        <v>146</v>
      </c>
      <c r="B148" s="1">
        <v>42205</v>
      </c>
      <c r="C148">
        <v>2015</v>
      </c>
      <c r="D148" t="s">
        <v>29</v>
      </c>
      <c r="E148">
        <v>30</v>
      </c>
      <c r="F148" t="s">
        <v>37</v>
      </c>
      <c r="G148" t="s">
        <v>17</v>
      </c>
      <c r="H148" t="s">
        <v>35</v>
      </c>
      <c r="I148" t="s">
        <v>19</v>
      </c>
      <c r="J148" t="s">
        <v>41</v>
      </c>
      <c r="K148">
        <v>2</v>
      </c>
      <c r="L148">
        <v>82.5</v>
      </c>
      <c r="M148">
        <v>88.5</v>
      </c>
      <c r="N148">
        <v>165</v>
      </c>
      <c r="O148">
        <v>177</v>
      </c>
      <c r="P148">
        <v>146</v>
      </c>
      <c r="Q148">
        <v>177</v>
      </c>
    </row>
    <row r="149" spans="1:17" x14ac:dyDescent="0.3">
      <c r="A149">
        <v>147</v>
      </c>
      <c r="B149" s="1">
        <v>42313</v>
      </c>
      <c r="C149">
        <v>2015</v>
      </c>
      <c r="D149" t="s">
        <v>33</v>
      </c>
      <c r="E149">
        <v>30</v>
      </c>
      <c r="F149" t="s">
        <v>37</v>
      </c>
      <c r="G149" t="s">
        <v>17</v>
      </c>
      <c r="H149" t="s">
        <v>35</v>
      </c>
      <c r="I149" t="s">
        <v>19</v>
      </c>
      <c r="J149" t="s">
        <v>41</v>
      </c>
      <c r="K149">
        <v>2</v>
      </c>
      <c r="L149">
        <v>55</v>
      </c>
      <c r="M149">
        <v>63.5</v>
      </c>
      <c r="N149">
        <v>110</v>
      </c>
      <c r="O149">
        <v>127</v>
      </c>
      <c r="P149">
        <v>147</v>
      </c>
      <c r="Q149">
        <v>127</v>
      </c>
    </row>
    <row r="150" spans="1:17" x14ac:dyDescent="0.3">
      <c r="A150">
        <v>148</v>
      </c>
      <c r="B150" s="1">
        <v>42457</v>
      </c>
      <c r="C150">
        <v>2016</v>
      </c>
      <c r="D150" t="s">
        <v>25</v>
      </c>
      <c r="E150">
        <v>55</v>
      </c>
      <c r="F150" t="s">
        <v>16</v>
      </c>
      <c r="G150" t="s">
        <v>17</v>
      </c>
      <c r="H150" t="s">
        <v>35</v>
      </c>
      <c r="I150" t="s">
        <v>23</v>
      </c>
      <c r="J150" t="s">
        <v>24</v>
      </c>
      <c r="K150">
        <v>2</v>
      </c>
      <c r="L150">
        <v>343</v>
      </c>
      <c r="M150">
        <v>359</v>
      </c>
      <c r="N150">
        <v>686</v>
      </c>
      <c r="O150">
        <v>718</v>
      </c>
      <c r="P150">
        <v>148</v>
      </c>
      <c r="Q150">
        <v>718</v>
      </c>
    </row>
    <row r="151" spans="1:17" x14ac:dyDescent="0.3">
      <c r="A151">
        <v>149</v>
      </c>
      <c r="B151" s="1">
        <v>42374</v>
      </c>
      <c r="C151">
        <v>2016</v>
      </c>
      <c r="D151" t="s">
        <v>45</v>
      </c>
      <c r="E151">
        <v>53</v>
      </c>
      <c r="F151" t="s">
        <v>16</v>
      </c>
      <c r="G151" t="s">
        <v>17</v>
      </c>
      <c r="H151" t="s">
        <v>18</v>
      </c>
      <c r="I151" t="s">
        <v>19</v>
      </c>
      <c r="J151" t="s">
        <v>20</v>
      </c>
      <c r="K151">
        <v>1</v>
      </c>
      <c r="L151">
        <v>210</v>
      </c>
      <c r="M151">
        <v>271</v>
      </c>
      <c r="N151">
        <v>210</v>
      </c>
      <c r="O151">
        <v>271</v>
      </c>
      <c r="P151">
        <v>149</v>
      </c>
      <c r="Q151">
        <v>271</v>
      </c>
    </row>
    <row r="152" spans="1:17" x14ac:dyDescent="0.3">
      <c r="A152">
        <v>150</v>
      </c>
      <c r="B152" s="1">
        <v>42407</v>
      </c>
      <c r="C152">
        <v>2016</v>
      </c>
      <c r="D152" t="s">
        <v>15</v>
      </c>
      <c r="E152">
        <v>53</v>
      </c>
      <c r="F152" t="s">
        <v>16</v>
      </c>
      <c r="G152" t="s">
        <v>17</v>
      </c>
      <c r="H152" t="s">
        <v>18</v>
      </c>
      <c r="I152" t="s">
        <v>19</v>
      </c>
      <c r="J152" t="s">
        <v>20</v>
      </c>
      <c r="K152">
        <v>2</v>
      </c>
      <c r="L152">
        <v>35</v>
      </c>
      <c r="M152">
        <v>45.5</v>
      </c>
      <c r="N152">
        <v>70</v>
      </c>
      <c r="O152">
        <v>91</v>
      </c>
      <c r="P152">
        <v>150</v>
      </c>
      <c r="Q152">
        <v>91</v>
      </c>
    </row>
    <row r="153" spans="1:17" x14ac:dyDescent="0.3">
      <c r="A153">
        <v>151</v>
      </c>
      <c r="B153" s="1">
        <v>42407</v>
      </c>
      <c r="C153">
        <v>2016</v>
      </c>
      <c r="D153" t="s">
        <v>15</v>
      </c>
      <c r="E153">
        <v>53</v>
      </c>
      <c r="F153" t="s">
        <v>16</v>
      </c>
      <c r="G153" t="s">
        <v>17</v>
      </c>
      <c r="H153" t="s">
        <v>18</v>
      </c>
      <c r="I153" t="s">
        <v>19</v>
      </c>
      <c r="J153" t="s">
        <v>20</v>
      </c>
      <c r="K153">
        <v>2</v>
      </c>
      <c r="L153">
        <v>20</v>
      </c>
      <c r="M153">
        <v>23.5</v>
      </c>
      <c r="N153">
        <v>40</v>
      </c>
      <c r="O153">
        <v>47</v>
      </c>
      <c r="P153">
        <v>151</v>
      </c>
      <c r="Q153">
        <v>47</v>
      </c>
    </row>
    <row r="154" spans="1:17" x14ac:dyDescent="0.3">
      <c r="A154">
        <v>152</v>
      </c>
      <c r="B154" s="1">
        <v>42430</v>
      </c>
      <c r="C154">
        <v>2016</v>
      </c>
      <c r="D154" t="s">
        <v>25</v>
      </c>
      <c r="E154">
        <v>53</v>
      </c>
      <c r="F154" t="s">
        <v>16</v>
      </c>
      <c r="G154" t="s">
        <v>17</v>
      </c>
      <c r="H154" t="s">
        <v>18</v>
      </c>
      <c r="I154" t="s">
        <v>19</v>
      </c>
      <c r="J154" t="s">
        <v>20</v>
      </c>
      <c r="K154">
        <v>3</v>
      </c>
      <c r="L154">
        <v>20</v>
      </c>
      <c r="M154">
        <v>22</v>
      </c>
      <c r="N154">
        <v>60</v>
      </c>
      <c r="O154">
        <v>66</v>
      </c>
      <c r="P154">
        <v>152</v>
      </c>
      <c r="Q154">
        <v>66</v>
      </c>
    </row>
    <row r="155" spans="1:17" x14ac:dyDescent="0.3">
      <c r="A155">
        <v>153</v>
      </c>
      <c r="B155" s="1">
        <v>42430</v>
      </c>
      <c r="C155">
        <v>2016</v>
      </c>
      <c r="D155" t="s">
        <v>25</v>
      </c>
      <c r="E155">
        <v>53</v>
      </c>
      <c r="F155" t="s">
        <v>16</v>
      </c>
      <c r="G155" t="s">
        <v>17</v>
      </c>
      <c r="H155" t="s">
        <v>18</v>
      </c>
      <c r="I155" t="s">
        <v>19</v>
      </c>
      <c r="J155" t="s">
        <v>20</v>
      </c>
      <c r="K155">
        <v>2</v>
      </c>
      <c r="L155">
        <v>385</v>
      </c>
      <c r="M155">
        <v>495.5</v>
      </c>
      <c r="N155">
        <v>770</v>
      </c>
      <c r="O155">
        <v>991</v>
      </c>
      <c r="P155">
        <v>153</v>
      </c>
      <c r="Q155">
        <v>991</v>
      </c>
    </row>
    <row r="156" spans="1:17" x14ac:dyDescent="0.3">
      <c r="A156">
        <v>154</v>
      </c>
      <c r="B156" s="1">
        <v>42430</v>
      </c>
      <c r="C156">
        <v>2016</v>
      </c>
      <c r="D156" t="s">
        <v>25</v>
      </c>
      <c r="E156">
        <v>53</v>
      </c>
      <c r="F156" t="s">
        <v>16</v>
      </c>
      <c r="G156" t="s">
        <v>17</v>
      </c>
      <c r="H156" t="s">
        <v>18</v>
      </c>
      <c r="I156" t="s">
        <v>19</v>
      </c>
      <c r="J156" t="s">
        <v>20</v>
      </c>
      <c r="K156">
        <v>3</v>
      </c>
      <c r="L156">
        <v>5.33</v>
      </c>
      <c r="M156">
        <v>7.6666670000000003</v>
      </c>
      <c r="N156">
        <v>16</v>
      </c>
      <c r="O156">
        <v>23</v>
      </c>
      <c r="P156">
        <v>154</v>
      </c>
      <c r="Q156">
        <v>23</v>
      </c>
    </row>
    <row r="157" spans="1:17" x14ac:dyDescent="0.3">
      <c r="A157">
        <v>155</v>
      </c>
      <c r="B157" s="1">
        <v>42559</v>
      </c>
      <c r="C157">
        <v>2016</v>
      </c>
      <c r="D157" t="s">
        <v>29</v>
      </c>
      <c r="E157">
        <v>53</v>
      </c>
      <c r="F157" t="s">
        <v>16</v>
      </c>
      <c r="G157" t="s">
        <v>17</v>
      </c>
      <c r="H157" t="s">
        <v>18</v>
      </c>
      <c r="I157" t="s">
        <v>19</v>
      </c>
      <c r="J157" t="s">
        <v>20</v>
      </c>
      <c r="K157">
        <v>2</v>
      </c>
      <c r="L157">
        <v>58</v>
      </c>
      <c r="M157">
        <v>65</v>
      </c>
      <c r="N157">
        <v>116</v>
      </c>
      <c r="O157">
        <v>130</v>
      </c>
      <c r="P157">
        <v>155</v>
      </c>
      <c r="Q157">
        <v>130</v>
      </c>
    </row>
    <row r="158" spans="1:17" x14ac:dyDescent="0.3">
      <c r="A158">
        <v>156</v>
      </c>
      <c r="B158" s="1">
        <v>42559</v>
      </c>
      <c r="C158">
        <v>2016</v>
      </c>
      <c r="D158" t="s">
        <v>29</v>
      </c>
      <c r="E158">
        <v>53</v>
      </c>
      <c r="F158" t="s">
        <v>16</v>
      </c>
      <c r="G158" t="s">
        <v>17</v>
      </c>
      <c r="H158" t="s">
        <v>18</v>
      </c>
      <c r="I158" t="s">
        <v>19</v>
      </c>
      <c r="J158" t="s">
        <v>28</v>
      </c>
      <c r="K158">
        <v>2</v>
      </c>
      <c r="L158">
        <v>455</v>
      </c>
      <c r="M158">
        <v>578</v>
      </c>
      <c r="N158">
        <v>910</v>
      </c>
      <c r="O158">
        <v>1156</v>
      </c>
      <c r="P158">
        <v>156</v>
      </c>
      <c r="Q158">
        <v>1156</v>
      </c>
    </row>
    <row r="159" spans="1:17" x14ac:dyDescent="0.3">
      <c r="A159">
        <v>157</v>
      </c>
      <c r="B159" s="1">
        <v>42571</v>
      </c>
      <c r="C159">
        <v>2016</v>
      </c>
      <c r="D159" t="s">
        <v>29</v>
      </c>
      <c r="E159">
        <v>53</v>
      </c>
      <c r="F159" t="s">
        <v>16</v>
      </c>
      <c r="G159" t="s">
        <v>17</v>
      </c>
      <c r="H159" t="s">
        <v>18</v>
      </c>
      <c r="I159" t="s">
        <v>19</v>
      </c>
      <c r="J159" t="s">
        <v>20</v>
      </c>
      <c r="K159">
        <v>2</v>
      </c>
      <c r="L159">
        <v>30</v>
      </c>
      <c r="M159">
        <v>36</v>
      </c>
      <c r="N159">
        <v>60</v>
      </c>
      <c r="O159">
        <v>72</v>
      </c>
      <c r="P159">
        <v>157</v>
      </c>
      <c r="Q159">
        <v>72</v>
      </c>
    </row>
    <row r="160" spans="1:17" x14ac:dyDescent="0.3">
      <c r="A160">
        <v>158</v>
      </c>
      <c r="B160" s="1">
        <v>42571</v>
      </c>
      <c r="C160">
        <v>2016</v>
      </c>
      <c r="D160" t="s">
        <v>29</v>
      </c>
      <c r="E160">
        <v>53</v>
      </c>
      <c r="F160" t="s">
        <v>16</v>
      </c>
      <c r="G160" t="s">
        <v>17</v>
      </c>
      <c r="H160" t="s">
        <v>18</v>
      </c>
      <c r="I160" t="s">
        <v>19</v>
      </c>
      <c r="J160" t="s">
        <v>20</v>
      </c>
      <c r="K160">
        <v>3</v>
      </c>
      <c r="L160">
        <v>12.33</v>
      </c>
      <c r="M160">
        <v>15.666667</v>
      </c>
      <c r="N160">
        <v>37</v>
      </c>
      <c r="O160">
        <v>47</v>
      </c>
      <c r="P160">
        <v>158</v>
      </c>
      <c r="Q160">
        <v>47</v>
      </c>
    </row>
    <row r="161" spans="1:17" x14ac:dyDescent="0.3">
      <c r="A161">
        <v>159</v>
      </c>
      <c r="B161" s="1">
        <v>42260</v>
      </c>
      <c r="C161">
        <v>2015</v>
      </c>
      <c r="D161" t="s">
        <v>31</v>
      </c>
      <c r="E161">
        <v>53</v>
      </c>
      <c r="F161" t="s">
        <v>16</v>
      </c>
      <c r="G161" t="s">
        <v>17</v>
      </c>
      <c r="H161" t="s">
        <v>18</v>
      </c>
      <c r="I161" t="s">
        <v>19</v>
      </c>
      <c r="J161" t="s">
        <v>20</v>
      </c>
      <c r="K161">
        <v>1</v>
      </c>
      <c r="L161">
        <v>420</v>
      </c>
      <c r="M161">
        <v>442</v>
      </c>
      <c r="N161">
        <v>420</v>
      </c>
      <c r="O161">
        <v>442</v>
      </c>
      <c r="P161">
        <v>159</v>
      </c>
      <c r="Q161">
        <v>442</v>
      </c>
    </row>
    <row r="162" spans="1:17" x14ac:dyDescent="0.3">
      <c r="A162">
        <v>160</v>
      </c>
      <c r="B162" s="1">
        <v>42282</v>
      </c>
      <c r="C162">
        <v>2015</v>
      </c>
      <c r="D162" t="s">
        <v>32</v>
      </c>
      <c r="E162">
        <v>53</v>
      </c>
      <c r="F162" t="s">
        <v>16</v>
      </c>
      <c r="G162" t="s">
        <v>17</v>
      </c>
      <c r="H162" t="s">
        <v>18</v>
      </c>
      <c r="I162" t="s">
        <v>19</v>
      </c>
      <c r="J162" t="s">
        <v>20</v>
      </c>
      <c r="K162">
        <v>1</v>
      </c>
      <c r="L162">
        <v>52</v>
      </c>
      <c r="M162">
        <v>59</v>
      </c>
      <c r="N162">
        <v>52</v>
      </c>
      <c r="O162">
        <v>59</v>
      </c>
      <c r="P162">
        <v>160</v>
      </c>
      <c r="Q162">
        <v>59</v>
      </c>
    </row>
    <row r="163" spans="1:17" x14ac:dyDescent="0.3">
      <c r="A163">
        <v>161</v>
      </c>
      <c r="B163" s="1">
        <v>42411</v>
      </c>
      <c r="C163">
        <v>2016</v>
      </c>
      <c r="D163" t="s">
        <v>15</v>
      </c>
      <c r="E163">
        <v>53</v>
      </c>
      <c r="F163" t="s">
        <v>16</v>
      </c>
      <c r="G163" t="s">
        <v>17</v>
      </c>
      <c r="H163" t="s">
        <v>35</v>
      </c>
      <c r="I163" t="s">
        <v>19</v>
      </c>
      <c r="J163" t="s">
        <v>20</v>
      </c>
      <c r="K163">
        <v>3</v>
      </c>
      <c r="L163">
        <v>35</v>
      </c>
      <c r="M163">
        <v>42.333333000000003</v>
      </c>
      <c r="N163">
        <v>105</v>
      </c>
      <c r="O163">
        <v>127</v>
      </c>
      <c r="P163">
        <v>161</v>
      </c>
      <c r="Q163">
        <v>127</v>
      </c>
    </row>
    <row r="164" spans="1:17" x14ac:dyDescent="0.3">
      <c r="A164">
        <v>162</v>
      </c>
      <c r="B164" s="1">
        <v>42411</v>
      </c>
      <c r="C164">
        <v>2016</v>
      </c>
      <c r="D164" t="s">
        <v>15</v>
      </c>
      <c r="E164">
        <v>53</v>
      </c>
      <c r="F164" t="s">
        <v>16</v>
      </c>
      <c r="G164" t="s">
        <v>17</v>
      </c>
      <c r="H164" t="s">
        <v>35</v>
      </c>
      <c r="I164" t="s">
        <v>19</v>
      </c>
      <c r="J164" t="s">
        <v>20</v>
      </c>
      <c r="K164">
        <v>1</v>
      </c>
      <c r="L164">
        <v>35</v>
      </c>
      <c r="M164">
        <v>42</v>
      </c>
      <c r="N164">
        <v>35</v>
      </c>
      <c r="O164">
        <v>42</v>
      </c>
      <c r="P164">
        <v>162</v>
      </c>
      <c r="Q164">
        <v>42</v>
      </c>
    </row>
    <row r="165" spans="1:17" x14ac:dyDescent="0.3">
      <c r="A165">
        <v>163</v>
      </c>
      <c r="B165" s="1">
        <v>42471</v>
      </c>
      <c r="C165">
        <v>2016</v>
      </c>
      <c r="D165" t="s">
        <v>26</v>
      </c>
      <c r="E165">
        <v>53</v>
      </c>
      <c r="F165" t="s">
        <v>16</v>
      </c>
      <c r="G165" t="s">
        <v>17</v>
      </c>
      <c r="H165" t="s">
        <v>35</v>
      </c>
      <c r="I165" t="s">
        <v>19</v>
      </c>
      <c r="J165" t="s">
        <v>20</v>
      </c>
      <c r="K165">
        <v>2</v>
      </c>
      <c r="L165">
        <v>18</v>
      </c>
      <c r="M165">
        <v>24</v>
      </c>
      <c r="N165">
        <v>36</v>
      </c>
      <c r="O165">
        <v>48</v>
      </c>
      <c r="P165">
        <v>163</v>
      </c>
      <c r="Q165">
        <v>48</v>
      </c>
    </row>
    <row r="166" spans="1:17" x14ac:dyDescent="0.3">
      <c r="A166">
        <v>164</v>
      </c>
      <c r="B166" s="1">
        <v>42471</v>
      </c>
      <c r="C166">
        <v>2016</v>
      </c>
      <c r="D166" t="s">
        <v>26</v>
      </c>
      <c r="E166">
        <v>53</v>
      </c>
      <c r="F166" t="s">
        <v>16</v>
      </c>
      <c r="G166" t="s">
        <v>17</v>
      </c>
      <c r="H166" t="s">
        <v>35</v>
      </c>
      <c r="I166" t="s">
        <v>19</v>
      </c>
      <c r="J166" t="s">
        <v>20</v>
      </c>
      <c r="K166">
        <v>2</v>
      </c>
      <c r="L166">
        <v>32</v>
      </c>
      <c r="M166">
        <v>41</v>
      </c>
      <c r="N166">
        <v>64</v>
      </c>
      <c r="O166">
        <v>82</v>
      </c>
      <c r="P166">
        <v>164</v>
      </c>
      <c r="Q166">
        <v>82</v>
      </c>
    </row>
    <row r="167" spans="1:17" x14ac:dyDescent="0.3">
      <c r="A167">
        <v>165</v>
      </c>
      <c r="B167" s="1">
        <v>42478</v>
      </c>
      <c r="C167">
        <v>2016</v>
      </c>
      <c r="D167" t="s">
        <v>26</v>
      </c>
      <c r="E167">
        <v>53</v>
      </c>
      <c r="F167" t="s">
        <v>16</v>
      </c>
      <c r="G167" t="s">
        <v>17</v>
      </c>
      <c r="H167" t="s">
        <v>35</v>
      </c>
      <c r="I167" t="s">
        <v>19</v>
      </c>
      <c r="J167" t="s">
        <v>20</v>
      </c>
      <c r="K167">
        <v>2</v>
      </c>
      <c r="L167">
        <v>40</v>
      </c>
      <c r="M167">
        <v>47.5</v>
      </c>
      <c r="N167">
        <v>80</v>
      </c>
      <c r="O167">
        <v>95</v>
      </c>
      <c r="P167">
        <v>165</v>
      </c>
      <c r="Q167">
        <v>95</v>
      </c>
    </row>
    <row r="168" spans="1:17" x14ac:dyDescent="0.3">
      <c r="A168">
        <v>166</v>
      </c>
      <c r="B168" s="1">
        <v>42478</v>
      </c>
      <c r="C168">
        <v>2016</v>
      </c>
      <c r="D168" t="s">
        <v>26</v>
      </c>
      <c r="E168">
        <v>53</v>
      </c>
      <c r="F168" t="s">
        <v>16</v>
      </c>
      <c r="G168" t="s">
        <v>17</v>
      </c>
      <c r="H168" t="s">
        <v>35</v>
      </c>
      <c r="I168" t="s">
        <v>19</v>
      </c>
      <c r="J168" t="s">
        <v>20</v>
      </c>
      <c r="K168">
        <v>3</v>
      </c>
      <c r="L168">
        <v>290</v>
      </c>
      <c r="M168">
        <v>340</v>
      </c>
      <c r="N168">
        <v>870</v>
      </c>
      <c r="O168">
        <v>1020</v>
      </c>
      <c r="P168">
        <v>166</v>
      </c>
      <c r="Q168">
        <v>1020</v>
      </c>
    </row>
    <row r="169" spans="1:17" x14ac:dyDescent="0.3">
      <c r="A169">
        <v>167</v>
      </c>
      <c r="B169" s="1">
        <v>42480</v>
      </c>
      <c r="C169">
        <v>2016</v>
      </c>
      <c r="D169" t="s">
        <v>26</v>
      </c>
      <c r="E169">
        <v>53</v>
      </c>
      <c r="F169" t="s">
        <v>16</v>
      </c>
      <c r="G169" t="s">
        <v>17</v>
      </c>
      <c r="H169" t="s">
        <v>35</v>
      </c>
      <c r="I169" t="s">
        <v>19</v>
      </c>
      <c r="J169" t="s">
        <v>20</v>
      </c>
      <c r="K169">
        <v>1</v>
      </c>
      <c r="L169">
        <v>20</v>
      </c>
      <c r="M169">
        <v>28</v>
      </c>
      <c r="N169">
        <v>20</v>
      </c>
      <c r="O169">
        <v>28</v>
      </c>
      <c r="P169">
        <v>167</v>
      </c>
      <c r="Q169">
        <v>28</v>
      </c>
    </row>
    <row r="170" spans="1:17" x14ac:dyDescent="0.3">
      <c r="A170">
        <v>168</v>
      </c>
      <c r="B170" s="1">
        <v>42486</v>
      </c>
      <c r="C170">
        <v>2016</v>
      </c>
      <c r="D170" t="s">
        <v>26</v>
      </c>
      <c r="E170">
        <v>53</v>
      </c>
      <c r="F170" t="s">
        <v>16</v>
      </c>
      <c r="G170" t="s">
        <v>17</v>
      </c>
      <c r="H170" t="s">
        <v>35</v>
      </c>
      <c r="I170" t="s">
        <v>19</v>
      </c>
      <c r="J170" t="s">
        <v>20</v>
      </c>
      <c r="K170">
        <v>2</v>
      </c>
      <c r="L170">
        <v>8</v>
      </c>
      <c r="M170">
        <v>9</v>
      </c>
      <c r="N170">
        <v>16</v>
      </c>
      <c r="O170">
        <v>18</v>
      </c>
      <c r="P170">
        <v>168</v>
      </c>
      <c r="Q170">
        <v>18</v>
      </c>
    </row>
    <row r="171" spans="1:17" x14ac:dyDescent="0.3">
      <c r="A171">
        <v>169</v>
      </c>
      <c r="B171" s="1">
        <v>42494</v>
      </c>
      <c r="C171">
        <v>2016</v>
      </c>
      <c r="D171" t="s">
        <v>43</v>
      </c>
      <c r="E171">
        <v>53</v>
      </c>
      <c r="F171" t="s">
        <v>16</v>
      </c>
      <c r="G171" t="s">
        <v>17</v>
      </c>
      <c r="H171" t="s">
        <v>35</v>
      </c>
      <c r="I171" t="s">
        <v>19</v>
      </c>
      <c r="J171" t="s">
        <v>20</v>
      </c>
      <c r="K171">
        <v>2</v>
      </c>
      <c r="L171">
        <v>42.5</v>
      </c>
      <c r="M171">
        <v>53.5</v>
      </c>
      <c r="N171">
        <v>85</v>
      </c>
      <c r="O171">
        <v>107</v>
      </c>
      <c r="P171">
        <v>169</v>
      </c>
      <c r="Q171">
        <v>107</v>
      </c>
    </row>
    <row r="172" spans="1:17" x14ac:dyDescent="0.3">
      <c r="A172">
        <v>170</v>
      </c>
      <c r="B172" s="1">
        <v>42494</v>
      </c>
      <c r="C172">
        <v>2016</v>
      </c>
      <c r="D172" t="s">
        <v>43</v>
      </c>
      <c r="E172">
        <v>53</v>
      </c>
      <c r="F172" t="s">
        <v>16</v>
      </c>
      <c r="G172" t="s">
        <v>17</v>
      </c>
      <c r="H172" t="s">
        <v>35</v>
      </c>
      <c r="I172" t="s">
        <v>19</v>
      </c>
      <c r="J172" t="s">
        <v>20</v>
      </c>
      <c r="K172">
        <v>3</v>
      </c>
      <c r="L172">
        <v>175</v>
      </c>
      <c r="M172">
        <v>208</v>
      </c>
      <c r="N172">
        <v>525</v>
      </c>
      <c r="O172">
        <v>624</v>
      </c>
      <c r="P172">
        <v>170</v>
      </c>
      <c r="Q172">
        <v>624</v>
      </c>
    </row>
    <row r="173" spans="1:17" x14ac:dyDescent="0.3">
      <c r="A173">
        <v>171</v>
      </c>
      <c r="B173" s="1">
        <v>42519</v>
      </c>
      <c r="C173">
        <v>2016</v>
      </c>
      <c r="D173" t="s">
        <v>43</v>
      </c>
      <c r="E173">
        <v>53</v>
      </c>
      <c r="F173" t="s">
        <v>16</v>
      </c>
      <c r="G173" t="s">
        <v>17</v>
      </c>
      <c r="H173" t="s">
        <v>35</v>
      </c>
      <c r="I173" t="s">
        <v>19</v>
      </c>
      <c r="J173" t="s">
        <v>20</v>
      </c>
      <c r="K173">
        <v>1</v>
      </c>
      <c r="L173">
        <v>315</v>
      </c>
      <c r="M173">
        <v>390</v>
      </c>
      <c r="N173">
        <v>315</v>
      </c>
      <c r="O173">
        <v>390</v>
      </c>
      <c r="P173">
        <v>171</v>
      </c>
      <c r="Q173">
        <v>390</v>
      </c>
    </row>
    <row r="174" spans="1:17" x14ac:dyDescent="0.3">
      <c r="A174">
        <v>172</v>
      </c>
      <c r="B174" s="1">
        <v>42561</v>
      </c>
      <c r="C174">
        <v>2016</v>
      </c>
      <c r="D174" t="s">
        <v>29</v>
      </c>
      <c r="E174">
        <v>53</v>
      </c>
      <c r="F174" t="s">
        <v>16</v>
      </c>
      <c r="G174" t="s">
        <v>17</v>
      </c>
      <c r="H174" t="s">
        <v>35</v>
      </c>
      <c r="I174" t="s">
        <v>19</v>
      </c>
      <c r="J174" t="s">
        <v>20</v>
      </c>
      <c r="K174">
        <v>1</v>
      </c>
      <c r="L174">
        <v>455</v>
      </c>
      <c r="M174">
        <v>480</v>
      </c>
      <c r="N174">
        <v>455</v>
      </c>
      <c r="O174">
        <v>480</v>
      </c>
      <c r="P174">
        <v>172</v>
      </c>
      <c r="Q174">
        <v>480</v>
      </c>
    </row>
    <row r="175" spans="1:17" x14ac:dyDescent="0.3">
      <c r="A175">
        <v>173</v>
      </c>
      <c r="B175" s="1">
        <v>42561</v>
      </c>
      <c r="C175">
        <v>2016</v>
      </c>
      <c r="D175" t="s">
        <v>29</v>
      </c>
      <c r="E175">
        <v>53</v>
      </c>
      <c r="F175" t="s">
        <v>16</v>
      </c>
      <c r="G175" t="s">
        <v>17</v>
      </c>
      <c r="H175" t="s">
        <v>35</v>
      </c>
      <c r="I175" t="s">
        <v>19</v>
      </c>
      <c r="J175" t="s">
        <v>20</v>
      </c>
      <c r="K175">
        <v>3</v>
      </c>
      <c r="L175">
        <v>5.33</v>
      </c>
      <c r="M175">
        <v>7</v>
      </c>
      <c r="N175">
        <v>16</v>
      </c>
      <c r="O175">
        <v>21</v>
      </c>
      <c r="P175">
        <v>173</v>
      </c>
      <c r="Q175">
        <v>21</v>
      </c>
    </row>
    <row r="176" spans="1:17" x14ac:dyDescent="0.3">
      <c r="A176">
        <v>174</v>
      </c>
      <c r="B176" s="1">
        <v>42575</v>
      </c>
      <c r="C176">
        <v>2016</v>
      </c>
      <c r="D176" t="s">
        <v>29</v>
      </c>
      <c r="E176">
        <v>53</v>
      </c>
      <c r="F176" t="s">
        <v>16</v>
      </c>
      <c r="G176" t="s">
        <v>17</v>
      </c>
      <c r="H176" t="s">
        <v>35</v>
      </c>
      <c r="I176" t="s">
        <v>19</v>
      </c>
      <c r="J176" t="s">
        <v>20</v>
      </c>
      <c r="K176">
        <v>2</v>
      </c>
      <c r="L176">
        <v>6</v>
      </c>
      <c r="M176">
        <v>8</v>
      </c>
      <c r="N176">
        <v>12</v>
      </c>
      <c r="O176">
        <v>16</v>
      </c>
      <c r="P176">
        <v>174</v>
      </c>
      <c r="Q176">
        <v>16</v>
      </c>
    </row>
    <row r="177" spans="1:17" x14ac:dyDescent="0.3">
      <c r="A177">
        <v>175</v>
      </c>
      <c r="B177" s="1">
        <v>42575</v>
      </c>
      <c r="C177">
        <v>2016</v>
      </c>
      <c r="D177" t="s">
        <v>29</v>
      </c>
      <c r="E177">
        <v>53</v>
      </c>
      <c r="F177" t="s">
        <v>16</v>
      </c>
      <c r="G177" t="s">
        <v>17</v>
      </c>
      <c r="H177" t="s">
        <v>35</v>
      </c>
      <c r="I177" t="s">
        <v>19</v>
      </c>
      <c r="J177" t="s">
        <v>20</v>
      </c>
      <c r="K177">
        <v>1</v>
      </c>
      <c r="L177">
        <v>2</v>
      </c>
      <c r="M177">
        <v>3</v>
      </c>
      <c r="N177">
        <v>2</v>
      </c>
      <c r="O177">
        <v>3</v>
      </c>
      <c r="P177">
        <v>175</v>
      </c>
      <c r="Q177">
        <v>3</v>
      </c>
    </row>
    <row r="178" spans="1:17" x14ac:dyDescent="0.3">
      <c r="A178">
        <v>176</v>
      </c>
      <c r="B178" s="1">
        <v>42309</v>
      </c>
      <c r="C178">
        <v>2015</v>
      </c>
      <c r="D178" t="s">
        <v>33</v>
      </c>
      <c r="E178">
        <v>53</v>
      </c>
      <c r="F178" t="s">
        <v>16</v>
      </c>
      <c r="G178" t="s">
        <v>17</v>
      </c>
      <c r="H178" t="s">
        <v>35</v>
      </c>
      <c r="I178" t="s">
        <v>19</v>
      </c>
      <c r="J178" t="s">
        <v>20</v>
      </c>
      <c r="K178">
        <v>1</v>
      </c>
      <c r="L178">
        <v>32</v>
      </c>
      <c r="M178">
        <v>35</v>
      </c>
      <c r="N178">
        <v>32</v>
      </c>
      <c r="O178">
        <v>35</v>
      </c>
      <c r="P178">
        <v>176</v>
      </c>
      <c r="Q178">
        <v>35</v>
      </c>
    </row>
    <row r="179" spans="1:17" x14ac:dyDescent="0.3">
      <c r="A179">
        <v>177</v>
      </c>
      <c r="B179" s="1">
        <v>42309</v>
      </c>
      <c r="C179">
        <v>2015</v>
      </c>
      <c r="D179" t="s">
        <v>33</v>
      </c>
      <c r="E179">
        <v>53</v>
      </c>
      <c r="F179" t="s">
        <v>16</v>
      </c>
      <c r="G179" t="s">
        <v>17</v>
      </c>
      <c r="H179" t="s">
        <v>35</v>
      </c>
      <c r="I179" t="s">
        <v>19</v>
      </c>
      <c r="J179" t="s">
        <v>20</v>
      </c>
      <c r="K179">
        <v>3</v>
      </c>
      <c r="L179">
        <v>21.33</v>
      </c>
      <c r="M179">
        <v>24</v>
      </c>
      <c r="N179">
        <v>64</v>
      </c>
      <c r="O179">
        <v>72</v>
      </c>
      <c r="P179">
        <v>177</v>
      </c>
      <c r="Q179">
        <v>72</v>
      </c>
    </row>
    <row r="180" spans="1:17" x14ac:dyDescent="0.3">
      <c r="A180">
        <v>178</v>
      </c>
      <c r="B180" s="1">
        <v>42353</v>
      </c>
      <c r="C180">
        <v>2015</v>
      </c>
      <c r="D180" t="s">
        <v>34</v>
      </c>
      <c r="E180">
        <v>53</v>
      </c>
      <c r="F180" t="s">
        <v>16</v>
      </c>
      <c r="G180" t="s">
        <v>17</v>
      </c>
      <c r="H180" t="s">
        <v>35</v>
      </c>
      <c r="I180" t="s">
        <v>19</v>
      </c>
      <c r="J180" t="s">
        <v>20</v>
      </c>
      <c r="K180">
        <v>3</v>
      </c>
      <c r="L180">
        <v>338.33</v>
      </c>
      <c r="M180">
        <v>373.66666700000002</v>
      </c>
      <c r="N180">
        <v>1015</v>
      </c>
      <c r="O180">
        <v>1121</v>
      </c>
      <c r="P180">
        <v>178</v>
      </c>
      <c r="Q180">
        <v>1121</v>
      </c>
    </row>
    <row r="181" spans="1:17" x14ac:dyDescent="0.3">
      <c r="A181">
        <v>179</v>
      </c>
      <c r="B181" s="1">
        <v>42353</v>
      </c>
      <c r="C181">
        <v>2015</v>
      </c>
      <c r="D181" t="s">
        <v>34</v>
      </c>
      <c r="E181">
        <v>53</v>
      </c>
      <c r="F181" t="s">
        <v>16</v>
      </c>
      <c r="G181" t="s">
        <v>17</v>
      </c>
      <c r="H181" t="s">
        <v>35</v>
      </c>
      <c r="I181" t="s">
        <v>19</v>
      </c>
      <c r="J181" t="s">
        <v>20</v>
      </c>
      <c r="K181">
        <v>2</v>
      </c>
      <c r="L181">
        <v>37.5</v>
      </c>
      <c r="M181">
        <v>36</v>
      </c>
      <c r="N181">
        <v>75</v>
      </c>
      <c r="O181">
        <v>72</v>
      </c>
      <c r="P181">
        <v>179</v>
      </c>
      <c r="Q181">
        <v>72</v>
      </c>
    </row>
    <row r="182" spans="1:17" x14ac:dyDescent="0.3">
      <c r="A182">
        <v>180</v>
      </c>
      <c r="B182" s="1">
        <v>42353</v>
      </c>
      <c r="C182">
        <v>2015</v>
      </c>
      <c r="D182" t="s">
        <v>34</v>
      </c>
      <c r="E182">
        <v>53</v>
      </c>
      <c r="F182" t="s">
        <v>16</v>
      </c>
      <c r="G182" t="s">
        <v>17</v>
      </c>
      <c r="H182" t="s">
        <v>35</v>
      </c>
      <c r="I182" t="s">
        <v>19</v>
      </c>
      <c r="J182" t="s">
        <v>20</v>
      </c>
      <c r="K182">
        <v>1</v>
      </c>
      <c r="L182">
        <v>270</v>
      </c>
      <c r="M182">
        <v>268</v>
      </c>
      <c r="N182">
        <v>270</v>
      </c>
      <c r="O182">
        <v>268</v>
      </c>
      <c r="P182">
        <v>180</v>
      </c>
      <c r="Q182">
        <v>268</v>
      </c>
    </row>
    <row r="183" spans="1:17" x14ac:dyDescent="0.3">
      <c r="A183">
        <v>181</v>
      </c>
      <c r="B183" s="1">
        <v>42353</v>
      </c>
      <c r="C183">
        <v>2015</v>
      </c>
      <c r="D183" t="s">
        <v>34</v>
      </c>
      <c r="E183">
        <v>53</v>
      </c>
      <c r="F183" t="s">
        <v>16</v>
      </c>
      <c r="G183" t="s">
        <v>17</v>
      </c>
      <c r="H183" t="s">
        <v>35</v>
      </c>
      <c r="I183" t="s">
        <v>19</v>
      </c>
      <c r="J183" t="s">
        <v>20</v>
      </c>
      <c r="K183">
        <v>3</v>
      </c>
      <c r="L183">
        <v>36.67</v>
      </c>
      <c r="M183">
        <v>37.666666999999997</v>
      </c>
      <c r="N183">
        <v>110</v>
      </c>
      <c r="O183">
        <v>113</v>
      </c>
      <c r="P183">
        <v>181</v>
      </c>
      <c r="Q183">
        <v>113</v>
      </c>
    </row>
    <row r="184" spans="1:17" x14ac:dyDescent="0.3">
      <c r="A184">
        <v>182</v>
      </c>
      <c r="B184" s="1">
        <v>42353</v>
      </c>
      <c r="C184">
        <v>2015</v>
      </c>
      <c r="D184" t="s">
        <v>34</v>
      </c>
      <c r="E184">
        <v>53</v>
      </c>
      <c r="F184" t="s">
        <v>16</v>
      </c>
      <c r="G184" t="s">
        <v>17</v>
      </c>
      <c r="H184" t="s">
        <v>35</v>
      </c>
      <c r="I184" t="s">
        <v>19</v>
      </c>
      <c r="J184" t="s">
        <v>20</v>
      </c>
      <c r="K184">
        <v>1</v>
      </c>
      <c r="L184">
        <v>69</v>
      </c>
      <c r="M184">
        <v>85</v>
      </c>
      <c r="N184">
        <v>69</v>
      </c>
      <c r="O184">
        <v>85</v>
      </c>
      <c r="P184">
        <v>182</v>
      </c>
      <c r="Q184">
        <v>85</v>
      </c>
    </row>
    <row r="185" spans="1:17" x14ac:dyDescent="0.3">
      <c r="A185">
        <v>183</v>
      </c>
      <c r="B185" s="1">
        <v>42357</v>
      </c>
      <c r="C185">
        <v>2015</v>
      </c>
      <c r="D185" t="s">
        <v>34</v>
      </c>
      <c r="E185">
        <v>53</v>
      </c>
      <c r="F185" t="s">
        <v>16</v>
      </c>
      <c r="G185" t="s">
        <v>17</v>
      </c>
      <c r="H185" t="s">
        <v>35</v>
      </c>
      <c r="I185" t="s">
        <v>19</v>
      </c>
      <c r="J185" t="s">
        <v>20</v>
      </c>
      <c r="K185">
        <v>3</v>
      </c>
      <c r="L185">
        <v>64.33</v>
      </c>
      <c r="M185">
        <v>72</v>
      </c>
      <c r="N185">
        <v>193</v>
      </c>
      <c r="O185">
        <v>216</v>
      </c>
      <c r="P185">
        <v>183</v>
      </c>
      <c r="Q185">
        <v>216</v>
      </c>
    </row>
    <row r="186" spans="1:17" x14ac:dyDescent="0.3">
      <c r="A186">
        <v>184</v>
      </c>
      <c r="B186" s="1">
        <v>42282</v>
      </c>
      <c r="C186">
        <v>2015</v>
      </c>
      <c r="D186" t="s">
        <v>32</v>
      </c>
      <c r="E186">
        <v>53</v>
      </c>
      <c r="F186" t="s">
        <v>16</v>
      </c>
      <c r="G186" t="s">
        <v>17</v>
      </c>
      <c r="H186" t="s">
        <v>18</v>
      </c>
      <c r="I186" t="s">
        <v>23</v>
      </c>
      <c r="J186" t="s">
        <v>51</v>
      </c>
      <c r="K186">
        <v>1</v>
      </c>
      <c r="L186">
        <v>191</v>
      </c>
      <c r="M186">
        <v>213</v>
      </c>
      <c r="N186">
        <v>191</v>
      </c>
      <c r="O186">
        <v>213</v>
      </c>
      <c r="P186">
        <v>184</v>
      </c>
      <c r="Q186">
        <v>213</v>
      </c>
    </row>
    <row r="187" spans="1:17" x14ac:dyDescent="0.3">
      <c r="A187">
        <v>185</v>
      </c>
      <c r="B187" s="1">
        <v>42395</v>
      </c>
      <c r="C187">
        <v>2016</v>
      </c>
      <c r="D187" t="s">
        <v>45</v>
      </c>
      <c r="E187">
        <v>53</v>
      </c>
      <c r="F187" t="s">
        <v>37</v>
      </c>
      <c r="G187" t="s">
        <v>17</v>
      </c>
      <c r="H187" t="s">
        <v>18</v>
      </c>
      <c r="I187" t="s">
        <v>38</v>
      </c>
      <c r="J187" t="s">
        <v>39</v>
      </c>
      <c r="K187">
        <v>2</v>
      </c>
      <c r="L187">
        <v>1160</v>
      </c>
      <c r="M187">
        <v>1225</v>
      </c>
      <c r="N187">
        <v>2320</v>
      </c>
      <c r="O187">
        <v>2450</v>
      </c>
      <c r="P187">
        <v>185</v>
      </c>
      <c r="Q187">
        <v>2450</v>
      </c>
    </row>
    <row r="188" spans="1:17" x14ac:dyDescent="0.3">
      <c r="A188">
        <v>186</v>
      </c>
      <c r="B188" s="1">
        <v>42467</v>
      </c>
      <c r="C188">
        <v>2016</v>
      </c>
      <c r="D188" t="s">
        <v>26</v>
      </c>
      <c r="E188">
        <v>53</v>
      </c>
      <c r="F188" t="s">
        <v>37</v>
      </c>
      <c r="G188" t="s">
        <v>17</v>
      </c>
      <c r="H188" t="s">
        <v>18</v>
      </c>
      <c r="I188" t="s">
        <v>38</v>
      </c>
      <c r="J188" t="s">
        <v>52</v>
      </c>
      <c r="K188">
        <v>2</v>
      </c>
      <c r="L188">
        <v>850.5</v>
      </c>
      <c r="M188">
        <v>932.5</v>
      </c>
      <c r="N188">
        <v>1701</v>
      </c>
      <c r="O188">
        <v>1865</v>
      </c>
      <c r="P188">
        <v>186</v>
      </c>
      <c r="Q188">
        <v>1865</v>
      </c>
    </row>
    <row r="189" spans="1:17" x14ac:dyDescent="0.3">
      <c r="A189">
        <v>187</v>
      </c>
      <c r="B189" s="1">
        <v>42225</v>
      </c>
      <c r="C189">
        <v>2015</v>
      </c>
      <c r="D189" t="s">
        <v>30</v>
      </c>
      <c r="E189">
        <v>53</v>
      </c>
      <c r="F189" t="s">
        <v>37</v>
      </c>
      <c r="G189" t="s">
        <v>17</v>
      </c>
      <c r="H189" t="s">
        <v>18</v>
      </c>
      <c r="I189" t="s">
        <v>38</v>
      </c>
      <c r="J189" t="s">
        <v>39</v>
      </c>
      <c r="K189">
        <v>3</v>
      </c>
      <c r="L189">
        <v>765</v>
      </c>
      <c r="M189">
        <v>703.66666699999996</v>
      </c>
      <c r="N189">
        <v>2295</v>
      </c>
      <c r="O189">
        <v>2111</v>
      </c>
      <c r="P189">
        <v>187</v>
      </c>
      <c r="Q189">
        <v>2111</v>
      </c>
    </row>
    <row r="190" spans="1:17" x14ac:dyDescent="0.3">
      <c r="A190">
        <v>188</v>
      </c>
      <c r="B190" s="1">
        <v>42225</v>
      </c>
      <c r="C190">
        <v>2015</v>
      </c>
      <c r="D190" t="s">
        <v>30</v>
      </c>
      <c r="E190">
        <v>53</v>
      </c>
      <c r="F190" t="s">
        <v>37</v>
      </c>
      <c r="G190" t="s">
        <v>17</v>
      </c>
      <c r="H190" t="s">
        <v>18</v>
      </c>
      <c r="I190" t="s">
        <v>23</v>
      </c>
      <c r="J190" t="s">
        <v>47</v>
      </c>
      <c r="K190">
        <v>1</v>
      </c>
      <c r="L190">
        <v>153</v>
      </c>
      <c r="M190">
        <v>144</v>
      </c>
      <c r="N190">
        <v>153</v>
      </c>
      <c r="O190">
        <v>144</v>
      </c>
      <c r="P190">
        <v>188</v>
      </c>
      <c r="Q190">
        <v>144</v>
      </c>
    </row>
    <row r="191" spans="1:17" x14ac:dyDescent="0.3">
      <c r="A191">
        <v>189</v>
      </c>
      <c r="B191" s="1">
        <v>42318</v>
      </c>
      <c r="C191">
        <v>2015</v>
      </c>
      <c r="D191" t="s">
        <v>33</v>
      </c>
      <c r="E191">
        <v>53</v>
      </c>
      <c r="F191" t="s">
        <v>37</v>
      </c>
      <c r="G191" t="s">
        <v>17</v>
      </c>
      <c r="H191" t="s">
        <v>18</v>
      </c>
      <c r="I191" t="s">
        <v>38</v>
      </c>
      <c r="J191" t="s">
        <v>39</v>
      </c>
      <c r="K191">
        <v>3</v>
      </c>
      <c r="L191">
        <v>765</v>
      </c>
      <c r="M191">
        <v>744.33333300000004</v>
      </c>
      <c r="N191">
        <v>2295</v>
      </c>
      <c r="O191">
        <v>2233</v>
      </c>
      <c r="P191">
        <v>189</v>
      </c>
      <c r="Q191">
        <v>2233</v>
      </c>
    </row>
    <row r="192" spans="1:17" x14ac:dyDescent="0.3">
      <c r="A192">
        <v>190</v>
      </c>
      <c r="B192" s="1">
        <v>42337</v>
      </c>
      <c r="C192">
        <v>2015</v>
      </c>
      <c r="D192" t="s">
        <v>33</v>
      </c>
      <c r="E192">
        <v>53</v>
      </c>
      <c r="F192" t="s">
        <v>37</v>
      </c>
      <c r="G192" t="s">
        <v>17</v>
      </c>
      <c r="H192" t="s">
        <v>18</v>
      </c>
      <c r="I192" t="s">
        <v>38</v>
      </c>
      <c r="J192" t="s">
        <v>39</v>
      </c>
      <c r="K192">
        <v>3</v>
      </c>
      <c r="L192">
        <v>773.33</v>
      </c>
      <c r="M192">
        <v>773.33333300000004</v>
      </c>
      <c r="N192">
        <v>2320</v>
      </c>
      <c r="O192">
        <v>2320</v>
      </c>
      <c r="P192">
        <v>190</v>
      </c>
      <c r="Q192">
        <v>2320</v>
      </c>
    </row>
    <row r="193" spans="1:17" x14ac:dyDescent="0.3">
      <c r="A193">
        <v>191</v>
      </c>
      <c r="B193" s="1">
        <v>42374</v>
      </c>
      <c r="C193">
        <v>2016</v>
      </c>
      <c r="D193" t="s">
        <v>45</v>
      </c>
      <c r="E193">
        <v>52</v>
      </c>
      <c r="F193" t="s">
        <v>16</v>
      </c>
      <c r="G193" t="s">
        <v>17</v>
      </c>
      <c r="H193" t="s">
        <v>35</v>
      </c>
      <c r="I193" t="s">
        <v>38</v>
      </c>
      <c r="J193" t="s">
        <v>49</v>
      </c>
      <c r="K193">
        <v>3</v>
      </c>
      <c r="L193">
        <v>247.33</v>
      </c>
      <c r="M193">
        <v>263.66666700000002</v>
      </c>
      <c r="N193">
        <v>742</v>
      </c>
      <c r="O193">
        <v>791</v>
      </c>
      <c r="P193">
        <v>191</v>
      </c>
      <c r="Q193">
        <v>791</v>
      </c>
    </row>
    <row r="194" spans="1:17" x14ac:dyDescent="0.3">
      <c r="A194">
        <v>192</v>
      </c>
      <c r="B194" s="1">
        <v>42377</v>
      </c>
      <c r="C194">
        <v>2016</v>
      </c>
      <c r="D194" t="s">
        <v>45</v>
      </c>
      <c r="E194">
        <v>52</v>
      </c>
      <c r="F194" t="s">
        <v>16</v>
      </c>
      <c r="G194" t="s">
        <v>17</v>
      </c>
      <c r="H194" t="s">
        <v>35</v>
      </c>
      <c r="I194" t="s">
        <v>38</v>
      </c>
      <c r="J194" t="s">
        <v>49</v>
      </c>
      <c r="K194">
        <v>2</v>
      </c>
      <c r="L194">
        <v>371</v>
      </c>
      <c r="M194">
        <v>382.5</v>
      </c>
      <c r="N194">
        <v>742</v>
      </c>
      <c r="O194">
        <v>765</v>
      </c>
      <c r="P194">
        <v>192</v>
      </c>
      <c r="Q194">
        <v>765</v>
      </c>
    </row>
    <row r="195" spans="1:17" x14ac:dyDescent="0.3">
      <c r="A195">
        <v>193</v>
      </c>
      <c r="B195" s="1">
        <v>42493</v>
      </c>
      <c r="C195">
        <v>2016</v>
      </c>
      <c r="D195" t="s">
        <v>43</v>
      </c>
      <c r="E195">
        <v>52</v>
      </c>
      <c r="F195" t="s">
        <v>16</v>
      </c>
      <c r="G195" t="s">
        <v>17</v>
      </c>
      <c r="H195" t="s">
        <v>35</v>
      </c>
      <c r="I195" t="s">
        <v>38</v>
      </c>
      <c r="J195" t="s">
        <v>39</v>
      </c>
      <c r="K195">
        <v>1</v>
      </c>
      <c r="L195">
        <v>769</v>
      </c>
      <c r="M195">
        <v>735</v>
      </c>
      <c r="N195">
        <v>769</v>
      </c>
      <c r="O195">
        <v>735</v>
      </c>
      <c r="P195">
        <v>193</v>
      </c>
      <c r="Q195">
        <v>735</v>
      </c>
    </row>
    <row r="196" spans="1:17" x14ac:dyDescent="0.3">
      <c r="A196">
        <v>194</v>
      </c>
      <c r="B196" s="1">
        <v>42493</v>
      </c>
      <c r="C196">
        <v>2016</v>
      </c>
      <c r="D196" t="s">
        <v>43</v>
      </c>
      <c r="E196">
        <v>52</v>
      </c>
      <c r="F196" t="s">
        <v>16</v>
      </c>
      <c r="G196" t="s">
        <v>17</v>
      </c>
      <c r="H196" t="s">
        <v>35</v>
      </c>
      <c r="I196" t="s">
        <v>38</v>
      </c>
      <c r="J196" t="s">
        <v>39</v>
      </c>
      <c r="K196">
        <v>1</v>
      </c>
      <c r="L196">
        <v>769</v>
      </c>
      <c r="M196">
        <v>777</v>
      </c>
      <c r="N196">
        <v>769</v>
      </c>
      <c r="O196">
        <v>777</v>
      </c>
      <c r="P196">
        <v>194</v>
      </c>
      <c r="Q196">
        <v>777</v>
      </c>
    </row>
    <row r="197" spans="1:17" x14ac:dyDescent="0.3">
      <c r="A197">
        <v>195</v>
      </c>
      <c r="B197" s="1">
        <v>42493</v>
      </c>
      <c r="C197">
        <v>2016</v>
      </c>
      <c r="D197" t="s">
        <v>43</v>
      </c>
      <c r="E197">
        <v>52</v>
      </c>
      <c r="F197" t="s">
        <v>16</v>
      </c>
      <c r="G197" t="s">
        <v>17</v>
      </c>
      <c r="H197" t="s">
        <v>35</v>
      </c>
      <c r="I197" t="s">
        <v>23</v>
      </c>
      <c r="J197" t="s">
        <v>48</v>
      </c>
      <c r="K197">
        <v>1</v>
      </c>
      <c r="L197">
        <v>144</v>
      </c>
      <c r="M197">
        <v>166</v>
      </c>
      <c r="N197">
        <v>144</v>
      </c>
      <c r="O197">
        <v>166</v>
      </c>
      <c r="P197">
        <v>195</v>
      </c>
      <c r="Q197">
        <v>166</v>
      </c>
    </row>
    <row r="198" spans="1:17" x14ac:dyDescent="0.3">
      <c r="A198">
        <v>196</v>
      </c>
      <c r="B198" s="1">
        <v>42499</v>
      </c>
      <c r="C198">
        <v>2016</v>
      </c>
      <c r="D198" t="s">
        <v>43</v>
      </c>
      <c r="E198">
        <v>52</v>
      </c>
      <c r="F198" t="s">
        <v>16</v>
      </c>
      <c r="G198" t="s">
        <v>17</v>
      </c>
      <c r="H198" t="s">
        <v>35</v>
      </c>
      <c r="I198" t="s">
        <v>38</v>
      </c>
      <c r="J198" t="s">
        <v>49</v>
      </c>
      <c r="K198">
        <v>1</v>
      </c>
      <c r="L198">
        <v>742</v>
      </c>
      <c r="M198">
        <v>774</v>
      </c>
      <c r="N198">
        <v>742</v>
      </c>
      <c r="O198">
        <v>774</v>
      </c>
      <c r="P198">
        <v>196</v>
      </c>
      <c r="Q198">
        <v>774</v>
      </c>
    </row>
    <row r="199" spans="1:17" x14ac:dyDescent="0.3">
      <c r="A199">
        <v>197</v>
      </c>
      <c r="B199" s="1">
        <v>42499</v>
      </c>
      <c r="C199">
        <v>2016</v>
      </c>
      <c r="D199" t="s">
        <v>43</v>
      </c>
      <c r="E199">
        <v>52</v>
      </c>
      <c r="F199" t="s">
        <v>16</v>
      </c>
      <c r="G199" t="s">
        <v>17</v>
      </c>
      <c r="H199" t="s">
        <v>35</v>
      </c>
      <c r="I199" t="s">
        <v>23</v>
      </c>
      <c r="J199" t="s">
        <v>48</v>
      </c>
      <c r="K199">
        <v>2</v>
      </c>
      <c r="L199">
        <v>4.5</v>
      </c>
      <c r="M199">
        <v>5.5</v>
      </c>
      <c r="N199">
        <v>9</v>
      </c>
      <c r="O199">
        <v>11</v>
      </c>
      <c r="P199">
        <v>197</v>
      </c>
      <c r="Q199">
        <v>11</v>
      </c>
    </row>
    <row r="200" spans="1:17" x14ac:dyDescent="0.3">
      <c r="A200">
        <v>198</v>
      </c>
      <c r="B200" s="1">
        <v>42199</v>
      </c>
      <c r="C200">
        <v>2015</v>
      </c>
      <c r="D200" t="s">
        <v>29</v>
      </c>
      <c r="E200">
        <v>52</v>
      </c>
      <c r="F200" t="s">
        <v>16</v>
      </c>
      <c r="G200" t="s">
        <v>17</v>
      </c>
      <c r="H200" t="s">
        <v>35</v>
      </c>
      <c r="I200" t="s">
        <v>38</v>
      </c>
      <c r="J200" t="s">
        <v>39</v>
      </c>
      <c r="K200">
        <v>3</v>
      </c>
      <c r="L200">
        <v>773.33</v>
      </c>
      <c r="M200">
        <v>771.33333300000004</v>
      </c>
      <c r="N200">
        <v>2320</v>
      </c>
      <c r="O200">
        <v>2314</v>
      </c>
      <c r="P200">
        <v>198</v>
      </c>
      <c r="Q200">
        <v>2314</v>
      </c>
    </row>
    <row r="201" spans="1:17" x14ac:dyDescent="0.3">
      <c r="A201">
        <v>199</v>
      </c>
      <c r="B201" s="1">
        <v>42253</v>
      </c>
      <c r="C201">
        <v>2015</v>
      </c>
      <c r="D201" t="s">
        <v>31</v>
      </c>
      <c r="E201">
        <v>52</v>
      </c>
      <c r="F201" t="s">
        <v>16</v>
      </c>
      <c r="G201" t="s">
        <v>17</v>
      </c>
      <c r="H201" t="s">
        <v>35</v>
      </c>
      <c r="I201" t="s">
        <v>23</v>
      </c>
      <c r="J201" t="s">
        <v>48</v>
      </c>
      <c r="K201">
        <v>2</v>
      </c>
      <c r="L201">
        <v>58.5</v>
      </c>
      <c r="M201">
        <v>62</v>
      </c>
      <c r="N201">
        <v>117</v>
      </c>
      <c r="O201">
        <v>124</v>
      </c>
      <c r="P201">
        <v>199</v>
      </c>
      <c r="Q201">
        <v>124</v>
      </c>
    </row>
    <row r="202" spans="1:17" x14ac:dyDescent="0.3">
      <c r="A202">
        <v>200</v>
      </c>
      <c r="B202" s="1">
        <v>42290</v>
      </c>
      <c r="C202">
        <v>2015</v>
      </c>
      <c r="D202" t="s">
        <v>32</v>
      </c>
      <c r="E202">
        <v>52</v>
      </c>
      <c r="F202" t="s">
        <v>16</v>
      </c>
      <c r="G202" t="s">
        <v>17</v>
      </c>
      <c r="H202" t="s">
        <v>35</v>
      </c>
      <c r="I202" t="s">
        <v>38</v>
      </c>
      <c r="J202" t="s">
        <v>39</v>
      </c>
      <c r="K202">
        <v>2</v>
      </c>
      <c r="L202">
        <v>1147.5</v>
      </c>
      <c r="M202">
        <v>1169.5</v>
      </c>
      <c r="N202">
        <v>2295</v>
      </c>
      <c r="O202">
        <v>2339</v>
      </c>
      <c r="P202">
        <v>200</v>
      </c>
      <c r="Q202">
        <v>2339</v>
      </c>
    </row>
    <row r="203" spans="1:17" x14ac:dyDescent="0.3">
      <c r="A203">
        <v>201</v>
      </c>
      <c r="B203" s="1">
        <v>42531</v>
      </c>
      <c r="C203">
        <v>2016</v>
      </c>
      <c r="D203" t="s">
        <v>27</v>
      </c>
      <c r="E203">
        <v>52</v>
      </c>
      <c r="F203" t="s">
        <v>16</v>
      </c>
      <c r="G203" t="s">
        <v>17</v>
      </c>
      <c r="H203" t="s">
        <v>35</v>
      </c>
      <c r="I203" t="s">
        <v>23</v>
      </c>
      <c r="J203" t="s">
        <v>24</v>
      </c>
      <c r="K203">
        <v>3</v>
      </c>
      <c r="L203">
        <v>220.33</v>
      </c>
      <c r="M203">
        <v>269.66666700000002</v>
      </c>
      <c r="N203">
        <v>661</v>
      </c>
      <c r="O203">
        <v>809</v>
      </c>
      <c r="P203">
        <v>201</v>
      </c>
      <c r="Q203">
        <v>809</v>
      </c>
    </row>
    <row r="204" spans="1:17" x14ac:dyDescent="0.3">
      <c r="A204">
        <v>202</v>
      </c>
      <c r="B204" s="1">
        <v>42484</v>
      </c>
      <c r="C204">
        <v>2016</v>
      </c>
      <c r="D204" t="s">
        <v>26</v>
      </c>
      <c r="E204">
        <v>51</v>
      </c>
      <c r="F204" t="s">
        <v>16</v>
      </c>
      <c r="G204" t="s">
        <v>17</v>
      </c>
      <c r="H204" t="s">
        <v>18</v>
      </c>
      <c r="I204" t="s">
        <v>23</v>
      </c>
      <c r="J204" t="s">
        <v>24</v>
      </c>
      <c r="K204">
        <v>3</v>
      </c>
      <c r="L204">
        <v>106</v>
      </c>
      <c r="M204">
        <v>125.333333</v>
      </c>
      <c r="N204">
        <v>318</v>
      </c>
      <c r="O204">
        <v>376</v>
      </c>
      <c r="P204">
        <v>202</v>
      </c>
      <c r="Q204">
        <v>376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16"/>
  <sheetViews>
    <sheetView topLeftCell="E1" zoomScale="85" workbookViewId="0">
      <selection activeCell="U5" sqref="U5"/>
    </sheetView>
  </sheetViews>
  <sheetFormatPr defaultRowHeight="14.4" x14ac:dyDescent="0.3"/>
  <cols>
    <col min="2" max="2" width="14.88671875" customWidth="1"/>
    <col min="3" max="3" width="15.77734375" bestFit="1" customWidth="1"/>
    <col min="5" max="5" width="9" bestFit="1" customWidth="1"/>
    <col min="11" max="17" width="9" bestFit="1" customWidth="1"/>
    <col min="21" max="21" width="9" customWidth="1"/>
    <col min="22" max="23" width="9" bestFit="1" customWidth="1"/>
    <col min="24" max="24" width="10.77734375" bestFit="1" customWidth="1"/>
    <col min="25" max="25" width="16" bestFit="1" customWidth="1"/>
    <col min="27" max="27" width="14" customWidth="1"/>
    <col min="28" max="28" width="14.44140625" customWidth="1"/>
    <col min="29" max="29" width="12.77734375" customWidth="1"/>
    <col min="30" max="30" width="14.77734375" customWidth="1"/>
    <col min="31" max="31" width="13" customWidth="1"/>
    <col min="33" max="33" width="9.21875" customWidth="1"/>
    <col min="36" max="36" width="9.109375" customWidth="1"/>
    <col min="37" max="37" width="11.88671875" customWidth="1"/>
  </cols>
  <sheetData>
    <row r="1" spans="1:37" x14ac:dyDescent="0.3">
      <c r="A1" t="s">
        <v>0</v>
      </c>
      <c r="B1" t="s">
        <v>1</v>
      </c>
      <c r="C1" t="s">
        <v>2</v>
      </c>
      <c r="D1" t="s">
        <v>3</v>
      </c>
      <c r="E1" t="s">
        <v>4</v>
      </c>
      <c r="F1" t="s">
        <v>5</v>
      </c>
      <c r="G1" t="s">
        <v>6</v>
      </c>
      <c r="H1" t="s">
        <v>7</v>
      </c>
      <c r="I1" t="s">
        <v>8</v>
      </c>
      <c r="J1" t="s">
        <v>9</v>
      </c>
      <c r="K1" t="s">
        <v>10</v>
      </c>
      <c r="L1" t="s">
        <v>11</v>
      </c>
      <c r="M1" t="s">
        <v>12</v>
      </c>
      <c r="N1" t="s">
        <v>13</v>
      </c>
      <c r="O1" t="s">
        <v>14</v>
      </c>
      <c r="P1" t="s">
        <v>21</v>
      </c>
      <c r="Q1" t="s">
        <v>22</v>
      </c>
      <c r="U1" s="8">
        <v>18</v>
      </c>
      <c r="V1" s="8" t="s">
        <v>1</v>
      </c>
      <c r="W1" s="8" t="s">
        <v>2</v>
      </c>
      <c r="X1" s="8" t="s">
        <v>3</v>
      </c>
      <c r="Y1" s="8" t="s">
        <v>4</v>
      </c>
      <c r="Z1" s="8" t="s">
        <v>5</v>
      </c>
      <c r="AA1" s="8" t="s">
        <v>6</v>
      </c>
      <c r="AB1" s="8" t="s">
        <v>7</v>
      </c>
      <c r="AC1" s="8" t="s">
        <v>8</v>
      </c>
      <c r="AD1" s="8" t="s">
        <v>9</v>
      </c>
      <c r="AE1" s="8" t="s">
        <v>10</v>
      </c>
      <c r="AF1" s="8" t="s">
        <v>11</v>
      </c>
      <c r="AG1" s="8" t="s">
        <v>12</v>
      </c>
      <c r="AH1" s="8" t="s">
        <v>13</v>
      </c>
      <c r="AI1" s="8" t="s">
        <v>14</v>
      </c>
      <c r="AJ1" s="8" t="s">
        <v>21</v>
      </c>
      <c r="AK1" s="8" t="s">
        <v>22</v>
      </c>
    </row>
    <row r="2" spans="1:37" x14ac:dyDescent="0.3">
      <c r="A2">
        <v>0</v>
      </c>
      <c r="B2" s="1">
        <v>42419</v>
      </c>
      <c r="C2">
        <v>2016</v>
      </c>
      <c r="D2" t="s">
        <v>15</v>
      </c>
      <c r="E2">
        <v>29</v>
      </c>
      <c r="F2" t="s">
        <v>16</v>
      </c>
      <c r="G2" t="s">
        <v>17</v>
      </c>
      <c r="H2" t="s">
        <v>18</v>
      </c>
      <c r="I2" t="s">
        <v>19</v>
      </c>
      <c r="J2" t="s">
        <v>20</v>
      </c>
      <c r="K2">
        <v>1</v>
      </c>
      <c r="L2">
        <v>80</v>
      </c>
      <c r="M2">
        <v>109</v>
      </c>
      <c r="N2">
        <v>80</v>
      </c>
      <c r="O2">
        <v>109</v>
      </c>
      <c r="P2">
        <v>0</v>
      </c>
      <c r="Q2">
        <v>109</v>
      </c>
      <c r="U2" s="9">
        <f>VLOOKUP(U1,Table13[#All],1,0)</f>
        <v>18</v>
      </c>
      <c r="V2" s="9">
        <f>VLOOKUP(U1,Table13[#All],2,0)</f>
        <v>42264</v>
      </c>
      <c r="W2" s="9">
        <f>VLOOKUP(U1,Table13[#All],3,0)</f>
        <v>2015</v>
      </c>
      <c r="X2" s="9" t="str">
        <f>VLOOKUP(U1,Table13[#All],4,0)</f>
        <v>September</v>
      </c>
      <c r="Y2" s="9">
        <f>VLOOKUP(U1,Table13[#All],5,0)</f>
        <v>29</v>
      </c>
      <c r="Z2" s="9" t="str">
        <f>VLOOKUP(U1,Table13[#All],6,0)</f>
        <v>F</v>
      </c>
      <c r="AA2" s="9" t="str">
        <f>VLOOKUP(U1,Table13[#All],7,0)</f>
        <v>United States</v>
      </c>
      <c r="AB2" s="9" t="str">
        <f>VLOOKUP(U1,Table13[#All],8,0)</f>
        <v>Washington</v>
      </c>
      <c r="AC2" s="9" t="str">
        <f>VLOOKUP(U1,Table13[#All],9,0)</f>
        <v>Accessories</v>
      </c>
      <c r="AD2" s="9" t="str">
        <f>VLOOKUP(U1,Table13[#All],10,0)</f>
        <v>Helmets</v>
      </c>
      <c r="AE2" s="9">
        <f>VLOOKUP(U1,Table13[#All],11,0)</f>
        <v>3</v>
      </c>
      <c r="AF2" s="9">
        <f>VLOOKUP(U1,Table13[#All],12,0)</f>
        <v>210</v>
      </c>
      <c r="AG2" s="9">
        <f>VLOOKUP(U1,Table13[#All],13,0)</f>
        <v>212.66666699999999</v>
      </c>
      <c r="AH2" s="9">
        <f>VLOOKUP(U1,Table13[#All],14,0)</f>
        <v>630</v>
      </c>
      <c r="AI2" s="9">
        <f>VLOOKUP(U1,Table13[#All],15,0)</f>
        <v>638</v>
      </c>
      <c r="AJ2" s="9">
        <f>VLOOKUP(U1,Table13[#All],16,0)</f>
        <v>18</v>
      </c>
      <c r="AK2" s="9">
        <f>VLOOKUP(U1,Table13[#All],17,0)</f>
        <v>638</v>
      </c>
    </row>
    <row r="3" spans="1:37" x14ac:dyDescent="0.3">
      <c r="A3">
        <v>1</v>
      </c>
      <c r="B3" s="1">
        <v>42420</v>
      </c>
      <c r="C3">
        <v>2016</v>
      </c>
      <c r="D3" t="s">
        <v>15</v>
      </c>
      <c r="E3">
        <v>29</v>
      </c>
      <c r="F3" t="s">
        <v>16</v>
      </c>
      <c r="G3" t="s">
        <v>17</v>
      </c>
      <c r="H3" t="s">
        <v>18</v>
      </c>
      <c r="I3" t="s">
        <v>23</v>
      </c>
      <c r="J3" t="s">
        <v>24</v>
      </c>
      <c r="K3">
        <v>2</v>
      </c>
      <c r="L3">
        <v>24.5</v>
      </c>
      <c r="M3">
        <v>28.5</v>
      </c>
      <c r="N3">
        <v>49</v>
      </c>
      <c r="O3">
        <v>57</v>
      </c>
      <c r="P3">
        <v>1</v>
      </c>
      <c r="Q3">
        <v>57</v>
      </c>
    </row>
    <row r="4" spans="1:37" x14ac:dyDescent="0.3">
      <c r="A4">
        <v>2</v>
      </c>
      <c r="B4" s="1">
        <v>42427</v>
      </c>
      <c r="C4">
        <v>2016</v>
      </c>
      <c r="D4" t="s">
        <v>15</v>
      </c>
      <c r="E4">
        <v>29</v>
      </c>
      <c r="F4" t="s">
        <v>16</v>
      </c>
      <c r="G4" t="s">
        <v>17</v>
      </c>
      <c r="H4" t="s">
        <v>18</v>
      </c>
      <c r="I4" t="s">
        <v>19</v>
      </c>
      <c r="J4" t="s">
        <v>20</v>
      </c>
      <c r="K4">
        <v>3</v>
      </c>
      <c r="L4">
        <v>3.67</v>
      </c>
      <c r="M4">
        <v>5</v>
      </c>
      <c r="N4">
        <v>11</v>
      </c>
      <c r="O4">
        <v>15</v>
      </c>
      <c r="P4">
        <v>2</v>
      </c>
      <c r="Q4">
        <v>15</v>
      </c>
      <c r="U4" s="5" t="s">
        <v>62</v>
      </c>
      <c r="V4" s="5" t="s">
        <v>63</v>
      </c>
      <c r="W4" s="5" t="s">
        <v>64</v>
      </c>
      <c r="X4" s="5" t="s">
        <v>65</v>
      </c>
      <c r="Y4" s="6" t="s">
        <v>66</v>
      </c>
    </row>
    <row r="5" spans="1:37" x14ac:dyDescent="0.3">
      <c r="A5">
        <v>3</v>
      </c>
      <c r="B5" s="1">
        <v>42441</v>
      </c>
      <c r="C5">
        <v>2016</v>
      </c>
      <c r="D5" t="s">
        <v>25</v>
      </c>
      <c r="E5">
        <v>29</v>
      </c>
      <c r="F5" t="s">
        <v>16</v>
      </c>
      <c r="G5" t="s">
        <v>17</v>
      </c>
      <c r="H5" t="s">
        <v>18</v>
      </c>
      <c r="I5" t="s">
        <v>19</v>
      </c>
      <c r="J5" t="s">
        <v>20</v>
      </c>
      <c r="K5">
        <v>2</v>
      </c>
      <c r="L5">
        <v>87.5</v>
      </c>
      <c r="M5">
        <v>116.5</v>
      </c>
      <c r="N5">
        <v>175</v>
      </c>
      <c r="O5">
        <v>233</v>
      </c>
      <c r="P5">
        <v>3</v>
      </c>
      <c r="Q5">
        <v>233</v>
      </c>
      <c r="U5" s="5" t="str">
        <f>IF(F2="M","TRUE","FALSE")</f>
        <v>FALSE</v>
      </c>
      <c r="V5" s="5" t="str" cm="1">
        <f t="array" ref="V5">_xlfn.IFS(F2="M","TRUE",C2=2016,"TRUE")</f>
        <v>TRUE</v>
      </c>
      <c r="W5" s="5" t="str" cm="1">
        <f t="array" ref="W5">_xlfn.IFNA(_xlfn.IFS(F2="M","TRUE",C2=2016,"TRUE"),"FALSE")</f>
        <v>TRUE</v>
      </c>
      <c r="X5" s="7">
        <f ca="1">TODAY()</f>
        <v>44944</v>
      </c>
      <c r="Y5" s="6">
        <f ca="1">NOW()</f>
        <v>44944.753713773149</v>
      </c>
    </row>
    <row r="6" spans="1:37" x14ac:dyDescent="0.3">
      <c r="A6">
        <v>4</v>
      </c>
      <c r="B6" s="1">
        <v>42441</v>
      </c>
      <c r="C6">
        <v>2016</v>
      </c>
      <c r="D6" t="s">
        <v>25</v>
      </c>
      <c r="E6">
        <v>29</v>
      </c>
      <c r="F6" t="s">
        <v>16</v>
      </c>
      <c r="G6" t="s">
        <v>17</v>
      </c>
      <c r="H6" t="s">
        <v>18</v>
      </c>
      <c r="I6" t="s">
        <v>19</v>
      </c>
      <c r="J6" t="s">
        <v>20</v>
      </c>
      <c r="K6">
        <v>3</v>
      </c>
      <c r="L6">
        <v>35</v>
      </c>
      <c r="M6">
        <v>41.666666999999997</v>
      </c>
      <c r="N6">
        <v>105</v>
      </c>
      <c r="O6">
        <v>125</v>
      </c>
      <c r="P6">
        <v>4</v>
      </c>
      <c r="Q6">
        <v>125</v>
      </c>
      <c r="U6" s="5" t="str">
        <f t="shared" ref="U6:U69" si="0">IF(F3="M","TRUE","FALSE")</f>
        <v>FALSE</v>
      </c>
      <c r="V6" s="5" t="str" cm="1">
        <f t="array" ref="V6">_xlfn.IFS(F3="M","TRUE",C3=2016,"TRUE")</f>
        <v>TRUE</v>
      </c>
      <c r="W6" s="5" t="str" cm="1">
        <f t="array" ref="W6">_xlfn.IFNA(_xlfn.IFS(F3="M","TRUE",C3=2016,"TRUE"),"FALSE")</f>
        <v>TRUE</v>
      </c>
    </row>
    <row r="7" spans="1:37" x14ac:dyDescent="0.3">
      <c r="A7">
        <v>5</v>
      </c>
      <c r="B7" s="1">
        <v>42468</v>
      </c>
      <c r="C7">
        <v>2016</v>
      </c>
      <c r="D7" t="s">
        <v>26</v>
      </c>
      <c r="E7">
        <v>29</v>
      </c>
      <c r="F7" t="s">
        <v>16</v>
      </c>
      <c r="G7" t="s">
        <v>17</v>
      </c>
      <c r="H7" t="s">
        <v>18</v>
      </c>
      <c r="I7" t="s">
        <v>19</v>
      </c>
      <c r="J7" t="s">
        <v>20</v>
      </c>
      <c r="K7">
        <v>1</v>
      </c>
      <c r="L7">
        <v>66</v>
      </c>
      <c r="M7">
        <v>78</v>
      </c>
      <c r="N7">
        <v>66</v>
      </c>
      <c r="O7">
        <v>78</v>
      </c>
      <c r="P7">
        <v>5</v>
      </c>
      <c r="Q7">
        <v>78</v>
      </c>
      <c r="U7" s="5" t="str">
        <f t="shared" si="0"/>
        <v>FALSE</v>
      </c>
      <c r="V7" s="5" t="str" cm="1">
        <f t="array" ref="V7">_xlfn.IFS(F4="M","TRUE",C4=2016,"TRUE")</f>
        <v>TRUE</v>
      </c>
      <c r="W7" s="5" t="str" cm="1">
        <f t="array" ref="W7">_xlfn.IFNA(_xlfn.IFS(F4="M","TRUE",C4=2016,"TRUE"),"FALSE")</f>
        <v>TRUE</v>
      </c>
    </row>
    <row r="8" spans="1:37" x14ac:dyDescent="0.3">
      <c r="A8">
        <v>6</v>
      </c>
      <c r="B8" s="1">
        <v>42477</v>
      </c>
      <c r="C8">
        <v>2016</v>
      </c>
      <c r="D8" t="s">
        <v>26</v>
      </c>
      <c r="E8">
        <v>29</v>
      </c>
      <c r="F8" t="s">
        <v>16</v>
      </c>
      <c r="G8" t="s">
        <v>17</v>
      </c>
      <c r="H8" t="s">
        <v>18</v>
      </c>
      <c r="I8" t="s">
        <v>19</v>
      </c>
      <c r="J8" t="s">
        <v>20</v>
      </c>
      <c r="K8">
        <v>2</v>
      </c>
      <c r="L8">
        <v>52</v>
      </c>
      <c r="M8">
        <v>60</v>
      </c>
      <c r="N8">
        <v>104</v>
      </c>
      <c r="O8">
        <v>120</v>
      </c>
      <c r="P8">
        <v>6</v>
      </c>
      <c r="Q8">
        <v>120</v>
      </c>
      <c r="U8" s="5" t="str">
        <f t="shared" si="0"/>
        <v>FALSE</v>
      </c>
      <c r="V8" s="5" t="str" cm="1">
        <f t="array" ref="V8">_xlfn.IFS(F5="M","TRUE",C5=2016,"TRUE")</f>
        <v>TRUE</v>
      </c>
      <c r="W8" s="5" t="str" cm="1">
        <f t="array" ref="W8">_xlfn.IFNA(_xlfn.IFS(F5="M","TRUE",C5=2016,"TRUE"),"FALSE")</f>
        <v>TRUE</v>
      </c>
    </row>
    <row r="9" spans="1:37" x14ac:dyDescent="0.3">
      <c r="A9">
        <v>7</v>
      </c>
      <c r="B9" s="1">
        <v>42477</v>
      </c>
      <c r="C9">
        <v>2016</v>
      </c>
      <c r="D9" t="s">
        <v>26</v>
      </c>
      <c r="E9">
        <v>29</v>
      </c>
      <c r="F9" t="s">
        <v>16</v>
      </c>
      <c r="G9" t="s">
        <v>17</v>
      </c>
      <c r="H9" t="s">
        <v>18</v>
      </c>
      <c r="I9" t="s">
        <v>19</v>
      </c>
      <c r="J9" t="s">
        <v>20</v>
      </c>
      <c r="K9">
        <v>1</v>
      </c>
      <c r="L9">
        <v>60</v>
      </c>
      <c r="M9">
        <v>68</v>
      </c>
      <c r="N9">
        <v>60</v>
      </c>
      <c r="O9">
        <v>68</v>
      </c>
      <c r="P9">
        <v>7</v>
      </c>
      <c r="Q9">
        <v>68</v>
      </c>
      <c r="U9" s="5" t="str">
        <f t="shared" si="0"/>
        <v>FALSE</v>
      </c>
      <c r="V9" s="5" t="str" cm="1">
        <f t="array" ref="V9">_xlfn.IFS(F6="M","TRUE",C6=2016,"TRUE")</f>
        <v>TRUE</v>
      </c>
      <c r="W9" s="5" t="str" cm="1">
        <f t="array" ref="W9">_xlfn.IFNA(_xlfn.IFS(F6="M","TRUE",C6=2016,"TRUE"),"FALSE")</f>
        <v>TRUE</v>
      </c>
    </row>
    <row r="10" spans="1:37" x14ac:dyDescent="0.3">
      <c r="A10">
        <v>8</v>
      </c>
      <c r="B10" s="1">
        <v>42543</v>
      </c>
      <c r="C10">
        <v>2016</v>
      </c>
      <c r="D10" t="s">
        <v>27</v>
      </c>
      <c r="E10">
        <v>29</v>
      </c>
      <c r="F10" t="s">
        <v>16</v>
      </c>
      <c r="G10" t="s">
        <v>17</v>
      </c>
      <c r="H10" t="s">
        <v>18</v>
      </c>
      <c r="I10" t="s">
        <v>19</v>
      </c>
      <c r="J10" t="s">
        <v>20</v>
      </c>
      <c r="K10">
        <v>2</v>
      </c>
      <c r="L10">
        <v>8</v>
      </c>
      <c r="M10">
        <v>10</v>
      </c>
      <c r="N10">
        <v>16</v>
      </c>
      <c r="O10">
        <v>20</v>
      </c>
      <c r="P10">
        <v>8</v>
      </c>
      <c r="Q10">
        <v>20</v>
      </c>
      <c r="U10" s="5" t="str">
        <f t="shared" si="0"/>
        <v>FALSE</v>
      </c>
      <c r="V10" s="5" t="str" cm="1">
        <f t="array" ref="V10">_xlfn.IFS(F7="M","TRUE",C7=2016,"TRUE")</f>
        <v>TRUE</v>
      </c>
      <c r="W10" s="5" t="str" cm="1">
        <f t="array" ref="W10">_xlfn.IFNA(_xlfn.IFS(F7="M","TRUE",C7=2016,"TRUE"),"FALSE")</f>
        <v>TRUE</v>
      </c>
    </row>
    <row r="11" spans="1:37" x14ac:dyDescent="0.3">
      <c r="A11">
        <v>9</v>
      </c>
      <c r="B11" s="1">
        <v>42543</v>
      </c>
      <c r="C11">
        <v>2016</v>
      </c>
      <c r="D11" t="s">
        <v>27</v>
      </c>
      <c r="E11">
        <v>29</v>
      </c>
      <c r="F11" t="s">
        <v>16</v>
      </c>
      <c r="G11" t="s">
        <v>17</v>
      </c>
      <c r="H11" t="s">
        <v>18</v>
      </c>
      <c r="I11" t="s">
        <v>19</v>
      </c>
      <c r="J11" t="s">
        <v>20</v>
      </c>
      <c r="K11">
        <v>2</v>
      </c>
      <c r="L11">
        <v>2.5</v>
      </c>
      <c r="M11">
        <v>3</v>
      </c>
      <c r="N11">
        <v>5</v>
      </c>
      <c r="O11">
        <v>6</v>
      </c>
      <c r="P11">
        <v>9</v>
      </c>
      <c r="Q11">
        <v>6</v>
      </c>
      <c r="U11" s="5" t="str">
        <f t="shared" si="0"/>
        <v>FALSE</v>
      </c>
      <c r="V11" s="5" t="str" cm="1">
        <f t="array" ref="V11">_xlfn.IFS(F8="M","TRUE",C8=2016,"TRUE")</f>
        <v>TRUE</v>
      </c>
      <c r="W11" s="5" t="str" cm="1">
        <f t="array" ref="W11">_xlfn.IFNA(_xlfn.IFS(F8="M","TRUE",C8=2016,"TRUE"),"FALSE")</f>
        <v>TRUE</v>
      </c>
    </row>
    <row r="12" spans="1:37" x14ac:dyDescent="0.3">
      <c r="A12">
        <v>10</v>
      </c>
      <c r="B12" s="1">
        <v>42545</v>
      </c>
      <c r="C12">
        <v>2016</v>
      </c>
      <c r="D12" t="s">
        <v>27</v>
      </c>
      <c r="E12">
        <v>29</v>
      </c>
      <c r="F12" t="s">
        <v>16</v>
      </c>
      <c r="G12" t="s">
        <v>17</v>
      </c>
      <c r="H12" t="s">
        <v>18</v>
      </c>
      <c r="I12" t="s">
        <v>19</v>
      </c>
      <c r="J12" t="s">
        <v>28</v>
      </c>
      <c r="K12">
        <v>2</v>
      </c>
      <c r="L12">
        <v>17.5</v>
      </c>
      <c r="M12">
        <v>21</v>
      </c>
      <c r="N12">
        <v>35</v>
      </c>
      <c r="O12">
        <v>42</v>
      </c>
      <c r="P12">
        <v>10</v>
      </c>
      <c r="Q12">
        <v>42</v>
      </c>
      <c r="U12" s="5" t="str">
        <f t="shared" si="0"/>
        <v>FALSE</v>
      </c>
      <c r="V12" s="5" t="str" cm="1">
        <f t="array" ref="V12">_xlfn.IFS(F9="M","TRUE",C9=2016,"TRUE")</f>
        <v>TRUE</v>
      </c>
      <c r="W12" s="5" t="str" cm="1">
        <f t="array" ref="W12">_xlfn.IFNA(_xlfn.IFS(F9="M","TRUE",C9=2016,"TRUE"),"FALSE")</f>
        <v>TRUE</v>
      </c>
    </row>
    <row r="13" spans="1:37" x14ac:dyDescent="0.3">
      <c r="A13">
        <v>11</v>
      </c>
      <c r="B13" s="1">
        <v>42552</v>
      </c>
      <c r="C13">
        <v>2016</v>
      </c>
      <c r="D13" t="s">
        <v>29</v>
      </c>
      <c r="E13">
        <v>29</v>
      </c>
      <c r="F13" t="s">
        <v>16</v>
      </c>
      <c r="G13" t="s">
        <v>17</v>
      </c>
      <c r="H13" t="s">
        <v>18</v>
      </c>
      <c r="I13" t="s">
        <v>19</v>
      </c>
      <c r="J13" t="s">
        <v>20</v>
      </c>
      <c r="K13">
        <v>3</v>
      </c>
      <c r="L13">
        <v>40</v>
      </c>
      <c r="M13">
        <v>48.666666999999997</v>
      </c>
      <c r="N13">
        <v>120</v>
      </c>
      <c r="O13">
        <v>146</v>
      </c>
      <c r="P13">
        <v>11</v>
      </c>
      <c r="Q13">
        <v>146</v>
      </c>
      <c r="U13" s="5" t="str">
        <f t="shared" si="0"/>
        <v>FALSE</v>
      </c>
      <c r="V13" s="5" t="str" cm="1">
        <f t="array" ref="V13">_xlfn.IFS(F10="M","TRUE",C10=2016,"TRUE")</f>
        <v>TRUE</v>
      </c>
      <c r="W13" s="5" t="str" cm="1">
        <f t="array" ref="W13">_xlfn.IFNA(_xlfn.IFS(F10="M","TRUE",C10=2016,"TRUE"),"FALSE")</f>
        <v>TRUE</v>
      </c>
    </row>
    <row r="14" spans="1:37" x14ac:dyDescent="0.3">
      <c r="A14">
        <v>12</v>
      </c>
      <c r="B14" s="1">
        <v>42573</v>
      </c>
      <c r="C14">
        <v>2016</v>
      </c>
      <c r="D14" t="s">
        <v>29</v>
      </c>
      <c r="E14">
        <v>29</v>
      </c>
      <c r="F14" t="s">
        <v>16</v>
      </c>
      <c r="G14" t="s">
        <v>17</v>
      </c>
      <c r="H14" t="s">
        <v>18</v>
      </c>
      <c r="I14" t="s">
        <v>19</v>
      </c>
      <c r="J14" t="s">
        <v>20</v>
      </c>
      <c r="K14">
        <v>2</v>
      </c>
      <c r="L14">
        <v>46</v>
      </c>
      <c r="M14">
        <v>60</v>
      </c>
      <c r="N14">
        <v>92</v>
      </c>
      <c r="O14">
        <v>120</v>
      </c>
      <c r="P14">
        <v>12</v>
      </c>
      <c r="Q14">
        <v>120</v>
      </c>
      <c r="U14" s="5" t="str">
        <f t="shared" si="0"/>
        <v>FALSE</v>
      </c>
      <c r="V14" s="5" t="str" cm="1">
        <f t="array" ref="V14">_xlfn.IFS(F11="M","TRUE",C11=2016,"TRUE")</f>
        <v>TRUE</v>
      </c>
      <c r="W14" s="5" t="str" cm="1">
        <f t="array" ref="W14">_xlfn.IFNA(_xlfn.IFS(F11="M","TRUE",C11=2016,"TRUE"),"FALSE")</f>
        <v>TRUE</v>
      </c>
    </row>
    <row r="15" spans="1:37" x14ac:dyDescent="0.3">
      <c r="A15">
        <v>13</v>
      </c>
      <c r="B15" s="1">
        <v>42573</v>
      </c>
      <c r="C15">
        <v>2016</v>
      </c>
      <c r="D15" t="s">
        <v>29</v>
      </c>
      <c r="E15">
        <v>29</v>
      </c>
      <c r="F15" t="s">
        <v>16</v>
      </c>
      <c r="G15" t="s">
        <v>17</v>
      </c>
      <c r="H15" t="s">
        <v>18</v>
      </c>
      <c r="I15" t="s">
        <v>19</v>
      </c>
      <c r="J15" t="s">
        <v>20</v>
      </c>
      <c r="K15">
        <v>1</v>
      </c>
      <c r="L15">
        <v>9</v>
      </c>
      <c r="M15">
        <v>10</v>
      </c>
      <c r="N15">
        <v>9</v>
      </c>
      <c r="O15">
        <v>10</v>
      </c>
      <c r="P15">
        <v>13</v>
      </c>
      <c r="Q15">
        <v>10</v>
      </c>
      <c r="U15" s="5" t="str">
        <f t="shared" si="0"/>
        <v>FALSE</v>
      </c>
      <c r="V15" s="5" t="str" cm="1">
        <f t="array" ref="V15">_xlfn.IFS(F12="M","TRUE",C12=2016,"TRUE")</f>
        <v>TRUE</v>
      </c>
      <c r="W15" s="5" t="str" cm="1">
        <f t="array" ref="W15">_xlfn.IFNA(_xlfn.IFS(F12="M","TRUE",C12=2016,"TRUE"),"FALSE")</f>
        <v>TRUE</v>
      </c>
    </row>
    <row r="16" spans="1:37" x14ac:dyDescent="0.3">
      <c r="A16">
        <v>14</v>
      </c>
      <c r="B16" s="1">
        <v>42234</v>
      </c>
      <c r="C16">
        <v>2015</v>
      </c>
      <c r="D16" t="s">
        <v>30</v>
      </c>
      <c r="E16">
        <v>29</v>
      </c>
      <c r="F16" t="s">
        <v>16</v>
      </c>
      <c r="G16" t="s">
        <v>17</v>
      </c>
      <c r="H16" t="s">
        <v>18</v>
      </c>
      <c r="I16" t="s">
        <v>19</v>
      </c>
      <c r="J16" t="s">
        <v>28</v>
      </c>
      <c r="K16">
        <v>3</v>
      </c>
      <c r="L16">
        <v>151.66999999999999</v>
      </c>
      <c r="M16">
        <v>181.33333300000001</v>
      </c>
      <c r="N16">
        <v>455</v>
      </c>
      <c r="O16">
        <v>544</v>
      </c>
      <c r="P16">
        <v>14</v>
      </c>
      <c r="Q16">
        <v>544</v>
      </c>
      <c r="U16" s="5" t="str">
        <f t="shared" si="0"/>
        <v>FALSE</v>
      </c>
      <c r="V16" s="5" t="str" cm="1">
        <f t="array" ref="V16">_xlfn.IFS(F13="M","TRUE",C13=2016,"TRUE")</f>
        <v>TRUE</v>
      </c>
      <c r="W16" s="5" t="str" cm="1">
        <f t="array" ref="W16">_xlfn.IFNA(_xlfn.IFS(F13="M","TRUE",C13=2016,"TRUE"),"FALSE")</f>
        <v>TRUE</v>
      </c>
    </row>
    <row r="17" spans="1:23" x14ac:dyDescent="0.3">
      <c r="A17">
        <v>15</v>
      </c>
      <c r="B17" s="1">
        <v>42246</v>
      </c>
      <c r="C17">
        <v>2015</v>
      </c>
      <c r="D17" t="s">
        <v>30</v>
      </c>
      <c r="E17">
        <v>29</v>
      </c>
      <c r="F17" t="s">
        <v>16</v>
      </c>
      <c r="G17" t="s">
        <v>17</v>
      </c>
      <c r="H17" t="s">
        <v>18</v>
      </c>
      <c r="I17" t="s">
        <v>19</v>
      </c>
      <c r="J17" t="s">
        <v>20</v>
      </c>
      <c r="K17">
        <v>3</v>
      </c>
      <c r="L17">
        <v>70</v>
      </c>
      <c r="M17">
        <v>72.666667000000004</v>
      </c>
      <c r="N17">
        <v>210</v>
      </c>
      <c r="O17">
        <v>218</v>
      </c>
      <c r="P17">
        <v>15</v>
      </c>
      <c r="Q17">
        <v>218</v>
      </c>
      <c r="U17" s="5" t="str">
        <f t="shared" si="0"/>
        <v>FALSE</v>
      </c>
      <c r="V17" s="5" t="str" cm="1">
        <f t="array" ref="V17">_xlfn.IFS(F14="M","TRUE",C14=2016,"TRUE")</f>
        <v>TRUE</v>
      </c>
      <c r="W17" s="5" t="str" cm="1">
        <f t="array" ref="W17">_xlfn.IFNA(_xlfn.IFS(F14="M","TRUE",C14=2016,"TRUE"),"FALSE")</f>
        <v>TRUE</v>
      </c>
    </row>
    <row r="18" spans="1:23" x14ac:dyDescent="0.3">
      <c r="A18">
        <v>16</v>
      </c>
      <c r="B18" s="1">
        <v>42264</v>
      </c>
      <c r="C18">
        <v>2015</v>
      </c>
      <c r="D18" t="s">
        <v>31</v>
      </c>
      <c r="E18">
        <v>29</v>
      </c>
      <c r="F18" t="s">
        <v>16</v>
      </c>
      <c r="G18" t="s">
        <v>17</v>
      </c>
      <c r="H18" t="s">
        <v>18</v>
      </c>
      <c r="I18" t="s">
        <v>19</v>
      </c>
      <c r="J18" t="s">
        <v>20</v>
      </c>
      <c r="K18">
        <v>1</v>
      </c>
      <c r="L18">
        <v>385</v>
      </c>
      <c r="M18">
        <v>439</v>
      </c>
      <c r="N18">
        <v>385</v>
      </c>
      <c r="O18">
        <v>439</v>
      </c>
      <c r="P18">
        <v>16</v>
      </c>
      <c r="Q18">
        <v>439</v>
      </c>
      <c r="U18" s="5" t="str">
        <f t="shared" si="0"/>
        <v>FALSE</v>
      </c>
      <c r="V18" s="5" t="str" cm="1">
        <f t="array" ref="V18">_xlfn.IFS(F15="M","TRUE",C15=2016,"TRUE")</f>
        <v>TRUE</v>
      </c>
      <c r="W18" s="5" t="str" cm="1">
        <f t="array" ref="W18">_xlfn.IFNA(_xlfn.IFS(F15="M","TRUE",C15=2016,"TRUE"),"FALSE")</f>
        <v>TRUE</v>
      </c>
    </row>
    <row r="19" spans="1:23" x14ac:dyDescent="0.3">
      <c r="A19">
        <v>17</v>
      </c>
      <c r="B19" s="1">
        <v>42264</v>
      </c>
      <c r="C19">
        <v>2015</v>
      </c>
      <c r="D19" t="s">
        <v>31</v>
      </c>
      <c r="E19">
        <v>29</v>
      </c>
      <c r="F19" t="s">
        <v>16</v>
      </c>
      <c r="G19" t="s">
        <v>17</v>
      </c>
      <c r="H19" t="s">
        <v>18</v>
      </c>
      <c r="I19" t="s">
        <v>19</v>
      </c>
      <c r="J19" t="s">
        <v>20</v>
      </c>
      <c r="K19">
        <v>2</v>
      </c>
      <c r="L19">
        <v>72.5</v>
      </c>
      <c r="M19">
        <v>86.5</v>
      </c>
      <c r="N19">
        <v>145</v>
      </c>
      <c r="O19">
        <v>173</v>
      </c>
      <c r="P19">
        <v>17</v>
      </c>
      <c r="Q19">
        <v>173</v>
      </c>
      <c r="U19" s="5" t="str">
        <f t="shared" si="0"/>
        <v>FALSE</v>
      </c>
      <c r="V19" s="5" t="e" cm="1">
        <f t="array" ref="V19">_xlfn.IFS(F16="M","TRUE",C16=2016,"TRUE")</f>
        <v>#N/A</v>
      </c>
      <c r="W19" s="5" t="str" cm="1">
        <f t="array" ref="W19">_xlfn.IFNA(_xlfn.IFS(F16="M","TRUE",C16=2016,"TRUE"),"FALSE")</f>
        <v>FALSE</v>
      </c>
    </row>
    <row r="20" spans="1:23" x14ac:dyDescent="0.3">
      <c r="A20">
        <v>18</v>
      </c>
      <c r="B20" s="1">
        <v>42264</v>
      </c>
      <c r="C20">
        <v>2015</v>
      </c>
      <c r="D20" t="s">
        <v>31</v>
      </c>
      <c r="E20">
        <v>29</v>
      </c>
      <c r="F20" t="s">
        <v>16</v>
      </c>
      <c r="G20" t="s">
        <v>17</v>
      </c>
      <c r="H20" t="s">
        <v>18</v>
      </c>
      <c r="I20" t="s">
        <v>19</v>
      </c>
      <c r="J20" t="s">
        <v>28</v>
      </c>
      <c r="K20">
        <v>3</v>
      </c>
      <c r="L20">
        <v>210</v>
      </c>
      <c r="M20">
        <v>212.66666699999999</v>
      </c>
      <c r="N20">
        <v>630</v>
      </c>
      <c r="O20">
        <v>638</v>
      </c>
      <c r="P20">
        <v>18</v>
      </c>
      <c r="Q20">
        <v>638</v>
      </c>
      <c r="U20" s="5" t="str">
        <f t="shared" si="0"/>
        <v>FALSE</v>
      </c>
      <c r="V20" s="5" t="e" cm="1">
        <f t="array" ref="V20">_xlfn.IFS(F17="M","TRUE",C17=2016,"TRUE")</f>
        <v>#N/A</v>
      </c>
      <c r="W20" s="5" t="str" cm="1">
        <f t="array" ref="W20">_xlfn.IFNA(_xlfn.IFS(F17="M","TRUE",C17=2016,"TRUE"),"FALSE")</f>
        <v>FALSE</v>
      </c>
    </row>
    <row r="21" spans="1:23" x14ac:dyDescent="0.3">
      <c r="A21">
        <v>19</v>
      </c>
      <c r="B21" s="1">
        <v>42271</v>
      </c>
      <c r="C21">
        <v>2015</v>
      </c>
      <c r="D21" t="s">
        <v>31</v>
      </c>
      <c r="E21">
        <v>29</v>
      </c>
      <c r="F21" t="s">
        <v>16</v>
      </c>
      <c r="G21" t="s">
        <v>17</v>
      </c>
      <c r="H21" t="s">
        <v>18</v>
      </c>
      <c r="I21" t="s">
        <v>19</v>
      </c>
      <c r="J21" t="s">
        <v>20</v>
      </c>
      <c r="K21">
        <v>1</v>
      </c>
      <c r="L21">
        <v>64</v>
      </c>
      <c r="M21">
        <v>74</v>
      </c>
      <c r="N21">
        <v>64</v>
      </c>
      <c r="O21">
        <v>74</v>
      </c>
      <c r="P21">
        <v>19</v>
      </c>
      <c r="Q21">
        <v>74</v>
      </c>
      <c r="U21" s="5" t="str">
        <f t="shared" si="0"/>
        <v>FALSE</v>
      </c>
      <c r="V21" s="5" t="e" cm="1">
        <f t="array" ref="V21">_xlfn.IFS(F18="M","TRUE",C18=2016,"TRUE")</f>
        <v>#N/A</v>
      </c>
      <c r="W21" s="5" t="str" cm="1">
        <f t="array" ref="W21">_xlfn.IFNA(_xlfn.IFS(F18="M","TRUE",C18=2016,"TRUE"),"FALSE")</f>
        <v>FALSE</v>
      </c>
    </row>
    <row r="22" spans="1:23" x14ac:dyDescent="0.3">
      <c r="A22">
        <v>20</v>
      </c>
      <c r="B22" s="1">
        <v>42271</v>
      </c>
      <c r="C22">
        <v>2015</v>
      </c>
      <c r="D22" t="s">
        <v>31</v>
      </c>
      <c r="E22">
        <v>29</v>
      </c>
      <c r="F22" t="s">
        <v>16</v>
      </c>
      <c r="G22" t="s">
        <v>17</v>
      </c>
      <c r="H22" t="s">
        <v>18</v>
      </c>
      <c r="I22" t="s">
        <v>19</v>
      </c>
      <c r="J22" t="s">
        <v>28</v>
      </c>
      <c r="K22">
        <v>3</v>
      </c>
      <c r="L22">
        <v>326.67</v>
      </c>
      <c r="M22">
        <v>359.66666700000002</v>
      </c>
      <c r="N22">
        <v>980</v>
      </c>
      <c r="O22">
        <v>1079</v>
      </c>
      <c r="P22">
        <v>20</v>
      </c>
      <c r="Q22">
        <v>1079</v>
      </c>
      <c r="U22" s="5" t="str">
        <f t="shared" si="0"/>
        <v>FALSE</v>
      </c>
      <c r="V22" s="5" t="e" cm="1">
        <f t="array" ref="V22">_xlfn.IFS(F19="M","TRUE",C19=2016,"TRUE")</f>
        <v>#N/A</v>
      </c>
      <c r="W22" s="5" t="str" cm="1">
        <f t="array" ref="W22">_xlfn.IFNA(_xlfn.IFS(F19="M","TRUE",C19=2016,"TRUE"),"FALSE")</f>
        <v>FALSE</v>
      </c>
    </row>
    <row r="23" spans="1:23" x14ac:dyDescent="0.3">
      <c r="A23">
        <v>21</v>
      </c>
      <c r="B23" s="1">
        <v>42284</v>
      </c>
      <c r="C23">
        <v>2015</v>
      </c>
      <c r="D23" t="s">
        <v>32</v>
      </c>
      <c r="E23">
        <v>29</v>
      </c>
      <c r="F23" t="s">
        <v>16</v>
      </c>
      <c r="G23" t="s">
        <v>17</v>
      </c>
      <c r="H23" t="s">
        <v>18</v>
      </c>
      <c r="I23" t="s">
        <v>19</v>
      </c>
      <c r="J23" t="s">
        <v>20</v>
      </c>
      <c r="K23">
        <v>1</v>
      </c>
      <c r="L23">
        <v>125</v>
      </c>
      <c r="M23">
        <v>136</v>
      </c>
      <c r="N23">
        <v>125</v>
      </c>
      <c r="O23">
        <v>136</v>
      </c>
      <c r="P23">
        <v>21</v>
      </c>
      <c r="Q23">
        <v>136</v>
      </c>
      <c r="U23" s="5" t="str">
        <f t="shared" si="0"/>
        <v>FALSE</v>
      </c>
      <c r="V23" s="5" t="e" cm="1">
        <f t="array" ref="V23">_xlfn.IFS(F20="M","TRUE",C20=2016,"TRUE")</f>
        <v>#N/A</v>
      </c>
      <c r="W23" s="5" t="str" cm="1">
        <f t="array" ref="W23">_xlfn.IFNA(_xlfn.IFS(F20="M","TRUE",C20=2016,"TRUE"),"FALSE")</f>
        <v>FALSE</v>
      </c>
    </row>
    <row r="24" spans="1:23" x14ac:dyDescent="0.3">
      <c r="A24">
        <v>22</v>
      </c>
      <c r="B24" s="1">
        <v>42284</v>
      </c>
      <c r="C24">
        <v>2015</v>
      </c>
      <c r="D24" t="s">
        <v>32</v>
      </c>
      <c r="E24">
        <v>29</v>
      </c>
      <c r="F24" t="s">
        <v>16</v>
      </c>
      <c r="G24" t="s">
        <v>17</v>
      </c>
      <c r="H24" t="s">
        <v>18</v>
      </c>
      <c r="I24" t="s">
        <v>19</v>
      </c>
      <c r="J24" t="s">
        <v>28</v>
      </c>
      <c r="K24">
        <v>2</v>
      </c>
      <c r="L24">
        <v>17.5</v>
      </c>
      <c r="M24">
        <v>18</v>
      </c>
      <c r="N24">
        <v>35</v>
      </c>
      <c r="O24">
        <v>36</v>
      </c>
      <c r="P24">
        <v>22</v>
      </c>
      <c r="Q24">
        <v>36</v>
      </c>
      <c r="U24" s="5" t="str">
        <f t="shared" si="0"/>
        <v>FALSE</v>
      </c>
      <c r="V24" s="5" t="e" cm="1">
        <f t="array" ref="V24">_xlfn.IFS(F21="M","TRUE",C21=2016,"TRUE")</f>
        <v>#N/A</v>
      </c>
      <c r="W24" s="5" t="str" cm="1">
        <f t="array" ref="W24">_xlfn.IFNA(_xlfn.IFS(F21="M","TRUE",C21=2016,"TRUE"),"FALSE")</f>
        <v>FALSE</v>
      </c>
    </row>
    <row r="25" spans="1:23" x14ac:dyDescent="0.3">
      <c r="A25">
        <v>23</v>
      </c>
      <c r="B25" s="1">
        <v>42284</v>
      </c>
      <c r="C25">
        <v>2015</v>
      </c>
      <c r="D25" t="s">
        <v>32</v>
      </c>
      <c r="E25">
        <v>29</v>
      </c>
      <c r="F25" t="s">
        <v>16</v>
      </c>
      <c r="G25" t="s">
        <v>17</v>
      </c>
      <c r="H25" t="s">
        <v>18</v>
      </c>
      <c r="I25" t="s">
        <v>19</v>
      </c>
      <c r="J25" t="s">
        <v>20</v>
      </c>
      <c r="K25">
        <v>2</v>
      </c>
      <c r="L25">
        <v>215</v>
      </c>
      <c r="M25">
        <v>226</v>
      </c>
      <c r="N25">
        <v>430</v>
      </c>
      <c r="O25">
        <v>452</v>
      </c>
      <c r="P25">
        <v>23</v>
      </c>
      <c r="Q25">
        <v>452</v>
      </c>
      <c r="U25" s="5" t="str">
        <f t="shared" si="0"/>
        <v>FALSE</v>
      </c>
      <c r="V25" s="5" t="e" cm="1">
        <f t="array" ref="V25">_xlfn.IFS(F22="M","TRUE",C22=2016,"TRUE")</f>
        <v>#N/A</v>
      </c>
      <c r="W25" s="5" t="str" cm="1">
        <f t="array" ref="W25">_xlfn.IFNA(_xlfn.IFS(F22="M","TRUE",C22=2016,"TRUE"),"FALSE")</f>
        <v>FALSE</v>
      </c>
    </row>
    <row r="26" spans="1:23" x14ac:dyDescent="0.3">
      <c r="A26">
        <v>24</v>
      </c>
      <c r="B26" s="1">
        <v>42284</v>
      </c>
      <c r="C26">
        <v>2015</v>
      </c>
      <c r="D26" t="s">
        <v>32</v>
      </c>
      <c r="E26">
        <v>29</v>
      </c>
      <c r="F26" t="s">
        <v>16</v>
      </c>
      <c r="G26" t="s">
        <v>17</v>
      </c>
      <c r="H26" t="s">
        <v>18</v>
      </c>
      <c r="I26" t="s">
        <v>19</v>
      </c>
      <c r="J26" t="s">
        <v>20</v>
      </c>
      <c r="K26">
        <v>3</v>
      </c>
      <c r="L26">
        <v>22</v>
      </c>
      <c r="M26">
        <v>23</v>
      </c>
      <c r="N26">
        <v>66</v>
      </c>
      <c r="O26">
        <v>69</v>
      </c>
      <c r="P26">
        <v>24</v>
      </c>
      <c r="Q26">
        <v>69</v>
      </c>
      <c r="U26" s="5" t="str">
        <f t="shared" si="0"/>
        <v>FALSE</v>
      </c>
      <c r="V26" s="5" t="e" cm="1">
        <f t="array" ref="V26">_xlfn.IFS(F23="M","TRUE",C23=2016,"TRUE")</f>
        <v>#N/A</v>
      </c>
      <c r="W26" s="5" t="str" cm="1">
        <f t="array" ref="W26">_xlfn.IFNA(_xlfn.IFS(F23="M","TRUE",C23=2016,"TRUE"),"FALSE")</f>
        <v>FALSE</v>
      </c>
    </row>
    <row r="27" spans="1:23" x14ac:dyDescent="0.3">
      <c r="A27">
        <v>25</v>
      </c>
      <c r="B27" s="1">
        <v>42290</v>
      </c>
      <c r="C27">
        <v>2015</v>
      </c>
      <c r="D27" t="s">
        <v>32</v>
      </c>
      <c r="E27">
        <v>29</v>
      </c>
      <c r="F27" t="s">
        <v>16</v>
      </c>
      <c r="G27" t="s">
        <v>17</v>
      </c>
      <c r="H27" t="s">
        <v>18</v>
      </c>
      <c r="I27" t="s">
        <v>19</v>
      </c>
      <c r="J27" t="s">
        <v>20</v>
      </c>
      <c r="K27">
        <v>1</v>
      </c>
      <c r="L27">
        <v>750</v>
      </c>
      <c r="M27">
        <v>820</v>
      </c>
      <c r="N27">
        <v>750</v>
      </c>
      <c r="O27">
        <v>820</v>
      </c>
      <c r="P27">
        <v>25</v>
      </c>
      <c r="Q27">
        <v>820</v>
      </c>
      <c r="U27" s="5" t="str">
        <f t="shared" si="0"/>
        <v>FALSE</v>
      </c>
      <c r="V27" s="5" t="e" cm="1">
        <f t="array" ref="V27">_xlfn.IFS(F24="M","TRUE",C24=2016,"TRUE")</f>
        <v>#N/A</v>
      </c>
      <c r="W27" s="5" t="str" cm="1">
        <f t="array" ref="W27">_xlfn.IFNA(_xlfn.IFS(F24="M","TRUE",C24=2016,"TRUE"),"FALSE")</f>
        <v>FALSE</v>
      </c>
    </row>
    <row r="28" spans="1:23" x14ac:dyDescent="0.3">
      <c r="A28">
        <v>26</v>
      </c>
      <c r="B28" s="1">
        <v>42297</v>
      </c>
      <c r="C28">
        <v>2015</v>
      </c>
      <c r="D28" t="s">
        <v>32</v>
      </c>
      <c r="E28">
        <v>29</v>
      </c>
      <c r="F28" t="s">
        <v>16</v>
      </c>
      <c r="G28" t="s">
        <v>17</v>
      </c>
      <c r="H28" t="s">
        <v>18</v>
      </c>
      <c r="I28" t="s">
        <v>19</v>
      </c>
      <c r="J28" t="s">
        <v>20</v>
      </c>
      <c r="K28">
        <v>2</v>
      </c>
      <c r="L28">
        <v>60</v>
      </c>
      <c r="M28">
        <v>70.5</v>
      </c>
      <c r="N28">
        <v>120</v>
      </c>
      <c r="O28">
        <v>141</v>
      </c>
      <c r="P28">
        <v>26</v>
      </c>
      <c r="Q28">
        <v>141</v>
      </c>
      <c r="U28" s="5" t="str">
        <f t="shared" si="0"/>
        <v>FALSE</v>
      </c>
      <c r="V28" s="5" t="e" cm="1">
        <f t="array" ref="V28">_xlfn.IFS(F25="M","TRUE",C25=2016,"TRUE")</f>
        <v>#N/A</v>
      </c>
      <c r="W28" s="5" t="str" cm="1">
        <f t="array" ref="W28">_xlfn.IFNA(_xlfn.IFS(F25="M","TRUE",C25=2016,"TRUE"),"FALSE")</f>
        <v>FALSE</v>
      </c>
    </row>
    <row r="29" spans="1:23" x14ac:dyDescent="0.3">
      <c r="A29">
        <v>27</v>
      </c>
      <c r="B29" s="1">
        <v>42297</v>
      </c>
      <c r="C29">
        <v>2015</v>
      </c>
      <c r="D29" t="s">
        <v>32</v>
      </c>
      <c r="E29">
        <v>29</v>
      </c>
      <c r="F29" t="s">
        <v>16</v>
      </c>
      <c r="G29" t="s">
        <v>17</v>
      </c>
      <c r="H29" t="s">
        <v>18</v>
      </c>
      <c r="I29" t="s">
        <v>19</v>
      </c>
      <c r="J29" t="s">
        <v>20</v>
      </c>
      <c r="K29">
        <v>1</v>
      </c>
      <c r="L29">
        <v>125</v>
      </c>
      <c r="M29">
        <v>130</v>
      </c>
      <c r="N29">
        <v>125</v>
      </c>
      <c r="O29">
        <v>130</v>
      </c>
      <c r="P29">
        <v>27</v>
      </c>
      <c r="Q29">
        <v>130</v>
      </c>
      <c r="U29" s="5" t="str">
        <f t="shared" si="0"/>
        <v>FALSE</v>
      </c>
      <c r="V29" s="5" t="e" cm="1">
        <f t="array" ref="V29">_xlfn.IFS(F26="M","TRUE",C26=2016,"TRUE")</f>
        <v>#N/A</v>
      </c>
      <c r="W29" s="5" t="str" cm="1">
        <f t="array" ref="W29">_xlfn.IFNA(_xlfn.IFS(F26="M","TRUE",C26=2016,"TRUE"),"FALSE")</f>
        <v>FALSE</v>
      </c>
    </row>
    <row r="30" spans="1:23" x14ac:dyDescent="0.3">
      <c r="A30">
        <v>28</v>
      </c>
      <c r="B30" s="1">
        <v>42297</v>
      </c>
      <c r="C30">
        <v>2015</v>
      </c>
      <c r="D30" t="s">
        <v>32</v>
      </c>
      <c r="E30">
        <v>29</v>
      </c>
      <c r="F30" t="s">
        <v>16</v>
      </c>
      <c r="G30" t="s">
        <v>17</v>
      </c>
      <c r="H30" t="s">
        <v>18</v>
      </c>
      <c r="I30" t="s">
        <v>19</v>
      </c>
      <c r="J30" t="s">
        <v>28</v>
      </c>
      <c r="K30">
        <v>1</v>
      </c>
      <c r="L30">
        <v>140</v>
      </c>
      <c r="M30">
        <v>143</v>
      </c>
      <c r="N30">
        <v>140</v>
      </c>
      <c r="O30">
        <v>143</v>
      </c>
      <c r="P30">
        <v>28</v>
      </c>
      <c r="Q30">
        <v>143</v>
      </c>
      <c r="U30" s="5" t="str">
        <f t="shared" si="0"/>
        <v>FALSE</v>
      </c>
      <c r="V30" s="5" t="e" cm="1">
        <f t="array" ref="V30">_xlfn.IFS(F27="M","TRUE",C27=2016,"TRUE")</f>
        <v>#N/A</v>
      </c>
      <c r="W30" s="5" t="str" cm="1">
        <f t="array" ref="W30">_xlfn.IFNA(_xlfn.IFS(F27="M","TRUE",C27=2016,"TRUE"),"FALSE")</f>
        <v>FALSE</v>
      </c>
    </row>
    <row r="31" spans="1:23" x14ac:dyDescent="0.3">
      <c r="A31">
        <v>29</v>
      </c>
      <c r="B31" s="1">
        <v>42309</v>
      </c>
      <c r="C31">
        <v>2015</v>
      </c>
      <c r="D31" t="s">
        <v>33</v>
      </c>
      <c r="E31">
        <v>29</v>
      </c>
      <c r="F31" t="s">
        <v>16</v>
      </c>
      <c r="G31" t="s">
        <v>17</v>
      </c>
      <c r="H31" t="s">
        <v>18</v>
      </c>
      <c r="I31" t="s">
        <v>19</v>
      </c>
      <c r="J31" t="s">
        <v>20</v>
      </c>
      <c r="K31">
        <v>2</v>
      </c>
      <c r="L31">
        <v>192.5</v>
      </c>
      <c r="M31">
        <v>213.5</v>
      </c>
      <c r="N31">
        <v>385</v>
      </c>
      <c r="O31">
        <v>427</v>
      </c>
      <c r="P31">
        <v>29</v>
      </c>
      <c r="Q31">
        <v>427</v>
      </c>
      <c r="U31" s="5" t="str">
        <f t="shared" si="0"/>
        <v>FALSE</v>
      </c>
      <c r="V31" s="5" t="e" cm="1">
        <f t="array" ref="V31">_xlfn.IFS(F28="M","TRUE",C28=2016,"TRUE")</f>
        <v>#N/A</v>
      </c>
      <c r="W31" s="5" t="str" cm="1">
        <f t="array" ref="W31">_xlfn.IFNA(_xlfn.IFS(F28="M","TRUE",C28=2016,"TRUE"),"FALSE")</f>
        <v>FALSE</v>
      </c>
    </row>
    <row r="32" spans="1:23" x14ac:dyDescent="0.3">
      <c r="A32">
        <v>30</v>
      </c>
      <c r="B32" s="1">
        <v>42309</v>
      </c>
      <c r="C32">
        <v>2015</v>
      </c>
      <c r="D32" t="s">
        <v>33</v>
      </c>
      <c r="E32">
        <v>29</v>
      </c>
      <c r="F32" t="s">
        <v>16</v>
      </c>
      <c r="G32" t="s">
        <v>17</v>
      </c>
      <c r="H32" t="s">
        <v>18</v>
      </c>
      <c r="I32" t="s">
        <v>19</v>
      </c>
      <c r="J32" t="s">
        <v>20</v>
      </c>
      <c r="K32">
        <v>3</v>
      </c>
      <c r="L32">
        <v>38.33</v>
      </c>
      <c r="M32">
        <v>43.333333000000003</v>
      </c>
      <c r="N32">
        <v>115</v>
      </c>
      <c r="O32">
        <v>130</v>
      </c>
      <c r="P32">
        <v>30</v>
      </c>
      <c r="Q32">
        <v>130</v>
      </c>
      <c r="U32" s="5" t="str">
        <f t="shared" si="0"/>
        <v>FALSE</v>
      </c>
      <c r="V32" s="5" t="e" cm="1">
        <f t="array" ref="V32">_xlfn.IFS(F29="M","TRUE",C29=2016,"TRUE")</f>
        <v>#N/A</v>
      </c>
      <c r="W32" s="5" t="str" cm="1">
        <f t="array" ref="W32">_xlfn.IFNA(_xlfn.IFS(F29="M","TRUE",C29=2016,"TRUE"),"FALSE")</f>
        <v>FALSE</v>
      </c>
    </row>
    <row r="33" spans="1:23" x14ac:dyDescent="0.3">
      <c r="A33">
        <v>31</v>
      </c>
      <c r="B33" s="1">
        <v>42309</v>
      </c>
      <c r="C33">
        <v>2015</v>
      </c>
      <c r="D33" t="s">
        <v>33</v>
      </c>
      <c r="E33">
        <v>29</v>
      </c>
      <c r="F33" t="s">
        <v>16</v>
      </c>
      <c r="G33" t="s">
        <v>17</v>
      </c>
      <c r="H33" t="s">
        <v>18</v>
      </c>
      <c r="I33" t="s">
        <v>19</v>
      </c>
      <c r="J33" t="s">
        <v>28</v>
      </c>
      <c r="K33">
        <v>3</v>
      </c>
      <c r="L33">
        <v>151.66999999999999</v>
      </c>
      <c r="M33">
        <v>170</v>
      </c>
      <c r="N33">
        <v>455</v>
      </c>
      <c r="O33">
        <v>510</v>
      </c>
      <c r="P33">
        <v>31</v>
      </c>
      <c r="Q33">
        <v>510</v>
      </c>
      <c r="U33" s="5" t="str">
        <f t="shared" si="0"/>
        <v>FALSE</v>
      </c>
      <c r="V33" s="5" t="e" cm="1">
        <f t="array" ref="V33">_xlfn.IFS(F30="M","TRUE",C30=2016,"TRUE")</f>
        <v>#N/A</v>
      </c>
      <c r="W33" s="5" t="str" cm="1">
        <f t="array" ref="W33">_xlfn.IFNA(_xlfn.IFS(F30="M","TRUE",C30=2016,"TRUE"),"FALSE")</f>
        <v>FALSE</v>
      </c>
    </row>
    <row r="34" spans="1:23" x14ac:dyDescent="0.3">
      <c r="A34">
        <v>32</v>
      </c>
      <c r="B34" s="1">
        <v>42323</v>
      </c>
      <c r="C34">
        <v>2015</v>
      </c>
      <c r="D34" t="s">
        <v>33</v>
      </c>
      <c r="E34">
        <v>29</v>
      </c>
      <c r="F34" t="s">
        <v>16</v>
      </c>
      <c r="G34" t="s">
        <v>17</v>
      </c>
      <c r="H34" t="s">
        <v>18</v>
      </c>
      <c r="I34" t="s">
        <v>19</v>
      </c>
      <c r="J34" t="s">
        <v>20</v>
      </c>
      <c r="K34">
        <v>1</v>
      </c>
      <c r="L34">
        <v>56</v>
      </c>
      <c r="M34">
        <v>65</v>
      </c>
      <c r="N34">
        <v>56</v>
      </c>
      <c r="O34">
        <v>65</v>
      </c>
      <c r="P34">
        <v>32</v>
      </c>
      <c r="Q34">
        <v>65</v>
      </c>
      <c r="U34" s="5" t="str">
        <f t="shared" si="0"/>
        <v>FALSE</v>
      </c>
      <c r="V34" s="5" t="e" cm="1">
        <f t="array" ref="V34">_xlfn.IFS(F31="M","TRUE",C31=2016,"TRUE")</f>
        <v>#N/A</v>
      </c>
      <c r="W34" s="5" t="str" cm="1">
        <f t="array" ref="W34">_xlfn.IFNA(_xlfn.IFS(F31="M","TRUE",C31=2016,"TRUE"),"FALSE")</f>
        <v>FALSE</v>
      </c>
    </row>
    <row r="35" spans="1:23" x14ac:dyDescent="0.3">
      <c r="A35">
        <v>33</v>
      </c>
      <c r="B35" s="1">
        <v>42323</v>
      </c>
      <c r="C35">
        <v>2015</v>
      </c>
      <c r="D35" t="s">
        <v>33</v>
      </c>
      <c r="E35">
        <v>29</v>
      </c>
      <c r="F35" t="s">
        <v>16</v>
      </c>
      <c r="G35" t="s">
        <v>17</v>
      </c>
      <c r="H35" t="s">
        <v>18</v>
      </c>
      <c r="I35" t="s">
        <v>19</v>
      </c>
      <c r="J35" t="s">
        <v>20</v>
      </c>
      <c r="K35">
        <v>3</v>
      </c>
      <c r="L35">
        <v>108.67</v>
      </c>
      <c r="M35">
        <v>123.666667</v>
      </c>
      <c r="N35">
        <v>326</v>
      </c>
      <c r="O35">
        <v>371</v>
      </c>
      <c r="P35">
        <v>33</v>
      </c>
      <c r="Q35">
        <v>371</v>
      </c>
      <c r="U35" s="5" t="str">
        <f t="shared" si="0"/>
        <v>FALSE</v>
      </c>
      <c r="V35" s="5" t="e" cm="1">
        <f t="array" ref="V35">_xlfn.IFS(F32="M","TRUE",C32=2016,"TRUE")</f>
        <v>#N/A</v>
      </c>
      <c r="W35" s="5" t="str" cm="1">
        <f t="array" ref="W35">_xlfn.IFNA(_xlfn.IFS(F32="M","TRUE",C32=2016,"TRUE"),"FALSE")</f>
        <v>FALSE</v>
      </c>
    </row>
    <row r="36" spans="1:23" x14ac:dyDescent="0.3">
      <c r="A36">
        <v>34</v>
      </c>
      <c r="B36" s="1">
        <v>42323</v>
      </c>
      <c r="C36">
        <v>2015</v>
      </c>
      <c r="D36" t="s">
        <v>33</v>
      </c>
      <c r="E36">
        <v>29</v>
      </c>
      <c r="F36" t="s">
        <v>16</v>
      </c>
      <c r="G36" t="s">
        <v>17</v>
      </c>
      <c r="H36" t="s">
        <v>18</v>
      </c>
      <c r="I36" t="s">
        <v>19</v>
      </c>
      <c r="J36" t="s">
        <v>20</v>
      </c>
      <c r="K36">
        <v>3</v>
      </c>
      <c r="L36">
        <v>14.67</v>
      </c>
      <c r="M36">
        <v>15</v>
      </c>
      <c r="N36">
        <v>44</v>
      </c>
      <c r="O36">
        <v>45</v>
      </c>
      <c r="P36">
        <v>34</v>
      </c>
      <c r="Q36">
        <v>45</v>
      </c>
      <c r="U36" s="5" t="str">
        <f t="shared" si="0"/>
        <v>FALSE</v>
      </c>
      <c r="V36" s="5" t="e" cm="1">
        <f t="array" ref="V36">_xlfn.IFS(F33="M","TRUE",C33=2016,"TRUE")</f>
        <v>#N/A</v>
      </c>
      <c r="W36" s="5" t="str" cm="1">
        <f t="array" ref="W36">_xlfn.IFNA(_xlfn.IFS(F33="M","TRUE",C33=2016,"TRUE"),"FALSE")</f>
        <v>FALSE</v>
      </c>
    </row>
    <row r="37" spans="1:23" x14ac:dyDescent="0.3">
      <c r="A37">
        <v>35</v>
      </c>
      <c r="B37" s="1">
        <v>42353</v>
      </c>
      <c r="C37">
        <v>2015</v>
      </c>
      <c r="D37" t="s">
        <v>34</v>
      </c>
      <c r="E37">
        <v>29</v>
      </c>
      <c r="F37" t="s">
        <v>16</v>
      </c>
      <c r="G37" t="s">
        <v>17</v>
      </c>
      <c r="H37" t="s">
        <v>18</v>
      </c>
      <c r="I37" t="s">
        <v>19</v>
      </c>
      <c r="J37" t="s">
        <v>28</v>
      </c>
      <c r="K37">
        <v>2</v>
      </c>
      <c r="L37">
        <v>280</v>
      </c>
      <c r="M37">
        <v>269</v>
      </c>
      <c r="N37">
        <v>560</v>
      </c>
      <c r="O37">
        <v>538</v>
      </c>
      <c r="P37">
        <v>35</v>
      </c>
      <c r="Q37">
        <v>538</v>
      </c>
      <c r="U37" s="5" t="str">
        <f t="shared" si="0"/>
        <v>FALSE</v>
      </c>
      <c r="V37" s="5" t="e" cm="1">
        <f t="array" ref="V37">_xlfn.IFS(F34="M","TRUE",C34=2016,"TRUE")</f>
        <v>#N/A</v>
      </c>
      <c r="W37" s="5" t="str" cm="1">
        <f t="array" ref="W37">_xlfn.IFNA(_xlfn.IFS(F34="M","TRUE",C34=2016,"TRUE"),"FALSE")</f>
        <v>FALSE</v>
      </c>
    </row>
    <row r="38" spans="1:23" x14ac:dyDescent="0.3">
      <c r="A38">
        <v>36</v>
      </c>
      <c r="B38" s="1">
        <v>42354</v>
      </c>
      <c r="C38">
        <v>2015</v>
      </c>
      <c r="D38" t="s">
        <v>34</v>
      </c>
      <c r="E38">
        <v>29</v>
      </c>
      <c r="F38" t="s">
        <v>16</v>
      </c>
      <c r="G38" t="s">
        <v>17</v>
      </c>
      <c r="H38" t="s">
        <v>18</v>
      </c>
      <c r="I38" t="s">
        <v>19</v>
      </c>
      <c r="J38" t="s">
        <v>20</v>
      </c>
      <c r="K38">
        <v>2</v>
      </c>
      <c r="L38">
        <v>293.5</v>
      </c>
      <c r="M38">
        <v>320.5</v>
      </c>
      <c r="N38">
        <v>587</v>
      </c>
      <c r="O38">
        <v>641</v>
      </c>
      <c r="P38">
        <v>36</v>
      </c>
      <c r="Q38">
        <v>641</v>
      </c>
      <c r="U38" s="5" t="str">
        <f t="shared" si="0"/>
        <v>FALSE</v>
      </c>
      <c r="V38" s="5" t="e" cm="1">
        <f t="array" ref="V38">_xlfn.IFS(F35="M","TRUE",C35=2016,"TRUE")</f>
        <v>#N/A</v>
      </c>
      <c r="W38" s="5" t="str" cm="1">
        <f t="array" ref="W38">_xlfn.IFNA(_xlfn.IFS(F35="M","TRUE",C35=2016,"TRUE"),"FALSE")</f>
        <v>FALSE</v>
      </c>
    </row>
    <row r="39" spans="1:23" x14ac:dyDescent="0.3">
      <c r="A39">
        <v>37</v>
      </c>
      <c r="B39" s="1">
        <v>42354</v>
      </c>
      <c r="C39">
        <v>2015</v>
      </c>
      <c r="D39" t="s">
        <v>34</v>
      </c>
      <c r="E39">
        <v>29</v>
      </c>
      <c r="F39" t="s">
        <v>16</v>
      </c>
      <c r="G39" t="s">
        <v>17</v>
      </c>
      <c r="H39" t="s">
        <v>18</v>
      </c>
      <c r="I39" t="s">
        <v>19</v>
      </c>
      <c r="J39" t="s">
        <v>20</v>
      </c>
      <c r="K39">
        <v>2</v>
      </c>
      <c r="L39">
        <v>2</v>
      </c>
      <c r="M39">
        <v>2</v>
      </c>
      <c r="N39">
        <v>4</v>
      </c>
      <c r="O39">
        <v>4</v>
      </c>
      <c r="P39">
        <v>37</v>
      </c>
      <c r="Q39">
        <v>4</v>
      </c>
      <c r="U39" s="5" t="str">
        <f t="shared" si="0"/>
        <v>FALSE</v>
      </c>
      <c r="V39" s="5" t="e" cm="1">
        <f t="array" ref="V39">_xlfn.IFS(F36="M","TRUE",C36=2016,"TRUE")</f>
        <v>#N/A</v>
      </c>
      <c r="W39" s="5" t="str" cm="1">
        <f t="array" ref="W39">_xlfn.IFNA(_xlfn.IFS(F36="M","TRUE",C36=2016,"TRUE"),"FALSE")</f>
        <v>FALSE</v>
      </c>
    </row>
    <row r="40" spans="1:23" x14ac:dyDescent="0.3">
      <c r="A40">
        <v>38</v>
      </c>
      <c r="B40" s="1">
        <v>42354</v>
      </c>
      <c r="C40">
        <v>2015</v>
      </c>
      <c r="D40" t="s">
        <v>34</v>
      </c>
      <c r="E40">
        <v>29</v>
      </c>
      <c r="F40" t="s">
        <v>16</v>
      </c>
      <c r="G40" t="s">
        <v>17</v>
      </c>
      <c r="H40" t="s">
        <v>18</v>
      </c>
      <c r="I40" t="s">
        <v>19</v>
      </c>
      <c r="J40" t="s">
        <v>28</v>
      </c>
      <c r="K40">
        <v>1</v>
      </c>
      <c r="L40">
        <v>420</v>
      </c>
      <c r="M40">
        <v>472</v>
      </c>
      <c r="N40">
        <v>420</v>
      </c>
      <c r="O40">
        <v>472</v>
      </c>
      <c r="P40">
        <v>38</v>
      </c>
      <c r="Q40">
        <v>472</v>
      </c>
      <c r="U40" s="5" t="str">
        <f t="shared" si="0"/>
        <v>FALSE</v>
      </c>
      <c r="V40" s="5" t="e" cm="1">
        <f t="array" ref="V40">_xlfn.IFS(F37="M","TRUE",C37=2016,"TRUE")</f>
        <v>#N/A</v>
      </c>
      <c r="W40" s="5" t="str" cm="1">
        <f t="array" ref="W40">_xlfn.IFNA(_xlfn.IFS(F37="M","TRUE",C37=2016,"TRUE"),"FALSE")</f>
        <v>FALSE</v>
      </c>
    </row>
    <row r="41" spans="1:23" x14ac:dyDescent="0.3">
      <c r="A41">
        <v>39</v>
      </c>
      <c r="B41" s="1">
        <v>42358</v>
      </c>
      <c r="C41">
        <v>2015</v>
      </c>
      <c r="D41" t="s">
        <v>34</v>
      </c>
      <c r="E41">
        <v>29</v>
      </c>
      <c r="F41" t="s">
        <v>16</v>
      </c>
      <c r="G41" t="s">
        <v>17</v>
      </c>
      <c r="H41" t="s">
        <v>18</v>
      </c>
      <c r="I41" t="s">
        <v>19</v>
      </c>
      <c r="J41" t="s">
        <v>20</v>
      </c>
      <c r="K41">
        <v>2</v>
      </c>
      <c r="L41">
        <v>275.5</v>
      </c>
      <c r="M41">
        <v>303</v>
      </c>
      <c r="N41">
        <v>551</v>
      </c>
      <c r="O41">
        <v>606</v>
      </c>
      <c r="P41">
        <v>39</v>
      </c>
      <c r="Q41">
        <v>606</v>
      </c>
      <c r="U41" s="5" t="str">
        <f t="shared" si="0"/>
        <v>FALSE</v>
      </c>
      <c r="V41" s="5" t="e" cm="1">
        <f t="array" ref="V41">_xlfn.IFS(F38="M","TRUE",C38=2016,"TRUE")</f>
        <v>#N/A</v>
      </c>
      <c r="W41" s="5" t="str" cm="1">
        <f t="array" ref="W41">_xlfn.IFNA(_xlfn.IFS(F38="M","TRUE",C38=2016,"TRUE"),"FALSE")</f>
        <v>FALSE</v>
      </c>
    </row>
    <row r="42" spans="1:23" x14ac:dyDescent="0.3">
      <c r="A42">
        <v>40</v>
      </c>
      <c r="B42" s="1">
        <v>42358</v>
      </c>
      <c r="C42">
        <v>2015</v>
      </c>
      <c r="D42" t="s">
        <v>34</v>
      </c>
      <c r="E42">
        <v>29</v>
      </c>
      <c r="F42" t="s">
        <v>16</v>
      </c>
      <c r="G42" t="s">
        <v>17</v>
      </c>
      <c r="H42" t="s">
        <v>18</v>
      </c>
      <c r="I42" t="s">
        <v>19</v>
      </c>
      <c r="J42" t="s">
        <v>20</v>
      </c>
      <c r="K42">
        <v>1</v>
      </c>
      <c r="L42">
        <v>120</v>
      </c>
      <c r="M42">
        <v>120</v>
      </c>
      <c r="N42">
        <v>120</v>
      </c>
      <c r="O42">
        <v>120</v>
      </c>
      <c r="P42">
        <v>40</v>
      </c>
      <c r="Q42">
        <v>120</v>
      </c>
      <c r="U42" s="5" t="str">
        <f t="shared" si="0"/>
        <v>FALSE</v>
      </c>
      <c r="V42" s="5" t="e" cm="1">
        <f t="array" ref="V42">_xlfn.IFS(F39="M","TRUE",C39=2016,"TRUE")</f>
        <v>#N/A</v>
      </c>
      <c r="W42" s="5" t="str" cm="1">
        <f t="array" ref="W42">_xlfn.IFNA(_xlfn.IFS(F39="M","TRUE",C39=2016,"TRUE"),"FALSE")</f>
        <v>FALSE</v>
      </c>
    </row>
    <row r="43" spans="1:23" x14ac:dyDescent="0.3">
      <c r="A43">
        <v>41</v>
      </c>
      <c r="B43" s="1">
        <v>42358</v>
      </c>
      <c r="C43">
        <v>2015</v>
      </c>
      <c r="D43" t="s">
        <v>34</v>
      </c>
      <c r="E43">
        <v>29</v>
      </c>
      <c r="F43" t="s">
        <v>16</v>
      </c>
      <c r="G43" t="s">
        <v>17</v>
      </c>
      <c r="H43" t="s">
        <v>18</v>
      </c>
      <c r="I43" t="s">
        <v>19</v>
      </c>
      <c r="J43" t="s">
        <v>28</v>
      </c>
      <c r="K43">
        <v>1</v>
      </c>
      <c r="L43">
        <v>630</v>
      </c>
      <c r="M43">
        <v>624</v>
      </c>
      <c r="N43">
        <v>630</v>
      </c>
      <c r="O43">
        <v>624</v>
      </c>
      <c r="P43">
        <v>41</v>
      </c>
      <c r="Q43">
        <v>624</v>
      </c>
      <c r="U43" s="5" t="str">
        <f t="shared" si="0"/>
        <v>FALSE</v>
      </c>
      <c r="V43" s="5" t="e" cm="1">
        <f t="array" ref="V43">_xlfn.IFS(F40="M","TRUE",C40=2016,"TRUE")</f>
        <v>#N/A</v>
      </c>
      <c r="W43" s="5" t="str" cm="1">
        <f t="array" ref="W43">_xlfn.IFNA(_xlfn.IFS(F40="M","TRUE",C40=2016,"TRUE"),"FALSE")</f>
        <v>FALSE</v>
      </c>
    </row>
    <row r="44" spans="1:23" x14ac:dyDescent="0.3">
      <c r="A44">
        <v>42</v>
      </c>
      <c r="B44" s="1">
        <v>42363</v>
      </c>
      <c r="C44">
        <v>2015</v>
      </c>
      <c r="D44" t="s">
        <v>34</v>
      </c>
      <c r="E44">
        <v>29</v>
      </c>
      <c r="F44" t="s">
        <v>16</v>
      </c>
      <c r="G44" t="s">
        <v>17</v>
      </c>
      <c r="H44" t="s">
        <v>18</v>
      </c>
      <c r="I44" t="s">
        <v>19</v>
      </c>
      <c r="J44" t="s">
        <v>20</v>
      </c>
      <c r="K44">
        <v>2</v>
      </c>
      <c r="L44">
        <v>32.5</v>
      </c>
      <c r="M44">
        <v>36</v>
      </c>
      <c r="N44">
        <v>65</v>
      </c>
      <c r="O44">
        <v>72</v>
      </c>
      <c r="P44">
        <v>42</v>
      </c>
      <c r="Q44">
        <v>72</v>
      </c>
      <c r="U44" s="5" t="str">
        <f t="shared" si="0"/>
        <v>FALSE</v>
      </c>
      <c r="V44" s="5" t="e" cm="1">
        <f t="array" ref="V44">_xlfn.IFS(F41="M","TRUE",C41=2016,"TRUE")</f>
        <v>#N/A</v>
      </c>
      <c r="W44" s="5" t="str" cm="1">
        <f t="array" ref="W44">_xlfn.IFNA(_xlfn.IFS(F41="M","TRUE",C41=2016,"TRUE"),"FALSE")</f>
        <v>FALSE</v>
      </c>
    </row>
    <row r="45" spans="1:23" x14ac:dyDescent="0.3">
      <c r="A45">
        <v>43</v>
      </c>
      <c r="B45" s="1">
        <v>42363</v>
      </c>
      <c r="C45">
        <v>2015</v>
      </c>
      <c r="D45" t="s">
        <v>34</v>
      </c>
      <c r="E45">
        <v>29</v>
      </c>
      <c r="F45" t="s">
        <v>16</v>
      </c>
      <c r="G45" t="s">
        <v>17</v>
      </c>
      <c r="H45" t="s">
        <v>18</v>
      </c>
      <c r="I45" t="s">
        <v>19</v>
      </c>
      <c r="J45" t="s">
        <v>20</v>
      </c>
      <c r="K45">
        <v>3</v>
      </c>
      <c r="L45">
        <v>338.33</v>
      </c>
      <c r="M45">
        <v>389.33333299999998</v>
      </c>
      <c r="N45">
        <v>1015</v>
      </c>
      <c r="O45">
        <v>1168</v>
      </c>
      <c r="P45">
        <v>43</v>
      </c>
      <c r="Q45">
        <v>1168</v>
      </c>
      <c r="U45" s="5" t="str">
        <f t="shared" si="0"/>
        <v>FALSE</v>
      </c>
      <c r="V45" s="5" t="e" cm="1">
        <f t="array" ref="V45">_xlfn.IFS(F42="M","TRUE",C42=2016,"TRUE")</f>
        <v>#N/A</v>
      </c>
      <c r="W45" s="5" t="str" cm="1">
        <f t="array" ref="W45">_xlfn.IFNA(_xlfn.IFS(F42="M","TRUE",C42=2016,"TRUE"),"FALSE")</f>
        <v>FALSE</v>
      </c>
    </row>
    <row r="46" spans="1:23" x14ac:dyDescent="0.3">
      <c r="A46">
        <v>44</v>
      </c>
      <c r="B46" s="1">
        <v>42363</v>
      </c>
      <c r="C46">
        <v>2015</v>
      </c>
      <c r="D46" t="s">
        <v>34</v>
      </c>
      <c r="E46">
        <v>29</v>
      </c>
      <c r="F46" t="s">
        <v>16</v>
      </c>
      <c r="G46" t="s">
        <v>17</v>
      </c>
      <c r="H46" t="s">
        <v>18</v>
      </c>
      <c r="I46" t="s">
        <v>19</v>
      </c>
      <c r="J46" t="s">
        <v>20</v>
      </c>
      <c r="K46">
        <v>3</v>
      </c>
      <c r="L46">
        <v>10.67</v>
      </c>
      <c r="M46">
        <v>11</v>
      </c>
      <c r="N46">
        <v>32</v>
      </c>
      <c r="O46">
        <v>33</v>
      </c>
      <c r="P46">
        <v>44</v>
      </c>
      <c r="Q46">
        <v>33</v>
      </c>
      <c r="U46" s="5" t="str">
        <f t="shared" si="0"/>
        <v>FALSE</v>
      </c>
      <c r="V46" s="5" t="e" cm="1">
        <f t="array" ref="V46">_xlfn.IFS(F43="M","TRUE",C43=2016,"TRUE")</f>
        <v>#N/A</v>
      </c>
      <c r="W46" s="5" t="str" cm="1">
        <f t="array" ref="W46">_xlfn.IFNA(_xlfn.IFS(F43="M","TRUE",C43=2016,"TRUE"),"FALSE")</f>
        <v>FALSE</v>
      </c>
    </row>
    <row r="47" spans="1:23" x14ac:dyDescent="0.3">
      <c r="A47">
        <v>45</v>
      </c>
      <c r="B47" s="1">
        <v>42367</v>
      </c>
      <c r="C47">
        <v>2015</v>
      </c>
      <c r="D47" t="s">
        <v>34</v>
      </c>
      <c r="E47">
        <v>29</v>
      </c>
      <c r="F47" t="s">
        <v>16</v>
      </c>
      <c r="G47" t="s">
        <v>17</v>
      </c>
      <c r="H47" t="s">
        <v>18</v>
      </c>
      <c r="I47" t="s">
        <v>19</v>
      </c>
      <c r="J47" t="s">
        <v>20</v>
      </c>
      <c r="K47">
        <v>3</v>
      </c>
      <c r="L47">
        <v>36.67</v>
      </c>
      <c r="M47">
        <v>41.666666999999997</v>
      </c>
      <c r="N47">
        <v>110</v>
      </c>
      <c r="O47">
        <v>125</v>
      </c>
      <c r="P47">
        <v>45</v>
      </c>
      <c r="Q47">
        <v>125</v>
      </c>
      <c r="U47" s="5" t="str">
        <f t="shared" si="0"/>
        <v>FALSE</v>
      </c>
      <c r="V47" s="5" t="e" cm="1">
        <f t="array" ref="V47">_xlfn.IFS(F44="M","TRUE",C44=2016,"TRUE")</f>
        <v>#N/A</v>
      </c>
      <c r="W47" s="5" t="str" cm="1">
        <f t="array" ref="W47">_xlfn.IFNA(_xlfn.IFS(F44="M","TRUE",C44=2016,"TRUE"),"FALSE")</f>
        <v>FALSE</v>
      </c>
    </row>
    <row r="48" spans="1:23" x14ac:dyDescent="0.3">
      <c r="A48">
        <v>46</v>
      </c>
      <c r="B48" s="1">
        <v>42367</v>
      </c>
      <c r="C48">
        <v>2015</v>
      </c>
      <c r="D48" t="s">
        <v>34</v>
      </c>
      <c r="E48">
        <v>29</v>
      </c>
      <c r="F48" t="s">
        <v>16</v>
      </c>
      <c r="G48" t="s">
        <v>17</v>
      </c>
      <c r="H48" t="s">
        <v>18</v>
      </c>
      <c r="I48" t="s">
        <v>19</v>
      </c>
      <c r="J48" t="s">
        <v>28</v>
      </c>
      <c r="K48">
        <v>2</v>
      </c>
      <c r="L48">
        <v>245</v>
      </c>
      <c r="M48">
        <v>249.5</v>
      </c>
      <c r="N48">
        <v>490</v>
      </c>
      <c r="O48">
        <v>499</v>
      </c>
      <c r="P48">
        <v>46</v>
      </c>
      <c r="Q48">
        <v>499</v>
      </c>
      <c r="U48" s="5" t="str">
        <f t="shared" si="0"/>
        <v>FALSE</v>
      </c>
      <c r="V48" s="5" t="e" cm="1">
        <f t="array" ref="V48">_xlfn.IFS(F45="M","TRUE",C45=2016,"TRUE")</f>
        <v>#N/A</v>
      </c>
      <c r="W48" s="5" t="str" cm="1">
        <f t="array" ref="W48">_xlfn.IFNA(_xlfn.IFS(F45="M","TRUE",C45=2016,"TRUE"),"FALSE")</f>
        <v>FALSE</v>
      </c>
    </row>
    <row r="49" spans="1:23" x14ac:dyDescent="0.3">
      <c r="A49">
        <v>47</v>
      </c>
      <c r="B49" s="1">
        <v>42207</v>
      </c>
      <c r="C49">
        <v>2015</v>
      </c>
      <c r="D49" t="s">
        <v>29</v>
      </c>
      <c r="E49">
        <v>18</v>
      </c>
      <c r="F49" t="s">
        <v>16</v>
      </c>
      <c r="G49" t="s">
        <v>17</v>
      </c>
      <c r="H49" t="s">
        <v>35</v>
      </c>
      <c r="I49" t="s">
        <v>19</v>
      </c>
      <c r="J49" t="s">
        <v>36</v>
      </c>
      <c r="K49">
        <v>1</v>
      </c>
      <c r="L49">
        <v>636</v>
      </c>
      <c r="M49">
        <v>677</v>
      </c>
      <c r="N49">
        <v>636</v>
      </c>
      <c r="O49">
        <v>677</v>
      </c>
      <c r="P49">
        <v>47</v>
      </c>
      <c r="Q49">
        <v>677</v>
      </c>
      <c r="U49" s="5" t="str">
        <f t="shared" si="0"/>
        <v>FALSE</v>
      </c>
      <c r="V49" s="5" t="e" cm="1">
        <f t="array" ref="V49">_xlfn.IFS(F46="M","TRUE",C46=2016,"TRUE")</f>
        <v>#N/A</v>
      </c>
      <c r="W49" s="5" t="str" cm="1">
        <f t="array" ref="W49">_xlfn.IFNA(_xlfn.IFS(F46="M","TRUE",C46=2016,"TRUE"),"FALSE")</f>
        <v>FALSE</v>
      </c>
    </row>
    <row r="50" spans="1:23" x14ac:dyDescent="0.3">
      <c r="A50">
        <v>48</v>
      </c>
      <c r="B50" s="1">
        <v>42287</v>
      </c>
      <c r="C50">
        <v>2015</v>
      </c>
      <c r="D50" t="s">
        <v>32</v>
      </c>
      <c r="E50">
        <v>18</v>
      </c>
      <c r="F50" t="s">
        <v>16</v>
      </c>
      <c r="G50" t="s">
        <v>17</v>
      </c>
      <c r="H50" t="s">
        <v>35</v>
      </c>
      <c r="I50" t="s">
        <v>19</v>
      </c>
      <c r="J50" t="s">
        <v>36</v>
      </c>
      <c r="K50">
        <v>3</v>
      </c>
      <c r="L50">
        <v>159</v>
      </c>
      <c r="M50">
        <v>170.66666699999999</v>
      </c>
      <c r="N50">
        <v>477</v>
      </c>
      <c r="O50">
        <v>512</v>
      </c>
      <c r="P50">
        <v>48</v>
      </c>
      <c r="Q50">
        <v>512</v>
      </c>
      <c r="U50" s="5" t="str">
        <f t="shared" si="0"/>
        <v>FALSE</v>
      </c>
      <c r="V50" s="5" t="e" cm="1">
        <f t="array" ref="V50">_xlfn.IFS(F47="M","TRUE",C47=2016,"TRUE")</f>
        <v>#N/A</v>
      </c>
      <c r="W50" s="5" t="str" cm="1">
        <f t="array" ref="W50">_xlfn.IFNA(_xlfn.IFS(F47="M","TRUE",C47=2016,"TRUE"),"FALSE")</f>
        <v>FALSE</v>
      </c>
    </row>
    <row r="51" spans="1:23" x14ac:dyDescent="0.3">
      <c r="A51">
        <v>49</v>
      </c>
      <c r="B51" s="1">
        <v>42532</v>
      </c>
      <c r="C51">
        <v>2016</v>
      </c>
      <c r="D51" t="s">
        <v>27</v>
      </c>
      <c r="E51">
        <v>18</v>
      </c>
      <c r="F51" t="s">
        <v>37</v>
      </c>
      <c r="G51" t="s">
        <v>17</v>
      </c>
      <c r="H51" t="s">
        <v>35</v>
      </c>
      <c r="I51" t="s">
        <v>38</v>
      </c>
      <c r="J51" t="s">
        <v>39</v>
      </c>
      <c r="K51">
        <v>1</v>
      </c>
      <c r="L51">
        <v>769</v>
      </c>
      <c r="M51">
        <v>875</v>
      </c>
      <c r="N51">
        <v>769</v>
      </c>
      <c r="O51">
        <v>875</v>
      </c>
      <c r="P51">
        <v>49</v>
      </c>
      <c r="Q51">
        <v>875</v>
      </c>
      <c r="U51" s="5" t="str">
        <f t="shared" si="0"/>
        <v>FALSE</v>
      </c>
      <c r="V51" s="5" t="e" cm="1">
        <f t="array" ref="V51">_xlfn.IFS(F48="M","TRUE",C48=2016,"TRUE")</f>
        <v>#N/A</v>
      </c>
      <c r="W51" s="5" t="str" cm="1">
        <f t="array" ref="W51">_xlfn.IFNA(_xlfn.IFS(F48="M","TRUE",C48=2016,"TRUE"),"FALSE")</f>
        <v>FALSE</v>
      </c>
    </row>
    <row r="52" spans="1:23" x14ac:dyDescent="0.3">
      <c r="A52">
        <v>50</v>
      </c>
      <c r="B52" s="1">
        <v>42229</v>
      </c>
      <c r="C52">
        <v>2015</v>
      </c>
      <c r="D52" t="s">
        <v>30</v>
      </c>
      <c r="E52">
        <v>18</v>
      </c>
      <c r="F52" t="s">
        <v>37</v>
      </c>
      <c r="G52" t="s">
        <v>17</v>
      </c>
      <c r="H52" t="s">
        <v>35</v>
      </c>
      <c r="I52" t="s">
        <v>38</v>
      </c>
      <c r="J52" t="s">
        <v>39</v>
      </c>
      <c r="K52">
        <v>1</v>
      </c>
      <c r="L52">
        <v>2295</v>
      </c>
      <c r="M52">
        <v>2242</v>
      </c>
      <c r="N52">
        <v>2295</v>
      </c>
      <c r="O52">
        <v>2242</v>
      </c>
      <c r="P52">
        <v>50</v>
      </c>
      <c r="Q52">
        <v>2242</v>
      </c>
      <c r="U52" s="5" t="str">
        <f t="shared" si="0"/>
        <v>FALSE</v>
      </c>
      <c r="V52" s="5" t="e" cm="1">
        <f t="array" ref="V52">_xlfn.IFS(F49="M","TRUE",C49=2016,"TRUE")</f>
        <v>#N/A</v>
      </c>
      <c r="W52" s="5" t="str" cm="1">
        <f t="array" ref="W52">_xlfn.IFNA(_xlfn.IFS(F49="M","TRUE",C49=2016,"TRUE"),"FALSE")</f>
        <v>FALSE</v>
      </c>
    </row>
    <row r="53" spans="1:23" x14ac:dyDescent="0.3">
      <c r="A53">
        <v>51</v>
      </c>
      <c r="B53" s="1">
        <v>42257</v>
      </c>
      <c r="C53">
        <v>2015</v>
      </c>
      <c r="D53" t="s">
        <v>31</v>
      </c>
      <c r="E53">
        <v>18</v>
      </c>
      <c r="F53" t="s">
        <v>37</v>
      </c>
      <c r="G53" t="s">
        <v>17</v>
      </c>
      <c r="H53" t="s">
        <v>35</v>
      </c>
      <c r="I53" t="s">
        <v>38</v>
      </c>
      <c r="J53" t="s">
        <v>39</v>
      </c>
      <c r="K53">
        <v>1</v>
      </c>
      <c r="L53">
        <v>769</v>
      </c>
      <c r="M53">
        <v>776</v>
      </c>
      <c r="N53">
        <v>769</v>
      </c>
      <c r="O53">
        <v>776</v>
      </c>
      <c r="P53">
        <v>51</v>
      </c>
      <c r="Q53">
        <v>776</v>
      </c>
      <c r="U53" s="5" t="str">
        <f t="shared" si="0"/>
        <v>FALSE</v>
      </c>
      <c r="V53" s="5" t="e" cm="1">
        <f t="array" ref="V53">_xlfn.IFS(F50="M","TRUE",C50=2016,"TRUE")</f>
        <v>#N/A</v>
      </c>
      <c r="W53" s="5" t="str" cm="1">
        <f t="array" ref="W53">_xlfn.IFNA(_xlfn.IFS(F50="M","TRUE",C50=2016,"TRUE"),"FALSE")</f>
        <v>FALSE</v>
      </c>
    </row>
    <row r="54" spans="1:23" x14ac:dyDescent="0.3">
      <c r="A54">
        <v>52</v>
      </c>
      <c r="B54" s="1">
        <v>42297</v>
      </c>
      <c r="C54">
        <v>2015</v>
      </c>
      <c r="D54" t="s">
        <v>32</v>
      </c>
      <c r="E54">
        <v>18</v>
      </c>
      <c r="F54" t="s">
        <v>37</v>
      </c>
      <c r="G54" t="s">
        <v>17</v>
      </c>
      <c r="H54" t="s">
        <v>35</v>
      </c>
      <c r="I54" t="s">
        <v>38</v>
      </c>
      <c r="J54" t="s">
        <v>39</v>
      </c>
      <c r="K54">
        <v>2</v>
      </c>
      <c r="L54">
        <v>1160</v>
      </c>
      <c r="M54">
        <v>1005</v>
      </c>
      <c r="N54">
        <v>2320</v>
      </c>
      <c r="O54">
        <v>2010</v>
      </c>
      <c r="P54">
        <v>52</v>
      </c>
      <c r="Q54">
        <v>2010</v>
      </c>
      <c r="U54" s="5" t="str">
        <f t="shared" si="0"/>
        <v>TRUE</v>
      </c>
      <c r="V54" s="5" t="str" cm="1">
        <f t="array" ref="V54">_xlfn.IFS(F51="M","TRUE",C51=2016,"TRUE")</f>
        <v>TRUE</v>
      </c>
      <c r="W54" s="5" t="str" cm="1">
        <f t="array" ref="W54">_xlfn.IFNA(_xlfn.IFS(F51="M","TRUE",C51=2016,"TRUE"),"FALSE")</f>
        <v>TRUE</v>
      </c>
    </row>
    <row r="55" spans="1:23" x14ac:dyDescent="0.3">
      <c r="A55">
        <v>53</v>
      </c>
      <c r="B55" s="1">
        <v>42359</v>
      </c>
      <c r="C55">
        <v>2015</v>
      </c>
      <c r="D55" t="s">
        <v>34</v>
      </c>
      <c r="E55">
        <v>18</v>
      </c>
      <c r="F55" t="s">
        <v>37</v>
      </c>
      <c r="G55" t="s">
        <v>17</v>
      </c>
      <c r="H55" t="s">
        <v>35</v>
      </c>
      <c r="I55" t="s">
        <v>38</v>
      </c>
      <c r="J55" t="s">
        <v>39</v>
      </c>
      <c r="K55">
        <v>1</v>
      </c>
      <c r="L55">
        <v>2295</v>
      </c>
      <c r="M55">
        <v>2303</v>
      </c>
      <c r="N55">
        <v>2295</v>
      </c>
      <c r="O55">
        <v>2303</v>
      </c>
      <c r="P55">
        <v>53</v>
      </c>
      <c r="Q55">
        <v>2303</v>
      </c>
      <c r="U55" s="5" t="str">
        <f t="shared" si="0"/>
        <v>TRUE</v>
      </c>
      <c r="V55" s="5" t="str" cm="1">
        <f t="array" ref="V55">_xlfn.IFS(F52="M","TRUE",C52=2016,"TRUE")</f>
        <v>TRUE</v>
      </c>
      <c r="W55" s="5" t="str" cm="1">
        <f t="array" ref="W55">_xlfn.IFNA(_xlfn.IFS(F52="M","TRUE",C52=2016,"TRUE"),"FALSE")</f>
        <v>TRUE</v>
      </c>
    </row>
    <row r="56" spans="1:23" x14ac:dyDescent="0.3">
      <c r="A56">
        <v>54</v>
      </c>
      <c r="B56" s="1">
        <v>42212</v>
      </c>
      <c r="C56">
        <v>2015</v>
      </c>
      <c r="D56" t="s">
        <v>29</v>
      </c>
      <c r="E56">
        <v>19</v>
      </c>
      <c r="F56" t="s">
        <v>16</v>
      </c>
      <c r="G56" t="s">
        <v>17</v>
      </c>
      <c r="H56" t="s">
        <v>40</v>
      </c>
      <c r="I56" t="s">
        <v>19</v>
      </c>
      <c r="J56" t="s">
        <v>41</v>
      </c>
      <c r="K56">
        <v>2</v>
      </c>
      <c r="L56">
        <v>797.5</v>
      </c>
      <c r="M56">
        <v>813</v>
      </c>
      <c r="N56">
        <v>1595</v>
      </c>
      <c r="O56">
        <v>1626</v>
      </c>
      <c r="P56">
        <v>54</v>
      </c>
      <c r="Q56">
        <v>1626</v>
      </c>
      <c r="U56" s="5" t="str">
        <f t="shared" si="0"/>
        <v>TRUE</v>
      </c>
      <c r="V56" s="5" t="str" cm="1">
        <f t="array" ref="V56">_xlfn.IFS(F53="M","TRUE",C53=2016,"TRUE")</f>
        <v>TRUE</v>
      </c>
      <c r="W56" s="5" t="str" cm="1">
        <f t="array" ref="W56">_xlfn.IFNA(_xlfn.IFS(F53="M","TRUE",C53=2016,"TRUE"),"FALSE")</f>
        <v>TRUE</v>
      </c>
    </row>
    <row r="57" spans="1:23" x14ac:dyDescent="0.3">
      <c r="A57">
        <v>55</v>
      </c>
      <c r="B57" s="1">
        <v>42407</v>
      </c>
      <c r="C57">
        <v>2016</v>
      </c>
      <c r="D57" t="s">
        <v>15</v>
      </c>
      <c r="E57">
        <v>19</v>
      </c>
      <c r="F57" t="s">
        <v>37</v>
      </c>
      <c r="G57" t="s">
        <v>17</v>
      </c>
      <c r="H57" t="s">
        <v>18</v>
      </c>
      <c r="I57" t="s">
        <v>38</v>
      </c>
      <c r="J57" t="s">
        <v>39</v>
      </c>
      <c r="K57">
        <v>3</v>
      </c>
      <c r="L57">
        <v>180</v>
      </c>
      <c r="M57">
        <v>188.33333300000001</v>
      </c>
      <c r="N57">
        <v>540</v>
      </c>
      <c r="O57">
        <v>565</v>
      </c>
      <c r="P57">
        <v>55</v>
      </c>
      <c r="Q57">
        <v>565</v>
      </c>
      <c r="U57" s="5" t="str">
        <f t="shared" si="0"/>
        <v>TRUE</v>
      </c>
      <c r="V57" s="5" t="str" cm="1">
        <f t="array" ref="V57">_xlfn.IFS(F54="M","TRUE",C54=2016,"TRUE")</f>
        <v>TRUE</v>
      </c>
      <c r="W57" s="5" t="str" cm="1">
        <f t="array" ref="W57">_xlfn.IFNA(_xlfn.IFS(F54="M","TRUE",C54=2016,"TRUE"),"FALSE")</f>
        <v>TRUE</v>
      </c>
    </row>
    <row r="58" spans="1:23" x14ac:dyDescent="0.3">
      <c r="A58">
        <v>56</v>
      </c>
      <c r="B58" s="1">
        <v>42209</v>
      </c>
      <c r="C58">
        <v>2015</v>
      </c>
      <c r="D58" t="s">
        <v>29</v>
      </c>
      <c r="E58">
        <v>19</v>
      </c>
      <c r="F58" t="s">
        <v>37</v>
      </c>
      <c r="G58" t="s">
        <v>17</v>
      </c>
      <c r="H58" t="s">
        <v>18</v>
      </c>
      <c r="I58" t="s">
        <v>38</v>
      </c>
      <c r="J58" t="s">
        <v>39</v>
      </c>
      <c r="K58">
        <v>1</v>
      </c>
      <c r="L58">
        <v>2320</v>
      </c>
      <c r="M58">
        <v>2160</v>
      </c>
      <c r="N58">
        <v>2320</v>
      </c>
      <c r="O58">
        <v>2160</v>
      </c>
      <c r="P58">
        <v>56</v>
      </c>
      <c r="Q58">
        <v>2160</v>
      </c>
      <c r="U58" s="5" t="str">
        <f t="shared" si="0"/>
        <v>TRUE</v>
      </c>
      <c r="V58" s="5" t="str" cm="1">
        <f t="array" ref="V58">_xlfn.IFS(F55="M","TRUE",C55=2016,"TRUE")</f>
        <v>TRUE</v>
      </c>
      <c r="W58" s="5" t="str" cm="1">
        <f t="array" ref="W58">_xlfn.IFNA(_xlfn.IFS(F55="M","TRUE",C55=2016,"TRUE"),"FALSE")</f>
        <v>TRUE</v>
      </c>
    </row>
    <row r="59" spans="1:23" x14ac:dyDescent="0.3">
      <c r="A59">
        <v>57</v>
      </c>
      <c r="B59" s="1">
        <v>42449</v>
      </c>
      <c r="C59">
        <v>2016</v>
      </c>
      <c r="D59" t="s">
        <v>25</v>
      </c>
      <c r="E59">
        <v>19</v>
      </c>
      <c r="F59" t="s">
        <v>37</v>
      </c>
      <c r="G59" t="s">
        <v>17</v>
      </c>
      <c r="H59" t="s">
        <v>35</v>
      </c>
      <c r="I59" t="s">
        <v>23</v>
      </c>
      <c r="J59" t="s">
        <v>42</v>
      </c>
      <c r="K59">
        <v>3</v>
      </c>
      <c r="L59">
        <v>100</v>
      </c>
      <c r="M59">
        <v>117.666667</v>
      </c>
      <c r="N59">
        <v>300</v>
      </c>
      <c r="O59">
        <v>353</v>
      </c>
      <c r="P59">
        <v>57</v>
      </c>
      <c r="Q59">
        <v>353</v>
      </c>
      <c r="U59" s="5" t="str">
        <f t="shared" si="0"/>
        <v>FALSE</v>
      </c>
      <c r="V59" s="5" t="e" cm="1">
        <f t="array" ref="V59">_xlfn.IFS(F56="M","TRUE",C56=2016,"TRUE")</f>
        <v>#N/A</v>
      </c>
      <c r="W59" s="5" t="str" cm="1">
        <f t="array" ref="W59">_xlfn.IFNA(_xlfn.IFS(F56="M","TRUE",C56=2016,"TRUE"),"FALSE")</f>
        <v>FALSE</v>
      </c>
    </row>
    <row r="60" spans="1:23" x14ac:dyDescent="0.3">
      <c r="A60">
        <v>58</v>
      </c>
      <c r="B60" s="1">
        <v>42450</v>
      </c>
      <c r="C60">
        <v>2016</v>
      </c>
      <c r="D60" t="s">
        <v>25</v>
      </c>
      <c r="E60">
        <v>19</v>
      </c>
      <c r="F60" t="s">
        <v>37</v>
      </c>
      <c r="G60" t="s">
        <v>17</v>
      </c>
      <c r="H60" t="s">
        <v>35</v>
      </c>
      <c r="I60" t="s">
        <v>23</v>
      </c>
      <c r="J60" t="s">
        <v>42</v>
      </c>
      <c r="K60">
        <v>1</v>
      </c>
      <c r="L60">
        <v>750</v>
      </c>
      <c r="M60">
        <v>985</v>
      </c>
      <c r="N60">
        <v>750</v>
      </c>
      <c r="O60">
        <v>985</v>
      </c>
      <c r="P60">
        <v>58</v>
      </c>
      <c r="Q60">
        <v>985</v>
      </c>
      <c r="U60" s="5" t="str">
        <f t="shared" si="0"/>
        <v>TRUE</v>
      </c>
      <c r="V60" s="5" t="str" cm="1">
        <f t="array" ref="V60">_xlfn.IFS(F57="M","TRUE",C57=2016,"TRUE")</f>
        <v>TRUE</v>
      </c>
      <c r="W60" s="5" t="str" cm="1">
        <f t="array" ref="W60">_xlfn.IFNA(_xlfn.IFS(F57="M","TRUE",C57=2016,"TRUE"),"FALSE")</f>
        <v>TRUE</v>
      </c>
    </row>
    <row r="61" spans="1:23" x14ac:dyDescent="0.3">
      <c r="A61">
        <v>59</v>
      </c>
      <c r="B61" s="1">
        <v>42496</v>
      </c>
      <c r="C61">
        <v>2016</v>
      </c>
      <c r="D61" t="s">
        <v>43</v>
      </c>
      <c r="E61">
        <v>19</v>
      </c>
      <c r="F61" t="s">
        <v>37</v>
      </c>
      <c r="G61" t="s">
        <v>17</v>
      </c>
      <c r="H61" t="s">
        <v>35</v>
      </c>
      <c r="I61" t="s">
        <v>23</v>
      </c>
      <c r="J61" t="s">
        <v>42</v>
      </c>
      <c r="K61">
        <v>3</v>
      </c>
      <c r="L61">
        <v>133.33000000000001</v>
      </c>
      <c r="M61">
        <v>164.33333300000001</v>
      </c>
      <c r="N61">
        <v>400</v>
      </c>
      <c r="O61">
        <v>493</v>
      </c>
      <c r="P61">
        <v>59</v>
      </c>
      <c r="Q61">
        <v>493</v>
      </c>
      <c r="U61" s="5" t="str">
        <f t="shared" si="0"/>
        <v>TRUE</v>
      </c>
      <c r="V61" s="5" t="str" cm="1">
        <f t="array" ref="V61">_xlfn.IFS(F58="M","TRUE",C58=2016,"TRUE")</f>
        <v>TRUE</v>
      </c>
      <c r="W61" s="5" t="str" cm="1">
        <f t="array" ref="W61">_xlfn.IFNA(_xlfn.IFS(F58="M","TRUE",C58=2016,"TRUE"),"FALSE")</f>
        <v>TRUE</v>
      </c>
    </row>
    <row r="62" spans="1:23" x14ac:dyDescent="0.3">
      <c r="A62">
        <v>60</v>
      </c>
      <c r="B62" s="1">
        <v>42527</v>
      </c>
      <c r="C62">
        <v>2016</v>
      </c>
      <c r="D62" t="s">
        <v>27</v>
      </c>
      <c r="E62">
        <v>19</v>
      </c>
      <c r="F62" t="s">
        <v>37</v>
      </c>
      <c r="G62" t="s">
        <v>17</v>
      </c>
      <c r="H62" t="s">
        <v>35</v>
      </c>
      <c r="I62" t="s">
        <v>19</v>
      </c>
      <c r="J62" t="s">
        <v>44</v>
      </c>
      <c r="K62">
        <v>3</v>
      </c>
      <c r="L62">
        <v>88</v>
      </c>
      <c r="M62">
        <v>95.333332999999996</v>
      </c>
      <c r="N62">
        <v>264</v>
      </c>
      <c r="O62">
        <v>286</v>
      </c>
      <c r="P62">
        <v>60</v>
      </c>
      <c r="Q62">
        <v>286</v>
      </c>
      <c r="U62" s="5" t="str">
        <f t="shared" si="0"/>
        <v>TRUE</v>
      </c>
      <c r="V62" s="5" t="str" cm="1">
        <f t="array" ref="V62">_xlfn.IFS(F59="M","TRUE",C59=2016,"TRUE")</f>
        <v>TRUE</v>
      </c>
      <c r="W62" s="5" t="str" cm="1">
        <f t="array" ref="W62">_xlfn.IFNA(_xlfn.IFS(F59="M","TRUE",C59=2016,"TRUE"),"FALSE")</f>
        <v>TRUE</v>
      </c>
    </row>
    <row r="63" spans="1:23" x14ac:dyDescent="0.3">
      <c r="A63">
        <v>61</v>
      </c>
      <c r="B63" s="1">
        <v>42530</v>
      </c>
      <c r="C63">
        <v>2016</v>
      </c>
      <c r="D63" t="s">
        <v>27</v>
      </c>
      <c r="E63">
        <v>19</v>
      </c>
      <c r="F63" t="s">
        <v>37</v>
      </c>
      <c r="G63" t="s">
        <v>17</v>
      </c>
      <c r="H63" t="s">
        <v>35</v>
      </c>
      <c r="I63" t="s">
        <v>23</v>
      </c>
      <c r="J63" t="s">
        <v>42</v>
      </c>
      <c r="K63">
        <v>2</v>
      </c>
      <c r="L63">
        <v>300</v>
      </c>
      <c r="M63">
        <v>384</v>
      </c>
      <c r="N63">
        <v>600</v>
      </c>
      <c r="O63">
        <v>768</v>
      </c>
      <c r="P63">
        <v>61</v>
      </c>
      <c r="Q63">
        <v>768</v>
      </c>
      <c r="U63" s="5" t="str">
        <f t="shared" si="0"/>
        <v>TRUE</v>
      </c>
      <c r="V63" s="5" t="str" cm="1">
        <f t="array" ref="V63">_xlfn.IFS(F60="M","TRUE",C60=2016,"TRUE")</f>
        <v>TRUE</v>
      </c>
      <c r="W63" s="5" t="str" cm="1">
        <f t="array" ref="W63">_xlfn.IFNA(_xlfn.IFS(F60="M","TRUE",C60=2016,"TRUE"),"FALSE")</f>
        <v>TRUE</v>
      </c>
    </row>
    <row r="64" spans="1:23" x14ac:dyDescent="0.3">
      <c r="A64">
        <v>62</v>
      </c>
      <c r="B64" s="1">
        <v>42236</v>
      </c>
      <c r="C64">
        <v>2015</v>
      </c>
      <c r="D64" t="s">
        <v>30</v>
      </c>
      <c r="E64">
        <v>19</v>
      </c>
      <c r="F64" t="s">
        <v>37</v>
      </c>
      <c r="G64" t="s">
        <v>17</v>
      </c>
      <c r="H64" t="s">
        <v>35</v>
      </c>
      <c r="I64" t="s">
        <v>23</v>
      </c>
      <c r="J64" t="s">
        <v>42</v>
      </c>
      <c r="K64">
        <v>3</v>
      </c>
      <c r="L64">
        <v>133.33000000000001</v>
      </c>
      <c r="M64">
        <v>161</v>
      </c>
      <c r="N64">
        <v>400</v>
      </c>
      <c r="O64">
        <v>483</v>
      </c>
      <c r="P64">
        <v>62</v>
      </c>
      <c r="Q64">
        <v>483</v>
      </c>
      <c r="U64" s="5" t="str">
        <f t="shared" si="0"/>
        <v>TRUE</v>
      </c>
      <c r="V64" s="5" t="str" cm="1">
        <f t="array" ref="V64">_xlfn.IFS(F61="M","TRUE",C61=2016,"TRUE")</f>
        <v>TRUE</v>
      </c>
      <c r="W64" s="5" t="str" cm="1">
        <f t="array" ref="W64">_xlfn.IFNA(_xlfn.IFS(F61="M","TRUE",C61=2016,"TRUE"),"FALSE")</f>
        <v>TRUE</v>
      </c>
    </row>
    <row r="65" spans="1:23" x14ac:dyDescent="0.3">
      <c r="A65">
        <v>63</v>
      </c>
      <c r="B65" s="1">
        <v>42237</v>
      </c>
      <c r="C65">
        <v>2015</v>
      </c>
      <c r="D65" t="s">
        <v>30</v>
      </c>
      <c r="E65">
        <v>19</v>
      </c>
      <c r="F65" t="s">
        <v>37</v>
      </c>
      <c r="G65" t="s">
        <v>17</v>
      </c>
      <c r="H65" t="s">
        <v>35</v>
      </c>
      <c r="I65" t="s">
        <v>23</v>
      </c>
      <c r="J65" t="s">
        <v>42</v>
      </c>
      <c r="K65">
        <v>2</v>
      </c>
      <c r="L65">
        <v>594</v>
      </c>
      <c r="M65">
        <v>569.5</v>
      </c>
      <c r="N65">
        <v>1188</v>
      </c>
      <c r="O65">
        <v>1139</v>
      </c>
      <c r="P65">
        <v>63</v>
      </c>
      <c r="Q65">
        <v>1139</v>
      </c>
      <c r="U65" s="5" t="str">
        <f t="shared" si="0"/>
        <v>TRUE</v>
      </c>
      <c r="V65" s="5" t="str" cm="1">
        <f t="array" ref="V65">_xlfn.IFS(F62="M","TRUE",C62=2016,"TRUE")</f>
        <v>TRUE</v>
      </c>
      <c r="W65" s="5" t="str" cm="1">
        <f t="array" ref="W65">_xlfn.IFNA(_xlfn.IFS(F62="M","TRUE",C62=2016,"TRUE"),"FALSE")</f>
        <v>TRUE</v>
      </c>
    </row>
    <row r="66" spans="1:23" x14ac:dyDescent="0.3">
      <c r="A66">
        <v>64</v>
      </c>
      <c r="B66" s="1">
        <v>42274</v>
      </c>
      <c r="C66">
        <v>2015</v>
      </c>
      <c r="D66" t="s">
        <v>31</v>
      </c>
      <c r="E66">
        <v>19</v>
      </c>
      <c r="F66" t="s">
        <v>37</v>
      </c>
      <c r="G66" t="s">
        <v>17</v>
      </c>
      <c r="H66" t="s">
        <v>35</v>
      </c>
      <c r="I66" t="s">
        <v>23</v>
      </c>
      <c r="J66" t="s">
        <v>42</v>
      </c>
      <c r="K66">
        <v>2</v>
      </c>
      <c r="L66">
        <v>75</v>
      </c>
      <c r="M66">
        <v>79.5</v>
      </c>
      <c r="N66">
        <v>150</v>
      </c>
      <c r="O66">
        <v>159</v>
      </c>
      <c r="P66">
        <v>64</v>
      </c>
      <c r="Q66">
        <v>159</v>
      </c>
      <c r="U66" s="5" t="str">
        <f t="shared" si="0"/>
        <v>TRUE</v>
      </c>
      <c r="V66" s="5" t="str" cm="1">
        <f t="array" ref="V66">_xlfn.IFS(F63="M","TRUE",C63=2016,"TRUE")</f>
        <v>TRUE</v>
      </c>
      <c r="W66" s="5" t="str" cm="1">
        <f t="array" ref="W66">_xlfn.IFNA(_xlfn.IFS(F63="M","TRUE",C63=2016,"TRUE"),"FALSE")</f>
        <v>TRUE</v>
      </c>
    </row>
    <row r="67" spans="1:23" x14ac:dyDescent="0.3">
      <c r="A67">
        <v>65</v>
      </c>
      <c r="B67" s="1">
        <v>42396</v>
      </c>
      <c r="C67">
        <v>2016</v>
      </c>
      <c r="D67" t="s">
        <v>45</v>
      </c>
      <c r="E67">
        <v>19</v>
      </c>
      <c r="F67" t="s">
        <v>37</v>
      </c>
      <c r="G67" t="s">
        <v>17</v>
      </c>
      <c r="H67" t="s">
        <v>35</v>
      </c>
      <c r="I67" t="s">
        <v>19</v>
      </c>
      <c r="J67" t="s">
        <v>46</v>
      </c>
      <c r="K67">
        <v>2</v>
      </c>
      <c r="L67">
        <v>99.5</v>
      </c>
      <c r="M67">
        <v>126</v>
      </c>
      <c r="N67">
        <v>199</v>
      </c>
      <c r="O67">
        <v>252</v>
      </c>
      <c r="P67">
        <v>65</v>
      </c>
      <c r="Q67">
        <v>252</v>
      </c>
      <c r="U67" s="5" t="str">
        <f t="shared" si="0"/>
        <v>TRUE</v>
      </c>
      <c r="V67" s="5" t="str" cm="1">
        <f t="array" ref="V67">_xlfn.IFS(F64="M","TRUE",C64=2016,"TRUE")</f>
        <v>TRUE</v>
      </c>
      <c r="W67" s="5" t="str" cm="1">
        <f t="array" ref="W67">_xlfn.IFNA(_xlfn.IFS(F64="M","TRUE",C64=2016,"TRUE"),"FALSE")</f>
        <v>TRUE</v>
      </c>
    </row>
    <row r="68" spans="1:23" x14ac:dyDescent="0.3">
      <c r="A68">
        <v>66</v>
      </c>
      <c r="B68" s="1">
        <v>42394</v>
      </c>
      <c r="C68">
        <v>2016</v>
      </c>
      <c r="D68" t="s">
        <v>45</v>
      </c>
      <c r="E68">
        <v>19</v>
      </c>
      <c r="F68" t="s">
        <v>16</v>
      </c>
      <c r="G68" t="s">
        <v>17</v>
      </c>
      <c r="H68" t="s">
        <v>35</v>
      </c>
      <c r="I68" t="s">
        <v>19</v>
      </c>
      <c r="J68" t="s">
        <v>28</v>
      </c>
      <c r="K68">
        <v>3</v>
      </c>
      <c r="L68">
        <v>46.67</v>
      </c>
      <c r="M68">
        <v>51.666666999999997</v>
      </c>
      <c r="N68">
        <v>140</v>
      </c>
      <c r="O68">
        <v>155</v>
      </c>
      <c r="P68">
        <v>66</v>
      </c>
      <c r="Q68">
        <v>155</v>
      </c>
      <c r="U68" s="5" t="str">
        <f t="shared" si="0"/>
        <v>TRUE</v>
      </c>
      <c r="V68" s="5" t="str" cm="1">
        <f t="array" ref="V68">_xlfn.IFS(F65="M","TRUE",C65=2016,"TRUE")</f>
        <v>TRUE</v>
      </c>
      <c r="W68" s="5" t="str" cm="1">
        <f t="array" ref="W68">_xlfn.IFNA(_xlfn.IFS(F65="M","TRUE",C65=2016,"TRUE"),"FALSE")</f>
        <v>TRUE</v>
      </c>
    </row>
    <row r="69" spans="1:23" x14ac:dyDescent="0.3">
      <c r="A69">
        <v>67</v>
      </c>
      <c r="B69" s="1">
        <v>42395</v>
      </c>
      <c r="C69">
        <v>2016</v>
      </c>
      <c r="D69" t="s">
        <v>45</v>
      </c>
      <c r="E69">
        <v>19</v>
      </c>
      <c r="F69" t="s">
        <v>16</v>
      </c>
      <c r="G69" t="s">
        <v>17</v>
      </c>
      <c r="H69" t="s">
        <v>35</v>
      </c>
      <c r="I69" t="s">
        <v>19</v>
      </c>
      <c r="J69" t="s">
        <v>28</v>
      </c>
      <c r="K69">
        <v>1</v>
      </c>
      <c r="L69">
        <v>175</v>
      </c>
      <c r="M69">
        <v>218</v>
      </c>
      <c r="N69">
        <v>175</v>
      </c>
      <c r="O69">
        <v>218</v>
      </c>
      <c r="P69">
        <v>67</v>
      </c>
      <c r="Q69">
        <v>218</v>
      </c>
      <c r="U69" s="5" t="str">
        <f t="shared" si="0"/>
        <v>TRUE</v>
      </c>
      <c r="V69" s="5" t="str" cm="1">
        <f t="array" ref="V69">_xlfn.IFS(F66="M","TRUE",C66=2016,"TRUE")</f>
        <v>TRUE</v>
      </c>
      <c r="W69" s="5" t="str" cm="1">
        <f t="array" ref="W69">_xlfn.IFNA(_xlfn.IFS(F66="M","TRUE",C66=2016,"TRUE"),"FALSE")</f>
        <v>TRUE</v>
      </c>
    </row>
    <row r="70" spans="1:23" x14ac:dyDescent="0.3">
      <c r="A70">
        <v>68</v>
      </c>
      <c r="B70" s="1">
        <v>42510</v>
      </c>
      <c r="C70">
        <v>2016</v>
      </c>
      <c r="D70" t="s">
        <v>43</v>
      </c>
      <c r="E70">
        <v>19</v>
      </c>
      <c r="F70" t="s">
        <v>16</v>
      </c>
      <c r="G70" t="s">
        <v>17</v>
      </c>
      <c r="H70" t="s">
        <v>35</v>
      </c>
      <c r="I70" t="s">
        <v>19</v>
      </c>
      <c r="J70" t="s">
        <v>28</v>
      </c>
      <c r="K70">
        <v>2</v>
      </c>
      <c r="L70">
        <v>52.5</v>
      </c>
      <c r="M70">
        <v>60</v>
      </c>
      <c r="N70">
        <v>105</v>
      </c>
      <c r="O70">
        <v>120</v>
      </c>
      <c r="P70">
        <v>68</v>
      </c>
      <c r="Q70">
        <v>120</v>
      </c>
      <c r="U70" s="5" t="str">
        <f t="shared" ref="U70:U133" si="1">IF(F67="M","TRUE","FALSE")</f>
        <v>TRUE</v>
      </c>
      <c r="V70" s="5" t="str" cm="1">
        <f t="array" ref="V70">_xlfn.IFS(F67="M","TRUE",C67=2016,"TRUE")</f>
        <v>TRUE</v>
      </c>
      <c r="W70" s="5" t="str" cm="1">
        <f t="array" ref="W70">_xlfn.IFNA(_xlfn.IFS(F67="M","TRUE",C67=2016,"TRUE"),"FALSE")</f>
        <v>TRUE</v>
      </c>
    </row>
    <row r="71" spans="1:23" x14ac:dyDescent="0.3">
      <c r="A71">
        <v>69</v>
      </c>
      <c r="B71" s="1">
        <v>42211</v>
      </c>
      <c r="C71">
        <v>2015</v>
      </c>
      <c r="D71" t="s">
        <v>29</v>
      </c>
      <c r="E71">
        <v>19</v>
      </c>
      <c r="F71" t="s">
        <v>16</v>
      </c>
      <c r="G71" t="s">
        <v>17</v>
      </c>
      <c r="H71" t="s">
        <v>35</v>
      </c>
      <c r="I71" t="s">
        <v>19</v>
      </c>
      <c r="J71" t="s">
        <v>28</v>
      </c>
      <c r="K71">
        <v>2</v>
      </c>
      <c r="L71">
        <v>122.5</v>
      </c>
      <c r="M71">
        <v>139.5</v>
      </c>
      <c r="N71">
        <v>245</v>
      </c>
      <c r="O71">
        <v>279</v>
      </c>
      <c r="P71">
        <v>69</v>
      </c>
      <c r="Q71">
        <v>279</v>
      </c>
      <c r="U71" s="5" t="str">
        <f t="shared" si="1"/>
        <v>FALSE</v>
      </c>
      <c r="V71" s="5" t="str" cm="1">
        <f t="array" ref="V71">_xlfn.IFS(F68="M","TRUE",C68=2016,"TRUE")</f>
        <v>TRUE</v>
      </c>
      <c r="W71" s="5" t="str" cm="1">
        <f t="array" ref="W71">_xlfn.IFNA(_xlfn.IFS(F68="M","TRUE",C68=2016,"TRUE"),"FALSE")</f>
        <v>TRUE</v>
      </c>
    </row>
    <row r="72" spans="1:23" x14ac:dyDescent="0.3">
      <c r="A72">
        <v>70</v>
      </c>
      <c r="B72" s="1">
        <v>42344</v>
      </c>
      <c r="C72">
        <v>2015</v>
      </c>
      <c r="D72" t="s">
        <v>34</v>
      </c>
      <c r="E72">
        <v>19</v>
      </c>
      <c r="F72" t="s">
        <v>16</v>
      </c>
      <c r="G72" t="s">
        <v>17</v>
      </c>
      <c r="H72" t="s">
        <v>35</v>
      </c>
      <c r="I72" t="s">
        <v>19</v>
      </c>
      <c r="J72" t="s">
        <v>28</v>
      </c>
      <c r="K72">
        <v>1</v>
      </c>
      <c r="L72">
        <v>420</v>
      </c>
      <c r="M72">
        <v>458</v>
      </c>
      <c r="N72">
        <v>420</v>
      </c>
      <c r="O72">
        <v>458</v>
      </c>
      <c r="P72">
        <v>70</v>
      </c>
      <c r="Q72">
        <v>458</v>
      </c>
      <c r="U72" s="5" t="str">
        <f t="shared" si="1"/>
        <v>FALSE</v>
      </c>
      <c r="V72" s="5" t="str" cm="1">
        <f t="array" ref="V72">_xlfn.IFS(F69="M","TRUE",C69=2016,"TRUE")</f>
        <v>TRUE</v>
      </c>
      <c r="W72" s="5" t="str" cm="1">
        <f t="array" ref="W72">_xlfn.IFNA(_xlfn.IFS(F69="M","TRUE",C69=2016,"TRUE"),"FALSE")</f>
        <v>TRUE</v>
      </c>
    </row>
    <row r="73" spans="1:23" x14ac:dyDescent="0.3">
      <c r="A73">
        <v>71</v>
      </c>
      <c r="B73" s="1">
        <v>42545</v>
      </c>
      <c r="C73">
        <v>2016</v>
      </c>
      <c r="D73" t="s">
        <v>27</v>
      </c>
      <c r="E73">
        <v>20</v>
      </c>
      <c r="F73" t="s">
        <v>37</v>
      </c>
      <c r="G73" t="s">
        <v>17</v>
      </c>
      <c r="H73" t="s">
        <v>18</v>
      </c>
      <c r="I73" t="s">
        <v>23</v>
      </c>
      <c r="J73" t="s">
        <v>47</v>
      </c>
      <c r="K73">
        <v>3</v>
      </c>
      <c r="L73">
        <v>45</v>
      </c>
      <c r="M73">
        <v>52.666666999999997</v>
      </c>
      <c r="N73">
        <v>135</v>
      </c>
      <c r="O73">
        <v>158</v>
      </c>
      <c r="P73">
        <v>71</v>
      </c>
      <c r="Q73">
        <v>158</v>
      </c>
      <c r="U73" s="5" t="str">
        <f t="shared" si="1"/>
        <v>FALSE</v>
      </c>
      <c r="V73" s="5" t="str" cm="1">
        <f t="array" ref="V73">_xlfn.IFS(F70="M","TRUE",C70=2016,"TRUE")</f>
        <v>TRUE</v>
      </c>
      <c r="W73" s="5" t="str" cm="1">
        <f t="array" ref="W73">_xlfn.IFNA(_xlfn.IFS(F70="M","TRUE",C70=2016,"TRUE"),"FALSE")</f>
        <v>TRUE</v>
      </c>
    </row>
    <row r="74" spans="1:23" x14ac:dyDescent="0.3">
      <c r="A74">
        <v>72</v>
      </c>
      <c r="B74" s="1">
        <v>42282</v>
      </c>
      <c r="C74">
        <v>2015</v>
      </c>
      <c r="D74" t="s">
        <v>32</v>
      </c>
      <c r="E74">
        <v>20</v>
      </c>
      <c r="F74" t="s">
        <v>37</v>
      </c>
      <c r="G74" t="s">
        <v>17</v>
      </c>
      <c r="H74" t="s">
        <v>18</v>
      </c>
      <c r="I74" t="s">
        <v>23</v>
      </c>
      <c r="J74" t="s">
        <v>47</v>
      </c>
      <c r="K74">
        <v>2</v>
      </c>
      <c r="L74">
        <v>27</v>
      </c>
      <c r="M74">
        <v>30.5</v>
      </c>
      <c r="N74">
        <v>54</v>
      </c>
      <c r="O74">
        <v>61</v>
      </c>
      <c r="P74">
        <v>72</v>
      </c>
      <c r="Q74">
        <v>61</v>
      </c>
      <c r="U74" s="5" t="str">
        <f t="shared" si="1"/>
        <v>FALSE</v>
      </c>
      <c r="V74" s="5" t="e" cm="1">
        <f t="array" ref="V74">_xlfn.IFS(F71="M","TRUE",C71=2016,"TRUE")</f>
        <v>#N/A</v>
      </c>
      <c r="W74" s="5" t="str" cm="1">
        <f t="array" ref="W74">_xlfn.IFNA(_xlfn.IFS(F71="M","TRUE",C71=2016,"TRUE"),"FALSE")</f>
        <v>FALSE</v>
      </c>
    </row>
    <row r="75" spans="1:23" x14ac:dyDescent="0.3">
      <c r="A75">
        <v>73</v>
      </c>
      <c r="B75" s="1">
        <v>42203</v>
      </c>
      <c r="C75">
        <v>2015</v>
      </c>
      <c r="D75" t="s">
        <v>29</v>
      </c>
      <c r="E75">
        <v>20</v>
      </c>
      <c r="F75" t="s">
        <v>16</v>
      </c>
      <c r="G75" t="s">
        <v>17</v>
      </c>
      <c r="H75" t="s">
        <v>35</v>
      </c>
      <c r="I75" t="s">
        <v>38</v>
      </c>
      <c r="J75" t="s">
        <v>39</v>
      </c>
      <c r="K75">
        <v>1</v>
      </c>
      <c r="L75">
        <v>2295</v>
      </c>
      <c r="M75">
        <v>2146</v>
      </c>
      <c r="N75">
        <v>2295</v>
      </c>
      <c r="O75">
        <v>2146</v>
      </c>
      <c r="P75">
        <v>73</v>
      </c>
      <c r="Q75">
        <v>2146</v>
      </c>
      <c r="U75" s="5" t="str">
        <f t="shared" si="1"/>
        <v>FALSE</v>
      </c>
      <c r="V75" s="5" t="e" cm="1">
        <f t="array" ref="V75">_xlfn.IFS(F72="M","TRUE",C72=2016,"TRUE")</f>
        <v>#N/A</v>
      </c>
      <c r="W75" s="5" t="str" cm="1">
        <f t="array" ref="W75">_xlfn.IFNA(_xlfn.IFS(F72="M","TRUE",C72=2016,"TRUE"),"FALSE")</f>
        <v>FALSE</v>
      </c>
    </row>
    <row r="76" spans="1:23" x14ac:dyDescent="0.3">
      <c r="A76">
        <v>74</v>
      </c>
      <c r="B76" s="1">
        <v>42210</v>
      </c>
      <c r="C76">
        <v>2015</v>
      </c>
      <c r="D76" t="s">
        <v>29</v>
      </c>
      <c r="E76">
        <v>20</v>
      </c>
      <c r="F76" t="s">
        <v>16</v>
      </c>
      <c r="G76" t="s">
        <v>17</v>
      </c>
      <c r="H76" t="s">
        <v>35</v>
      </c>
      <c r="I76" t="s">
        <v>38</v>
      </c>
      <c r="J76" t="s">
        <v>39</v>
      </c>
      <c r="K76">
        <v>1</v>
      </c>
      <c r="L76">
        <v>2320</v>
      </c>
      <c r="M76">
        <v>2030</v>
      </c>
      <c r="N76">
        <v>2320</v>
      </c>
      <c r="O76">
        <v>2030</v>
      </c>
      <c r="P76">
        <v>74</v>
      </c>
      <c r="Q76">
        <v>2030</v>
      </c>
      <c r="U76" s="5" t="str">
        <f t="shared" si="1"/>
        <v>TRUE</v>
      </c>
      <c r="V76" s="5" t="str" cm="1">
        <f t="array" ref="V76">_xlfn.IFS(F73="M","TRUE",C73=2016,"TRUE")</f>
        <v>TRUE</v>
      </c>
      <c r="W76" s="5" t="str" cm="1">
        <f t="array" ref="W76">_xlfn.IFNA(_xlfn.IFS(F73="M","TRUE",C73=2016,"TRUE"),"FALSE")</f>
        <v>TRUE</v>
      </c>
    </row>
    <row r="77" spans="1:23" x14ac:dyDescent="0.3">
      <c r="A77">
        <v>75</v>
      </c>
      <c r="B77" s="1">
        <v>42342</v>
      </c>
      <c r="C77">
        <v>2015</v>
      </c>
      <c r="D77" t="s">
        <v>34</v>
      </c>
      <c r="E77">
        <v>20</v>
      </c>
      <c r="F77" t="s">
        <v>16</v>
      </c>
      <c r="G77" t="s">
        <v>17</v>
      </c>
      <c r="H77" t="s">
        <v>35</v>
      </c>
      <c r="I77" t="s">
        <v>38</v>
      </c>
      <c r="J77" t="s">
        <v>39</v>
      </c>
      <c r="K77">
        <v>1</v>
      </c>
      <c r="L77">
        <v>2295</v>
      </c>
      <c r="M77">
        <v>1884</v>
      </c>
      <c r="N77">
        <v>2295</v>
      </c>
      <c r="O77">
        <v>1884</v>
      </c>
      <c r="P77">
        <v>75</v>
      </c>
      <c r="Q77">
        <v>1884</v>
      </c>
      <c r="U77" s="5" t="str">
        <f t="shared" si="1"/>
        <v>TRUE</v>
      </c>
      <c r="V77" s="5" t="str" cm="1">
        <f t="array" ref="V77">_xlfn.IFS(F74="M","TRUE",C74=2016,"TRUE")</f>
        <v>TRUE</v>
      </c>
      <c r="W77" s="5" t="str" cm="1">
        <f t="array" ref="W77">_xlfn.IFNA(_xlfn.IFS(F74="M","TRUE",C74=2016,"TRUE"),"FALSE")</f>
        <v>TRUE</v>
      </c>
    </row>
    <row r="78" spans="1:23" x14ac:dyDescent="0.3">
      <c r="A78">
        <v>76</v>
      </c>
      <c r="B78" s="1">
        <v>42201</v>
      </c>
      <c r="C78">
        <v>2015</v>
      </c>
      <c r="D78" t="s">
        <v>29</v>
      </c>
      <c r="E78">
        <v>22</v>
      </c>
      <c r="F78" t="s">
        <v>16</v>
      </c>
      <c r="G78" t="s">
        <v>17</v>
      </c>
      <c r="H78" t="s">
        <v>18</v>
      </c>
      <c r="I78" t="s">
        <v>23</v>
      </c>
      <c r="J78" t="s">
        <v>48</v>
      </c>
      <c r="K78">
        <v>1</v>
      </c>
      <c r="L78">
        <v>216</v>
      </c>
      <c r="M78">
        <v>228</v>
      </c>
      <c r="N78">
        <v>216</v>
      </c>
      <c r="O78">
        <v>228</v>
      </c>
      <c r="P78">
        <v>76</v>
      </c>
      <c r="Q78">
        <v>228</v>
      </c>
      <c r="U78" s="5" t="str">
        <f t="shared" si="1"/>
        <v>FALSE</v>
      </c>
      <c r="V78" s="5" t="e" cm="1">
        <f t="array" ref="V78">_xlfn.IFS(F75="M","TRUE",C75=2016,"TRUE")</f>
        <v>#N/A</v>
      </c>
      <c r="W78" s="5" t="str" cm="1">
        <f t="array" ref="W78">_xlfn.IFNA(_xlfn.IFS(F75="M","TRUE",C75=2016,"TRUE"),"FALSE")</f>
        <v>FALSE</v>
      </c>
    </row>
    <row r="79" spans="1:23" x14ac:dyDescent="0.3">
      <c r="A79">
        <v>77</v>
      </c>
      <c r="B79" s="1">
        <v>42230</v>
      </c>
      <c r="C79">
        <v>2015</v>
      </c>
      <c r="D79" t="s">
        <v>30</v>
      </c>
      <c r="E79">
        <v>24</v>
      </c>
      <c r="F79" t="s">
        <v>16</v>
      </c>
      <c r="G79" t="s">
        <v>17</v>
      </c>
      <c r="H79" t="s">
        <v>35</v>
      </c>
      <c r="I79" t="s">
        <v>19</v>
      </c>
      <c r="J79" t="s">
        <v>36</v>
      </c>
      <c r="K79">
        <v>3</v>
      </c>
      <c r="L79">
        <v>530</v>
      </c>
      <c r="M79">
        <v>529.33333300000004</v>
      </c>
      <c r="N79">
        <v>1590</v>
      </c>
      <c r="O79">
        <v>1588</v>
      </c>
      <c r="P79">
        <v>77</v>
      </c>
      <c r="Q79">
        <v>1588</v>
      </c>
      <c r="U79" s="5" t="str">
        <f t="shared" si="1"/>
        <v>FALSE</v>
      </c>
      <c r="V79" s="5" t="e" cm="1">
        <f t="array" ref="V79">_xlfn.IFS(F76="M","TRUE",C76=2016,"TRUE")</f>
        <v>#N/A</v>
      </c>
      <c r="W79" s="5" t="str" cm="1">
        <f t="array" ref="W79">_xlfn.IFNA(_xlfn.IFS(F76="M","TRUE",C76=2016,"TRUE"),"FALSE")</f>
        <v>FALSE</v>
      </c>
    </row>
    <row r="80" spans="1:23" x14ac:dyDescent="0.3">
      <c r="A80">
        <v>78</v>
      </c>
      <c r="B80" s="1">
        <v>42366</v>
      </c>
      <c r="C80">
        <v>2015</v>
      </c>
      <c r="D80" t="s">
        <v>34</v>
      </c>
      <c r="E80">
        <v>24</v>
      </c>
      <c r="F80" t="s">
        <v>16</v>
      </c>
      <c r="G80" t="s">
        <v>17</v>
      </c>
      <c r="H80" t="s">
        <v>35</v>
      </c>
      <c r="I80" t="s">
        <v>19</v>
      </c>
      <c r="J80" t="s">
        <v>36</v>
      </c>
      <c r="K80">
        <v>1</v>
      </c>
      <c r="L80">
        <v>1113</v>
      </c>
      <c r="M80">
        <v>1297</v>
      </c>
      <c r="N80">
        <v>1113</v>
      </c>
      <c r="O80">
        <v>1297</v>
      </c>
      <c r="P80">
        <v>78</v>
      </c>
      <c r="Q80">
        <v>1297</v>
      </c>
      <c r="U80" s="5" t="str">
        <f t="shared" si="1"/>
        <v>FALSE</v>
      </c>
      <c r="V80" s="5" t="e" cm="1">
        <f t="array" ref="V80">_xlfn.IFS(F77="M","TRUE",C77=2016,"TRUE")</f>
        <v>#N/A</v>
      </c>
      <c r="W80" s="5" t="str" cm="1">
        <f t="array" ref="W80">_xlfn.IFNA(_xlfn.IFS(F77="M","TRUE",C77=2016,"TRUE"),"FALSE")</f>
        <v>FALSE</v>
      </c>
    </row>
    <row r="81" spans="1:23" x14ac:dyDescent="0.3">
      <c r="A81">
        <v>79</v>
      </c>
      <c r="B81" s="1">
        <v>42455</v>
      </c>
      <c r="C81">
        <v>2016</v>
      </c>
      <c r="D81" t="s">
        <v>25</v>
      </c>
      <c r="E81">
        <v>40</v>
      </c>
      <c r="F81" t="s">
        <v>37</v>
      </c>
      <c r="G81" t="s">
        <v>17</v>
      </c>
      <c r="H81" t="s">
        <v>40</v>
      </c>
      <c r="I81" t="s">
        <v>38</v>
      </c>
      <c r="J81" t="s">
        <v>39</v>
      </c>
      <c r="K81">
        <v>1</v>
      </c>
      <c r="L81">
        <v>769</v>
      </c>
      <c r="M81">
        <v>873</v>
      </c>
      <c r="N81">
        <v>769</v>
      </c>
      <c r="O81">
        <v>873</v>
      </c>
      <c r="P81">
        <v>79</v>
      </c>
      <c r="Q81">
        <v>873</v>
      </c>
      <c r="U81" s="5" t="str">
        <f t="shared" si="1"/>
        <v>FALSE</v>
      </c>
      <c r="V81" s="5" t="e" cm="1">
        <f t="array" ref="V81">_xlfn.IFS(F78="M","TRUE",C78=2016,"TRUE")</f>
        <v>#N/A</v>
      </c>
      <c r="W81" s="5" t="str" cm="1">
        <f t="array" ref="W81">_xlfn.IFNA(_xlfn.IFS(F78="M","TRUE",C78=2016,"TRUE"),"FALSE")</f>
        <v>FALSE</v>
      </c>
    </row>
    <row r="82" spans="1:23" x14ac:dyDescent="0.3">
      <c r="A82">
        <v>80</v>
      </c>
      <c r="B82" s="1">
        <v>42514</v>
      </c>
      <c r="C82">
        <v>2016</v>
      </c>
      <c r="D82" t="s">
        <v>43</v>
      </c>
      <c r="E82">
        <v>40</v>
      </c>
      <c r="F82" t="s">
        <v>37</v>
      </c>
      <c r="G82" t="s">
        <v>17</v>
      </c>
      <c r="H82" t="s">
        <v>40</v>
      </c>
      <c r="I82" t="s">
        <v>38</v>
      </c>
      <c r="J82" t="s">
        <v>49</v>
      </c>
      <c r="K82">
        <v>3</v>
      </c>
      <c r="L82">
        <v>247.33</v>
      </c>
      <c r="M82">
        <v>250.33333300000001</v>
      </c>
      <c r="N82">
        <v>742</v>
      </c>
      <c r="O82">
        <v>751</v>
      </c>
      <c r="P82">
        <v>80</v>
      </c>
      <c r="Q82">
        <v>751</v>
      </c>
      <c r="U82" s="5" t="str">
        <f t="shared" si="1"/>
        <v>FALSE</v>
      </c>
      <c r="V82" s="5" t="e" cm="1">
        <f t="array" ref="V82">_xlfn.IFS(F79="M","TRUE",C79=2016,"TRUE")</f>
        <v>#N/A</v>
      </c>
      <c r="W82" s="5" t="str" cm="1">
        <f t="array" ref="W82">_xlfn.IFNA(_xlfn.IFS(F79="M","TRUE",C79=2016,"TRUE"),"FALSE")</f>
        <v>FALSE</v>
      </c>
    </row>
    <row r="83" spans="1:23" x14ac:dyDescent="0.3">
      <c r="A83">
        <v>81</v>
      </c>
      <c r="B83" s="1">
        <v>42193</v>
      </c>
      <c r="C83">
        <v>2015</v>
      </c>
      <c r="D83" t="s">
        <v>29</v>
      </c>
      <c r="E83">
        <v>40</v>
      </c>
      <c r="F83" t="s">
        <v>37</v>
      </c>
      <c r="G83" t="s">
        <v>17</v>
      </c>
      <c r="H83" t="s">
        <v>40</v>
      </c>
      <c r="I83" t="s">
        <v>38</v>
      </c>
      <c r="J83" t="s">
        <v>39</v>
      </c>
      <c r="K83">
        <v>1</v>
      </c>
      <c r="L83">
        <v>2320</v>
      </c>
      <c r="M83">
        <v>2340</v>
      </c>
      <c r="N83">
        <v>2320</v>
      </c>
      <c r="O83">
        <v>2340</v>
      </c>
      <c r="P83">
        <v>81</v>
      </c>
      <c r="Q83">
        <v>2340</v>
      </c>
      <c r="U83" s="5" t="str">
        <f t="shared" si="1"/>
        <v>FALSE</v>
      </c>
      <c r="V83" s="5" t="e" cm="1">
        <f t="array" ref="V83">_xlfn.IFS(F80="M","TRUE",C80=2016,"TRUE")</f>
        <v>#N/A</v>
      </c>
      <c r="W83" s="5" t="str" cm="1">
        <f t="array" ref="W83">_xlfn.IFNA(_xlfn.IFS(F80="M","TRUE",C80=2016,"TRUE"),"FALSE")</f>
        <v>FALSE</v>
      </c>
    </row>
    <row r="84" spans="1:23" x14ac:dyDescent="0.3">
      <c r="A84">
        <v>82</v>
      </c>
      <c r="B84" s="1">
        <v>42198</v>
      </c>
      <c r="C84">
        <v>2015</v>
      </c>
      <c r="D84" t="s">
        <v>29</v>
      </c>
      <c r="E84">
        <v>40</v>
      </c>
      <c r="F84" t="s">
        <v>37</v>
      </c>
      <c r="G84" t="s">
        <v>17</v>
      </c>
      <c r="H84" t="s">
        <v>40</v>
      </c>
      <c r="I84" t="s">
        <v>38</v>
      </c>
      <c r="J84" t="s">
        <v>39</v>
      </c>
      <c r="K84">
        <v>2</v>
      </c>
      <c r="L84">
        <v>384.5</v>
      </c>
      <c r="M84">
        <v>353.5</v>
      </c>
      <c r="N84">
        <v>769</v>
      </c>
      <c r="O84">
        <v>707</v>
      </c>
      <c r="P84">
        <v>82</v>
      </c>
      <c r="Q84">
        <v>707</v>
      </c>
      <c r="U84" s="5" t="str">
        <f t="shared" si="1"/>
        <v>TRUE</v>
      </c>
      <c r="V84" s="5" t="str" cm="1">
        <f t="array" ref="V84">_xlfn.IFS(F81="M","TRUE",C81=2016,"TRUE")</f>
        <v>TRUE</v>
      </c>
      <c r="W84" s="5" t="str" cm="1">
        <f t="array" ref="W84">_xlfn.IFNA(_xlfn.IFS(F81="M","TRUE",C81=2016,"TRUE"),"FALSE")</f>
        <v>TRUE</v>
      </c>
    </row>
    <row r="85" spans="1:23" x14ac:dyDescent="0.3">
      <c r="A85">
        <v>83</v>
      </c>
      <c r="B85" s="1">
        <v>42224</v>
      </c>
      <c r="C85">
        <v>2015</v>
      </c>
      <c r="D85" t="s">
        <v>30</v>
      </c>
      <c r="E85">
        <v>40</v>
      </c>
      <c r="F85" t="s">
        <v>37</v>
      </c>
      <c r="G85" t="s">
        <v>17</v>
      </c>
      <c r="H85" t="s">
        <v>40</v>
      </c>
      <c r="I85" t="s">
        <v>38</v>
      </c>
      <c r="J85" t="s">
        <v>39</v>
      </c>
      <c r="K85">
        <v>1</v>
      </c>
      <c r="L85">
        <v>2320</v>
      </c>
      <c r="M85">
        <v>2340</v>
      </c>
      <c r="N85">
        <v>2320</v>
      </c>
      <c r="O85">
        <v>2340</v>
      </c>
      <c r="P85">
        <v>83</v>
      </c>
      <c r="Q85">
        <v>2340</v>
      </c>
      <c r="U85" s="5" t="str">
        <f t="shared" si="1"/>
        <v>TRUE</v>
      </c>
      <c r="V85" s="5" t="str" cm="1">
        <f t="array" ref="V85">_xlfn.IFS(F82="M","TRUE",C82=2016,"TRUE")</f>
        <v>TRUE</v>
      </c>
      <c r="W85" s="5" t="str" cm="1">
        <f t="array" ref="W85">_xlfn.IFNA(_xlfn.IFS(F82="M","TRUE",C82=2016,"TRUE"),"FALSE")</f>
        <v>TRUE</v>
      </c>
    </row>
    <row r="86" spans="1:23" x14ac:dyDescent="0.3">
      <c r="A86">
        <v>84</v>
      </c>
      <c r="B86" s="1">
        <v>42363</v>
      </c>
      <c r="C86">
        <v>2015</v>
      </c>
      <c r="D86" t="s">
        <v>34</v>
      </c>
      <c r="E86">
        <v>40</v>
      </c>
      <c r="F86" t="s">
        <v>37</v>
      </c>
      <c r="G86" t="s">
        <v>17</v>
      </c>
      <c r="H86" t="s">
        <v>40</v>
      </c>
      <c r="I86" t="s">
        <v>38</v>
      </c>
      <c r="J86" t="s">
        <v>39</v>
      </c>
      <c r="K86">
        <v>1</v>
      </c>
      <c r="L86">
        <v>2320</v>
      </c>
      <c r="M86">
        <v>2095</v>
      </c>
      <c r="N86">
        <v>2320</v>
      </c>
      <c r="O86">
        <v>2095</v>
      </c>
      <c r="P86">
        <v>84</v>
      </c>
      <c r="Q86">
        <v>2095</v>
      </c>
      <c r="U86" s="5" t="str">
        <f t="shared" si="1"/>
        <v>TRUE</v>
      </c>
      <c r="V86" s="5" t="str" cm="1">
        <f t="array" ref="V86">_xlfn.IFS(F83="M","TRUE",C83=2016,"TRUE")</f>
        <v>TRUE</v>
      </c>
      <c r="W86" s="5" t="str" cm="1">
        <f t="array" ref="W86">_xlfn.IFNA(_xlfn.IFS(F83="M","TRUE",C83=2016,"TRUE"),"FALSE")</f>
        <v>TRUE</v>
      </c>
    </row>
    <row r="87" spans="1:23" x14ac:dyDescent="0.3">
      <c r="A87">
        <v>85</v>
      </c>
      <c r="B87" s="1">
        <v>42245</v>
      </c>
      <c r="C87">
        <v>2015</v>
      </c>
      <c r="D87" t="s">
        <v>30</v>
      </c>
      <c r="E87">
        <v>40</v>
      </c>
      <c r="F87" t="s">
        <v>16</v>
      </c>
      <c r="G87" t="s">
        <v>17</v>
      </c>
      <c r="H87" t="s">
        <v>35</v>
      </c>
      <c r="I87" t="s">
        <v>19</v>
      </c>
      <c r="J87" t="s">
        <v>36</v>
      </c>
      <c r="K87">
        <v>2</v>
      </c>
      <c r="L87">
        <v>477</v>
      </c>
      <c r="M87">
        <v>524.5</v>
      </c>
      <c r="N87">
        <v>954</v>
      </c>
      <c r="O87">
        <v>1049</v>
      </c>
      <c r="P87">
        <v>85</v>
      </c>
      <c r="Q87">
        <v>1049</v>
      </c>
      <c r="U87" s="5" t="str">
        <f t="shared" si="1"/>
        <v>TRUE</v>
      </c>
      <c r="V87" s="5" t="str" cm="1">
        <f t="array" ref="V87">_xlfn.IFS(F84="M","TRUE",C84=2016,"TRUE")</f>
        <v>TRUE</v>
      </c>
      <c r="W87" s="5" t="str" cm="1">
        <f t="array" ref="W87">_xlfn.IFNA(_xlfn.IFS(F84="M","TRUE",C84=2016,"TRUE"),"FALSE")</f>
        <v>TRUE</v>
      </c>
    </row>
    <row r="88" spans="1:23" x14ac:dyDescent="0.3">
      <c r="A88">
        <v>86</v>
      </c>
      <c r="B88" s="1">
        <v>42385</v>
      </c>
      <c r="C88">
        <v>2016</v>
      </c>
      <c r="D88" t="s">
        <v>45</v>
      </c>
      <c r="E88">
        <v>40</v>
      </c>
      <c r="F88" t="s">
        <v>37</v>
      </c>
      <c r="G88" t="s">
        <v>17</v>
      </c>
      <c r="H88" t="s">
        <v>35</v>
      </c>
      <c r="I88" t="s">
        <v>19</v>
      </c>
      <c r="J88" t="s">
        <v>41</v>
      </c>
      <c r="K88">
        <v>3</v>
      </c>
      <c r="L88">
        <v>165</v>
      </c>
      <c r="M88">
        <v>186.33333300000001</v>
      </c>
      <c r="N88">
        <v>495</v>
      </c>
      <c r="O88">
        <v>559</v>
      </c>
      <c r="P88">
        <v>86</v>
      </c>
      <c r="Q88">
        <v>559</v>
      </c>
      <c r="U88" s="5" t="str">
        <f t="shared" si="1"/>
        <v>TRUE</v>
      </c>
      <c r="V88" s="5" t="str" cm="1">
        <f t="array" ref="V88">_xlfn.IFS(F85="M","TRUE",C85=2016,"TRUE")</f>
        <v>TRUE</v>
      </c>
      <c r="W88" s="5" t="str" cm="1">
        <f t="array" ref="W88">_xlfn.IFNA(_xlfn.IFS(F85="M","TRUE",C85=2016,"TRUE"),"FALSE")</f>
        <v>TRUE</v>
      </c>
    </row>
    <row r="89" spans="1:23" x14ac:dyDescent="0.3">
      <c r="A89">
        <v>87</v>
      </c>
      <c r="B89" s="1">
        <v>42420</v>
      </c>
      <c r="C89">
        <v>2016</v>
      </c>
      <c r="D89" t="s">
        <v>15</v>
      </c>
      <c r="E89">
        <v>40</v>
      </c>
      <c r="F89" t="s">
        <v>37</v>
      </c>
      <c r="G89" t="s">
        <v>17</v>
      </c>
      <c r="H89" t="s">
        <v>35</v>
      </c>
      <c r="I89" t="s">
        <v>19</v>
      </c>
      <c r="J89" t="s">
        <v>41</v>
      </c>
      <c r="K89">
        <v>3</v>
      </c>
      <c r="L89">
        <v>256.67</v>
      </c>
      <c r="M89">
        <v>334.33333299999998</v>
      </c>
      <c r="N89">
        <v>770</v>
      </c>
      <c r="O89">
        <v>1003</v>
      </c>
      <c r="P89">
        <v>87</v>
      </c>
      <c r="Q89">
        <v>1003</v>
      </c>
      <c r="U89" s="5" t="str">
        <f t="shared" si="1"/>
        <v>TRUE</v>
      </c>
      <c r="V89" s="5" t="str" cm="1">
        <f t="array" ref="V89">_xlfn.IFS(F86="M","TRUE",C86=2016,"TRUE")</f>
        <v>TRUE</v>
      </c>
      <c r="W89" s="5" t="str" cm="1">
        <f t="array" ref="W89">_xlfn.IFNA(_xlfn.IFS(F86="M","TRUE",C86=2016,"TRUE"),"FALSE")</f>
        <v>TRUE</v>
      </c>
    </row>
    <row r="90" spans="1:23" x14ac:dyDescent="0.3">
      <c r="A90">
        <v>88</v>
      </c>
      <c r="B90" s="1">
        <v>42216</v>
      </c>
      <c r="C90">
        <v>2015</v>
      </c>
      <c r="D90" t="s">
        <v>29</v>
      </c>
      <c r="E90">
        <v>40</v>
      </c>
      <c r="F90" t="s">
        <v>37</v>
      </c>
      <c r="G90" t="s">
        <v>17</v>
      </c>
      <c r="H90" t="s">
        <v>35</v>
      </c>
      <c r="I90" t="s">
        <v>19</v>
      </c>
      <c r="J90" t="s">
        <v>41</v>
      </c>
      <c r="K90">
        <v>1</v>
      </c>
      <c r="L90">
        <v>715</v>
      </c>
      <c r="M90">
        <v>752</v>
      </c>
      <c r="N90">
        <v>715</v>
      </c>
      <c r="O90">
        <v>752</v>
      </c>
      <c r="P90">
        <v>88</v>
      </c>
      <c r="Q90">
        <v>752</v>
      </c>
      <c r="U90" s="5" t="str">
        <f t="shared" si="1"/>
        <v>FALSE</v>
      </c>
      <c r="V90" s="5" t="e" cm="1">
        <f t="array" ref="V90">_xlfn.IFS(F87="M","TRUE",C87=2016,"TRUE")</f>
        <v>#N/A</v>
      </c>
      <c r="W90" s="5" t="str" cm="1">
        <f t="array" ref="W90">_xlfn.IFNA(_xlfn.IFS(F87="M","TRUE",C87=2016,"TRUE"),"FALSE")</f>
        <v>FALSE</v>
      </c>
    </row>
    <row r="91" spans="1:23" x14ac:dyDescent="0.3">
      <c r="A91">
        <v>89</v>
      </c>
      <c r="B91" s="1">
        <v>42413</v>
      </c>
      <c r="C91">
        <v>2016</v>
      </c>
      <c r="D91" t="s">
        <v>15</v>
      </c>
      <c r="E91">
        <v>22</v>
      </c>
      <c r="F91" t="s">
        <v>16</v>
      </c>
      <c r="G91" t="s">
        <v>17</v>
      </c>
      <c r="H91" t="s">
        <v>18</v>
      </c>
      <c r="I91" t="s">
        <v>19</v>
      </c>
      <c r="J91" t="s">
        <v>50</v>
      </c>
      <c r="K91">
        <v>1</v>
      </c>
      <c r="L91">
        <v>120</v>
      </c>
      <c r="M91">
        <v>156</v>
      </c>
      <c r="N91">
        <v>120</v>
      </c>
      <c r="O91">
        <v>156</v>
      </c>
      <c r="P91">
        <v>89</v>
      </c>
      <c r="Q91">
        <v>156</v>
      </c>
      <c r="U91" s="5" t="str">
        <f t="shared" si="1"/>
        <v>TRUE</v>
      </c>
      <c r="V91" s="5" t="str" cm="1">
        <f t="array" ref="V91">_xlfn.IFS(F88="M","TRUE",C88=2016,"TRUE")</f>
        <v>TRUE</v>
      </c>
      <c r="W91" s="5" t="str" cm="1">
        <f t="array" ref="W91">_xlfn.IFNA(_xlfn.IFS(F88="M","TRUE",C88=2016,"TRUE"),"FALSE")</f>
        <v>TRUE</v>
      </c>
    </row>
    <row r="92" spans="1:23" x14ac:dyDescent="0.3">
      <c r="A92">
        <v>90</v>
      </c>
      <c r="B92" s="1">
        <v>42558</v>
      </c>
      <c r="C92">
        <v>2016</v>
      </c>
      <c r="D92" t="s">
        <v>29</v>
      </c>
      <c r="E92">
        <v>22</v>
      </c>
      <c r="F92" t="s">
        <v>16</v>
      </c>
      <c r="G92" t="s">
        <v>17</v>
      </c>
      <c r="H92" t="s">
        <v>18</v>
      </c>
      <c r="I92" t="s">
        <v>19</v>
      </c>
      <c r="J92" t="s">
        <v>50</v>
      </c>
      <c r="K92">
        <v>1</v>
      </c>
      <c r="L92">
        <v>85</v>
      </c>
      <c r="M92">
        <v>108</v>
      </c>
      <c r="N92">
        <v>85</v>
      </c>
      <c r="O92">
        <v>108</v>
      </c>
      <c r="P92">
        <v>90</v>
      </c>
      <c r="Q92">
        <v>108</v>
      </c>
      <c r="U92" s="5" t="str">
        <f t="shared" si="1"/>
        <v>TRUE</v>
      </c>
      <c r="V92" s="5" t="str" cm="1">
        <f t="array" ref="V92">_xlfn.IFS(F89="M","TRUE",C89=2016,"TRUE")</f>
        <v>TRUE</v>
      </c>
      <c r="W92" s="5" t="str" cm="1">
        <f t="array" ref="W92">_xlfn.IFNA(_xlfn.IFS(F89="M","TRUE",C89=2016,"TRUE"),"FALSE")</f>
        <v>TRUE</v>
      </c>
    </row>
    <row r="93" spans="1:23" x14ac:dyDescent="0.3">
      <c r="A93">
        <v>91</v>
      </c>
      <c r="B93" s="1">
        <v>42559</v>
      </c>
      <c r="C93">
        <v>2016</v>
      </c>
      <c r="D93" t="s">
        <v>29</v>
      </c>
      <c r="E93">
        <v>22</v>
      </c>
      <c r="F93" t="s">
        <v>16</v>
      </c>
      <c r="G93" t="s">
        <v>17</v>
      </c>
      <c r="H93" t="s">
        <v>18</v>
      </c>
      <c r="I93" t="s">
        <v>19</v>
      </c>
      <c r="J93" t="s">
        <v>50</v>
      </c>
      <c r="K93">
        <v>2</v>
      </c>
      <c r="L93">
        <v>105</v>
      </c>
      <c r="M93">
        <v>136</v>
      </c>
      <c r="N93">
        <v>210</v>
      </c>
      <c r="O93">
        <v>272</v>
      </c>
      <c r="P93">
        <v>91</v>
      </c>
      <c r="Q93">
        <v>272</v>
      </c>
      <c r="U93" s="5" t="str">
        <f t="shared" si="1"/>
        <v>TRUE</v>
      </c>
      <c r="V93" s="5" t="str" cm="1">
        <f t="array" ref="V93">_xlfn.IFS(F90="M","TRUE",C90=2016,"TRUE")</f>
        <v>TRUE</v>
      </c>
      <c r="W93" s="5" t="str" cm="1">
        <f t="array" ref="W93">_xlfn.IFNA(_xlfn.IFS(F90="M","TRUE",C90=2016,"TRUE"),"FALSE")</f>
        <v>TRUE</v>
      </c>
    </row>
    <row r="94" spans="1:23" x14ac:dyDescent="0.3">
      <c r="A94">
        <v>92</v>
      </c>
      <c r="B94" s="1">
        <v>42201</v>
      </c>
      <c r="C94">
        <v>2015</v>
      </c>
      <c r="D94" t="s">
        <v>29</v>
      </c>
      <c r="E94">
        <v>22</v>
      </c>
      <c r="F94" t="s">
        <v>16</v>
      </c>
      <c r="G94" t="s">
        <v>17</v>
      </c>
      <c r="H94" t="s">
        <v>18</v>
      </c>
      <c r="I94" t="s">
        <v>19</v>
      </c>
      <c r="J94" t="s">
        <v>50</v>
      </c>
      <c r="K94">
        <v>1</v>
      </c>
      <c r="L94">
        <v>65</v>
      </c>
      <c r="M94">
        <v>67</v>
      </c>
      <c r="N94">
        <v>65</v>
      </c>
      <c r="O94">
        <v>67</v>
      </c>
      <c r="P94">
        <v>92</v>
      </c>
      <c r="Q94">
        <v>67</v>
      </c>
      <c r="U94" s="5" t="str">
        <f t="shared" si="1"/>
        <v>FALSE</v>
      </c>
      <c r="V94" s="5" t="str" cm="1">
        <f t="array" ref="V94">_xlfn.IFS(F91="M","TRUE",C91=2016,"TRUE")</f>
        <v>TRUE</v>
      </c>
      <c r="W94" s="5" t="str" cm="1">
        <f t="array" ref="W94">_xlfn.IFNA(_xlfn.IFS(F91="M","TRUE",C91=2016,"TRUE"),"FALSE")</f>
        <v>TRUE</v>
      </c>
    </row>
    <row r="95" spans="1:23" x14ac:dyDescent="0.3">
      <c r="A95">
        <v>93</v>
      </c>
      <c r="B95" s="1">
        <v>42201</v>
      </c>
      <c r="C95">
        <v>2015</v>
      </c>
      <c r="D95" t="s">
        <v>29</v>
      </c>
      <c r="E95">
        <v>22</v>
      </c>
      <c r="F95" t="s">
        <v>16</v>
      </c>
      <c r="G95" t="s">
        <v>17</v>
      </c>
      <c r="H95" t="s">
        <v>18</v>
      </c>
      <c r="I95" t="s">
        <v>19</v>
      </c>
      <c r="J95" t="s">
        <v>50</v>
      </c>
      <c r="K95">
        <v>2</v>
      </c>
      <c r="L95">
        <v>125</v>
      </c>
      <c r="M95">
        <v>143.5</v>
      </c>
      <c r="N95">
        <v>250</v>
      </c>
      <c r="O95">
        <v>287</v>
      </c>
      <c r="P95">
        <v>93</v>
      </c>
      <c r="Q95">
        <v>287</v>
      </c>
      <c r="U95" s="5" t="str">
        <f t="shared" si="1"/>
        <v>FALSE</v>
      </c>
      <c r="V95" s="5" t="str" cm="1">
        <f t="array" ref="V95">_xlfn.IFS(F92="M","TRUE",C92=2016,"TRUE")</f>
        <v>TRUE</v>
      </c>
      <c r="W95" s="5" t="str" cm="1">
        <f t="array" ref="W95">_xlfn.IFNA(_xlfn.IFS(F92="M","TRUE",C92=2016,"TRUE"),"FALSE")</f>
        <v>TRUE</v>
      </c>
    </row>
    <row r="96" spans="1:23" x14ac:dyDescent="0.3">
      <c r="A96">
        <v>94</v>
      </c>
      <c r="B96" s="1">
        <v>42201</v>
      </c>
      <c r="C96">
        <v>2015</v>
      </c>
      <c r="D96" t="s">
        <v>29</v>
      </c>
      <c r="E96">
        <v>22</v>
      </c>
      <c r="F96" t="s">
        <v>16</v>
      </c>
      <c r="G96" t="s">
        <v>17</v>
      </c>
      <c r="H96" t="s">
        <v>18</v>
      </c>
      <c r="I96" t="s">
        <v>23</v>
      </c>
      <c r="J96" t="s">
        <v>42</v>
      </c>
      <c r="K96">
        <v>3</v>
      </c>
      <c r="L96">
        <v>414</v>
      </c>
      <c r="M96">
        <v>437.66666700000002</v>
      </c>
      <c r="N96">
        <v>1242</v>
      </c>
      <c r="O96">
        <v>1313</v>
      </c>
      <c r="P96">
        <v>94</v>
      </c>
      <c r="Q96">
        <v>1313</v>
      </c>
      <c r="U96" s="5" t="str">
        <f t="shared" si="1"/>
        <v>FALSE</v>
      </c>
      <c r="V96" s="5" t="str" cm="1">
        <f t="array" ref="V96">_xlfn.IFS(F93="M","TRUE",C93=2016,"TRUE")</f>
        <v>TRUE</v>
      </c>
      <c r="W96" s="5" t="str" cm="1">
        <f t="array" ref="W96">_xlfn.IFNA(_xlfn.IFS(F93="M","TRUE",C93=2016,"TRUE"),"FALSE")</f>
        <v>TRUE</v>
      </c>
    </row>
    <row r="97" spans="1:23" x14ac:dyDescent="0.3">
      <c r="A97">
        <v>95</v>
      </c>
      <c r="B97" s="1">
        <v>42251</v>
      </c>
      <c r="C97">
        <v>2015</v>
      </c>
      <c r="D97" t="s">
        <v>31</v>
      </c>
      <c r="E97">
        <v>22</v>
      </c>
      <c r="F97" t="s">
        <v>16</v>
      </c>
      <c r="G97" t="s">
        <v>17</v>
      </c>
      <c r="H97" t="s">
        <v>18</v>
      </c>
      <c r="I97" t="s">
        <v>23</v>
      </c>
      <c r="J97" t="s">
        <v>42</v>
      </c>
      <c r="K97">
        <v>2</v>
      </c>
      <c r="L97">
        <v>486</v>
      </c>
      <c r="M97">
        <v>535.5</v>
      </c>
      <c r="N97">
        <v>972</v>
      </c>
      <c r="O97">
        <v>1071</v>
      </c>
      <c r="P97">
        <v>95</v>
      </c>
      <c r="Q97">
        <v>1071</v>
      </c>
      <c r="U97" s="5" t="str">
        <f t="shared" si="1"/>
        <v>FALSE</v>
      </c>
      <c r="V97" s="5" t="e" cm="1">
        <f t="array" ref="V97">_xlfn.IFS(F94="M","TRUE",C94=2016,"TRUE")</f>
        <v>#N/A</v>
      </c>
      <c r="W97" s="5" t="str" cm="1">
        <f t="array" ref="W97">_xlfn.IFNA(_xlfn.IFS(F94="M","TRUE",C94=2016,"TRUE"),"FALSE")</f>
        <v>FALSE</v>
      </c>
    </row>
    <row r="98" spans="1:23" x14ac:dyDescent="0.3">
      <c r="A98">
        <v>96</v>
      </c>
      <c r="B98" s="1">
        <v>42253</v>
      </c>
      <c r="C98">
        <v>2015</v>
      </c>
      <c r="D98" t="s">
        <v>31</v>
      </c>
      <c r="E98">
        <v>22</v>
      </c>
      <c r="F98" t="s">
        <v>16</v>
      </c>
      <c r="G98" t="s">
        <v>17</v>
      </c>
      <c r="H98" t="s">
        <v>18</v>
      </c>
      <c r="I98" t="s">
        <v>19</v>
      </c>
      <c r="J98" t="s">
        <v>50</v>
      </c>
      <c r="K98">
        <v>2</v>
      </c>
      <c r="L98">
        <v>25</v>
      </c>
      <c r="M98">
        <v>26.5</v>
      </c>
      <c r="N98">
        <v>50</v>
      </c>
      <c r="O98">
        <v>53</v>
      </c>
      <c r="P98">
        <v>96</v>
      </c>
      <c r="Q98">
        <v>53</v>
      </c>
      <c r="U98" s="5" t="str">
        <f t="shared" si="1"/>
        <v>FALSE</v>
      </c>
      <c r="V98" s="5" t="e" cm="1">
        <f t="array" ref="V98">_xlfn.IFS(F95="M","TRUE",C95=2016,"TRUE")</f>
        <v>#N/A</v>
      </c>
      <c r="W98" s="5" t="str" cm="1">
        <f t="array" ref="W98">_xlfn.IFNA(_xlfn.IFS(F95="M","TRUE",C95=2016,"TRUE"),"FALSE")</f>
        <v>FALSE</v>
      </c>
    </row>
    <row r="99" spans="1:23" x14ac:dyDescent="0.3">
      <c r="A99">
        <v>97</v>
      </c>
      <c r="B99" s="1">
        <v>42299</v>
      </c>
      <c r="C99">
        <v>2015</v>
      </c>
      <c r="D99" t="s">
        <v>32</v>
      </c>
      <c r="E99">
        <v>22</v>
      </c>
      <c r="F99" t="s">
        <v>16</v>
      </c>
      <c r="G99" t="s">
        <v>17</v>
      </c>
      <c r="H99" t="s">
        <v>18</v>
      </c>
      <c r="I99" t="s">
        <v>19</v>
      </c>
      <c r="J99" t="s">
        <v>50</v>
      </c>
      <c r="K99">
        <v>1</v>
      </c>
      <c r="L99">
        <v>189</v>
      </c>
      <c r="M99">
        <v>179</v>
      </c>
      <c r="N99">
        <v>189</v>
      </c>
      <c r="O99">
        <v>179</v>
      </c>
      <c r="P99">
        <v>97</v>
      </c>
      <c r="Q99">
        <v>179</v>
      </c>
      <c r="U99" s="5" t="str">
        <f t="shared" si="1"/>
        <v>FALSE</v>
      </c>
      <c r="V99" s="5" t="e" cm="1">
        <f t="array" ref="V99">_xlfn.IFS(F96="M","TRUE",C96=2016,"TRUE")</f>
        <v>#N/A</v>
      </c>
      <c r="W99" s="5" t="str" cm="1">
        <f t="array" ref="W99">_xlfn.IFNA(_xlfn.IFS(F96="M","TRUE",C96=2016,"TRUE"),"FALSE")</f>
        <v>FALSE</v>
      </c>
    </row>
    <row r="100" spans="1:23" x14ac:dyDescent="0.3">
      <c r="A100">
        <v>98</v>
      </c>
      <c r="B100" s="1">
        <v>42299</v>
      </c>
      <c r="C100">
        <v>2015</v>
      </c>
      <c r="D100" t="s">
        <v>32</v>
      </c>
      <c r="E100">
        <v>22</v>
      </c>
      <c r="F100" t="s">
        <v>16</v>
      </c>
      <c r="G100" t="s">
        <v>17</v>
      </c>
      <c r="H100" t="s">
        <v>18</v>
      </c>
      <c r="I100" t="s">
        <v>19</v>
      </c>
      <c r="J100" t="s">
        <v>50</v>
      </c>
      <c r="K100">
        <v>3</v>
      </c>
      <c r="L100">
        <v>6.67</v>
      </c>
      <c r="M100">
        <v>7</v>
      </c>
      <c r="N100">
        <v>20</v>
      </c>
      <c r="O100">
        <v>21</v>
      </c>
      <c r="P100">
        <v>98</v>
      </c>
      <c r="Q100">
        <v>21</v>
      </c>
      <c r="U100" s="5" t="str">
        <f t="shared" si="1"/>
        <v>FALSE</v>
      </c>
      <c r="V100" s="5" t="e" cm="1">
        <f t="array" ref="V100">_xlfn.IFS(F97="M","TRUE",C97=2016,"TRUE")</f>
        <v>#N/A</v>
      </c>
      <c r="W100" s="5" t="str" cm="1">
        <f t="array" ref="W100">_xlfn.IFNA(_xlfn.IFS(F97="M","TRUE",C97=2016,"TRUE"),"FALSE")</f>
        <v>FALSE</v>
      </c>
    </row>
    <row r="101" spans="1:23" x14ac:dyDescent="0.3">
      <c r="A101">
        <v>99</v>
      </c>
      <c r="B101" s="1">
        <v>42359</v>
      </c>
      <c r="C101">
        <v>2015</v>
      </c>
      <c r="D101" t="s">
        <v>34</v>
      </c>
      <c r="E101">
        <v>22</v>
      </c>
      <c r="F101" t="s">
        <v>16</v>
      </c>
      <c r="G101" t="s">
        <v>17</v>
      </c>
      <c r="H101" t="s">
        <v>18</v>
      </c>
      <c r="I101" t="s">
        <v>23</v>
      </c>
      <c r="J101" t="s">
        <v>42</v>
      </c>
      <c r="K101">
        <v>1</v>
      </c>
      <c r="L101">
        <v>150</v>
      </c>
      <c r="M101">
        <v>159</v>
      </c>
      <c r="N101">
        <v>150</v>
      </c>
      <c r="O101">
        <v>159</v>
      </c>
      <c r="P101">
        <v>99</v>
      </c>
      <c r="Q101">
        <v>159</v>
      </c>
      <c r="U101" s="5" t="str">
        <f t="shared" si="1"/>
        <v>FALSE</v>
      </c>
      <c r="V101" s="5" t="e" cm="1">
        <f t="array" ref="V101">_xlfn.IFS(F98="M","TRUE",C98=2016,"TRUE")</f>
        <v>#N/A</v>
      </c>
      <c r="W101" s="5" t="str" cm="1">
        <f t="array" ref="W101">_xlfn.IFNA(_xlfn.IFS(F98="M","TRUE",C98=2016,"TRUE"),"FALSE")</f>
        <v>FALSE</v>
      </c>
    </row>
    <row r="102" spans="1:23" x14ac:dyDescent="0.3">
      <c r="A102">
        <v>100</v>
      </c>
      <c r="B102" s="1">
        <v>42198</v>
      </c>
      <c r="C102">
        <v>2015</v>
      </c>
      <c r="D102" t="s">
        <v>29</v>
      </c>
      <c r="E102">
        <v>22</v>
      </c>
      <c r="F102" t="s">
        <v>16</v>
      </c>
      <c r="G102" t="s">
        <v>17</v>
      </c>
      <c r="H102" t="s">
        <v>18</v>
      </c>
      <c r="I102" t="s">
        <v>38</v>
      </c>
      <c r="J102" t="s">
        <v>39</v>
      </c>
      <c r="K102">
        <v>2</v>
      </c>
      <c r="L102">
        <v>1147.5</v>
      </c>
      <c r="M102">
        <v>1077</v>
      </c>
      <c r="N102">
        <v>2295</v>
      </c>
      <c r="O102">
        <v>2154</v>
      </c>
      <c r="P102">
        <v>100</v>
      </c>
      <c r="Q102">
        <v>2154</v>
      </c>
      <c r="U102" s="5" t="str">
        <f t="shared" si="1"/>
        <v>FALSE</v>
      </c>
      <c r="V102" s="5" t="e" cm="1">
        <f t="array" ref="V102">_xlfn.IFS(F99="M","TRUE",C99=2016,"TRUE")</f>
        <v>#N/A</v>
      </c>
      <c r="W102" s="5" t="str" cm="1">
        <f t="array" ref="W102">_xlfn.IFNA(_xlfn.IFS(F99="M","TRUE",C99=2016,"TRUE"),"FALSE")</f>
        <v>FALSE</v>
      </c>
    </row>
    <row r="103" spans="1:23" x14ac:dyDescent="0.3">
      <c r="A103">
        <v>101</v>
      </c>
      <c r="B103" s="1">
        <v>42201</v>
      </c>
      <c r="C103">
        <v>2015</v>
      </c>
      <c r="D103" t="s">
        <v>29</v>
      </c>
      <c r="E103">
        <v>22</v>
      </c>
      <c r="F103" t="s">
        <v>16</v>
      </c>
      <c r="G103" t="s">
        <v>17</v>
      </c>
      <c r="H103" t="s">
        <v>18</v>
      </c>
      <c r="I103" t="s">
        <v>38</v>
      </c>
      <c r="J103" t="s">
        <v>39</v>
      </c>
      <c r="K103">
        <v>3</v>
      </c>
      <c r="L103">
        <v>765</v>
      </c>
      <c r="M103">
        <v>712.33333300000004</v>
      </c>
      <c r="N103">
        <v>2295</v>
      </c>
      <c r="O103">
        <v>2137</v>
      </c>
      <c r="P103">
        <v>101</v>
      </c>
      <c r="Q103">
        <v>2137</v>
      </c>
      <c r="U103" s="5" t="str">
        <f t="shared" si="1"/>
        <v>FALSE</v>
      </c>
      <c r="V103" s="5" t="e" cm="1">
        <f t="array" ref="V103">_xlfn.IFS(F100="M","TRUE",C100=2016,"TRUE")</f>
        <v>#N/A</v>
      </c>
      <c r="W103" s="5" t="str" cm="1">
        <f t="array" ref="W103">_xlfn.IFNA(_xlfn.IFS(F100="M","TRUE",C100=2016,"TRUE"),"FALSE")</f>
        <v>FALSE</v>
      </c>
    </row>
    <row r="104" spans="1:23" x14ac:dyDescent="0.3">
      <c r="A104">
        <v>102</v>
      </c>
      <c r="B104" s="1">
        <v>42413</v>
      </c>
      <c r="C104">
        <v>2016</v>
      </c>
      <c r="D104" t="s">
        <v>15</v>
      </c>
      <c r="E104">
        <v>19</v>
      </c>
      <c r="F104" t="s">
        <v>16</v>
      </c>
      <c r="G104" t="s">
        <v>17</v>
      </c>
      <c r="H104" t="s">
        <v>35</v>
      </c>
      <c r="I104" t="s">
        <v>19</v>
      </c>
      <c r="J104" t="s">
        <v>20</v>
      </c>
      <c r="K104">
        <v>1</v>
      </c>
      <c r="L104">
        <v>96</v>
      </c>
      <c r="M104">
        <v>105</v>
      </c>
      <c r="N104">
        <v>96</v>
      </c>
      <c r="O104">
        <v>105</v>
      </c>
      <c r="P104">
        <v>102</v>
      </c>
      <c r="Q104">
        <v>105</v>
      </c>
      <c r="U104" s="5" t="str">
        <f t="shared" si="1"/>
        <v>FALSE</v>
      </c>
      <c r="V104" s="5" t="e" cm="1">
        <f t="array" ref="V104">_xlfn.IFS(F101="M","TRUE",C101=2016,"TRUE")</f>
        <v>#N/A</v>
      </c>
      <c r="W104" s="5" t="str" cm="1">
        <f t="array" ref="W104">_xlfn.IFNA(_xlfn.IFS(F101="M","TRUE",C101=2016,"TRUE"),"FALSE")</f>
        <v>FALSE</v>
      </c>
    </row>
    <row r="105" spans="1:23" x14ac:dyDescent="0.3">
      <c r="A105">
        <v>103</v>
      </c>
      <c r="B105" s="1">
        <v>42451</v>
      </c>
      <c r="C105">
        <v>2016</v>
      </c>
      <c r="D105" t="s">
        <v>25</v>
      </c>
      <c r="E105">
        <v>19</v>
      </c>
      <c r="F105" t="s">
        <v>16</v>
      </c>
      <c r="G105" t="s">
        <v>17</v>
      </c>
      <c r="H105" t="s">
        <v>35</v>
      </c>
      <c r="I105" t="s">
        <v>19</v>
      </c>
      <c r="J105" t="s">
        <v>20</v>
      </c>
      <c r="K105">
        <v>1</v>
      </c>
      <c r="L105">
        <v>100</v>
      </c>
      <c r="M105">
        <v>113</v>
      </c>
      <c r="N105">
        <v>100</v>
      </c>
      <c r="O105">
        <v>113</v>
      </c>
      <c r="P105">
        <v>103</v>
      </c>
      <c r="Q105">
        <v>113</v>
      </c>
      <c r="U105" s="5" t="str">
        <f t="shared" si="1"/>
        <v>FALSE</v>
      </c>
      <c r="V105" s="5" t="e" cm="1">
        <f t="array" ref="V105">_xlfn.IFS(F102="M","TRUE",C102=2016,"TRUE")</f>
        <v>#N/A</v>
      </c>
      <c r="W105" s="5" t="str" cm="1">
        <f t="array" ref="W105">_xlfn.IFNA(_xlfn.IFS(F102="M","TRUE",C102=2016,"TRUE"),"FALSE")</f>
        <v>FALSE</v>
      </c>
    </row>
    <row r="106" spans="1:23" x14ac:dyDescent="0.3">
      <c r="A106">
        <v>104</v>
      </c>
      <c r="B106" s="1">
        <v>42493</v>
      </c>
      <c r="C106">
        <v>2016</v>
      </c>
      <c r="D106" t="s">
        <v>43</v>
      </c>
      <c r="E106">
        <v>19</v>
      </c>
      <c r="F106" t="s">
        <v>16</v>
      </c>
      <c r="G106" t="s">
        <v>17</v>
      </c>
      <c r="H106" t="s">
        <v>35</v>
      </c>
      <c r="I106" t="s">
        <v>19</v>
      </c>
      <c r="J106" t="s">
        <v>20</v>
      </c>
      <c r="K106">
        <v>2</v>
      </c>
      <c r="L106">
        <v>24</v>
      </c>
      <c r="M106">
        <v>28</v>
      </c>
      <c r="N106">
        <v>48</v>
      </c>
      <c r="O106">
        <v>56</v>
      </c>
      <c r="P106">
        <v>104</v>
      </c>
      <c r="Q106">
        <v>56</v>
      </c>
      <c r="U106" s="5" t="str">
        <f t="shared" si="1"/>
        <v>FALSE</v>
      </c>
      <c r="V106" s="5" t="e" cm="1">
        <f t="array" ref="V106">_xlfn.IFS(F103="M","TRUE",C103=2016,"TRUE")</f>
        <v>#N/A</v>
      </c>
      <c r="W106" s="5" t="str" cm="1">
        <f t="array" ref="W106">_xlfn.IFNA(_xlfn.IFS(F103="M","TRUE",C103=2016,"TRUE"),"FALSE")</f>
        <v>FALSE</v>
      </c>
    </row>
    <row r="107" spans="1:23" x14ac:dyDescent="0.3">
      <c r="A107">
        <v>105</v>
      </c>
      <c r="B107" s="1">
        <v>42510</v>
      </c>
      <c r="C107">
        <v>2016</v>
      </c>
      <c r="D107" t="s">
        <v>43</v>
      </c>
      <c r="E107">
        <v>19</v>
      </c>
      <c r="F107" t="s">
        <v>16</v>
      </c>
      <c r="G107" t="s">
        <v>17</v>
      </c>
      <c r="H107" t="s">
        <v>35</v>
      </c>
      <c r="I107" t="s">
        <v>19</v>
      </c>
      <c r="J107" t="s">
        <v>20</v>
      </c>
      <c r="K107">
        <v>2</v>
      </c>
      <c r="L107">
        <v>30</v>
      </c>
      <c r="M107">
        <v>35.5</v>
      </c>
      <c r="N107">
        <v>60</v>
      </c>
      <c r="O107">
        <v>71</v>
      </c>
      <c r="P107">
        <v>105</v>
      </c>
      <c r="Q107">
        <v>71</v>
      </c>
      <c r="U107" s="5" t="str">
        <f t="shared" si="1"/>
        <v>FALSE</v>
      </c>
      <c r="V107" s="5" t="str" cm="1">
        <f t="array" ref="V107">_xlfn.IFS(F104="M","TRUE",C104=2016,"TRUE")</f>
        <v>TRUE</v>
      </c>
      <c r="W107" s="5" t="str" cm="1">
        <f t="array" ref="W107">_xlfn.IFNA(_xlfn.IFS(F104="M","TRUE",C104=2016,"TRUE"),"FALSE")</f>
        <v>TRUE</v>
      </c>
    </row>
    <row r="108" spans="1:23" x14ac:dyDescent="0.3">
      <c r="A108">
        <v>106</v>
      </c>
      <c r="B108" s="1">
        <v>42549</v>
      </c>
      <c r="C108">
        <v>2016</v>
      </c>
      <c r="D108" t="s">
        <v>27</v>
      </c>
      <c r="E108">
        <v>19</v>
      </c>
      <c r="F108" t="s">
        <v>16</v>
      </c>
      <c r="G108" t="s">
        <v>17</v>
      </c>
      <c r="H108" t="s">
        <v>35</v>
      </c>
      <c r="I108" t="s">
        <v>19</v>
      </c>
      <c r="J108" t="s">
        <v>20</v>
      </c>
      <c r="K108">
        <v>1</v>
      </c>
      <c r="L108">
        <v>50</v>
      </c>
      <c r="M108">
        <v>54</v>
      </c>
      <c r="N108">
        <v>50</v>
      </c>
      <c r="O108">
        <v>54</v>
      </c>
      <c r="P108">
        <v>106</v>
      </c>
      <c r="Q108">
        <v>54</v>
      </c>
      <c r="U108" s="5" t="str">
        <f t="shared" si="1"/>
        <v>FALSE</v>
      </c>
      <c r="V108" s="5" t="str" cm="1">
        <f t="array" ref="V108">_xlfn.IFS(F105="M","TRUE",C105=2016,"TRUE")</f>
        <v>TRUE</v>
      </c>
      <c r="W108" s="5" t="str" cm="1">
        <f t="array" ref="W108">_xlfn.IFNA(_xlfn.IFS(F105="M","TRUE",C105=2016,"TRUE"),"FALSE")</f>
        <v>TRUE</v>
      </c>
    </row>
    <row r="109" spans="1:23" x14ac:dyDescent="0.3">
      <c r="A109">
        <v>107</v>
      </c>
      <c r="B109" s="1">
        <v>42554</v>
      </c>
      <c r="C109">
        <v>2016</v>
      </c>
      <c r="D109" t="s">
        <v>29</v>
      </c>
      <c r="E109">
        <v>19</v>
      </c>
      <c r="F109" t="s">
        <v>16</v>
      </c>
      <c r="G109" t="s">
        <v>17</v>
      </c>
      <c r="H109" t="s">
        <v>35</v>
      </c>
      <c r="I109" t="s">
        <v>19</v>
      </c>
      <c r="J109" t="s">
        <v>20</v>
      </c>
      <c r="K109">
        <v>2</v>
      </c>
      <c r="L109">
        <v>70</v>
      </c>
      <c r="M109">
        <v>92.5</v>
      </c>
      <c r="N109">
        <v>140</v>
      </c>
      <c r="O109">
        <v>185</v>
      </c>
      <c r="P109">
        <v>107</v>
      </c>
      <c r="Q109">
        <v>185</v>
      </c>
      <c r="U109" s="5" t="str">
        <f t="shared" si="1"/>
        <v>FALSE</v>
      </c>
      <c r="V109" s="5" t="str" cm="1">
        <f t="array" ref="V109">_xlfn.IFS(F106="M","TRUE",C106=2016,"TRUE")</f>
        <v>TRUE</v>
      </c>
      <c r="W109" s="5" t="str" cm="1">
        <f t="array" ref="W109">_xlfn.IFNA(_xlfn.IFS(F106="M","TRUE",C106=2016,"TRUE"),"FALSE")</f>
        <v>TRUE</v>
      </c>
    </row>
    <row r="110" spans="1:23" x14ac:dyDescent="0.3">
      <c r="A110">
        <v>108</v>
      </c>
      <c r="B110" s="1">
        <v>42554</v>
      </c>
      <c r="C110">
        <v>2016</v>
      </c>
      <c r="D110" t="s">
        <v>29</v>
      </c>
      <c r="E110">
        <v>19</v>
      </c>
      <c r="F110" t="s">
        <v>16</v>
      </c>
      <c r="G110" t="s">
        <v>17</v>
      </c>
      <c r="H110" t="s">
        <v>35</v>
      </c>
      <c r="I110" t="s">
        <v>19</v>
      </c>
      <c r="J110" t="s">
        <v>20</v>
      </c>
      <c r="K110">
        <v>1</v>
      </c>
      <c r="L110">
        <v>40</v>
      </c>
      <c r="M110">
        <v>48</v>
      </c>
      <c r="N110">
        <v>40</v>
      </c>
      <c r="O110">
        <v>48</v>
      </c>
      <c r="P110">
        <v>108</v>
      </c>
      <c r="Q110">
        <v>48</v>
      </c>
      <c r="U110" s="5" t="str">
        <f t="shared" si="1"/>
        <v>FALSE</v>
      </c>
      <c r="V110" s="5" t="str" cm="1">
        <f t="array" ref="V110">_xlfn.IFS(F107="M","TRUE",C107=2016,"TRUE")</f>
        <v>TRUE</v>
      </c>
      <c r="W110" s="5" t="str" cm="1">
        <f t="array" ref="W110">_xlfn.IFNA(_xlfn.IFS(F107="M","TRUE",C107=2016,"TRUE"),"FALSE")</f>
        <v>TRUE</v>
      </c>
    </row>
    <row r="111" spans="1:23" x14ac:dyDescent="0.3">
      <c r="A111">
        <v>109</v>
      </c>
      <c r="B111" s="1">
        <v>42224</v>
      </c>
      <c r="C111">
        <v>2015</v>
      </c>
      <c r="D111" t="s">
        <v>30</v>
      </c>
      <c r="E111">
        <v>19</v>
      </c>
      <c r="F111" t="s">
        <v>16</v>
      </c>
      <c r="G111" t="s">
        <v>17</v>
      </c>
      <c r="H111" t="s">
        <v>35</v>
      </c>
      <c r="I111" t="s">
        <v>19</v>
      </c>
      <c r="J111" t="s">
        <v>20</v>
      </c>
      <c r="K111">
        <v>3</v>
      </c>
      <c r="L111">
        <v>290</v>
      </c>
      <c r="M111">
        <v>341</v>
      </c>
      <c r="N111">
        <v>870</v>
      </c>
      <c r="O111">
        <v>1023</v>
      </c>
      <c r="P111">
        <v>109</v>
      </c>
      <c r="Q111">
        <v>1023</v>
      </c>
      <c r="U111" s="5" t="str">
        <f t="shared" si="1"/>
        <v>FALSE</v>
      </c>
      <c r="V111" s="5" t="str" cm="1">
        <f t="array" ref="V111">_xlfn.IFS(F108="M","TRUE",C108=2016,"TRUE")</f>
        <v>TRUE</v>
      </c>
      <c r="W111" s="5" t="str" cm="1">
        <f t="array" ref="W111">_xlfn.IFNA(_xlfn.IFS(F108="M","TRUE",C108=2016,"TRUE"),"FALSE")</f>
        <v>TRUE</v>
      </c>
    </row>
    <row r="112" spans="1:23" x14ac:dyDescent="0.3">
      <c r="A112">
        <v>110</v>
      </c>
      <c r="B112" s="1">
        <v>42224</v>
      </c>
      <c r="C112">
        <v>2015</v>
      </c>
      <c r="D112" t="s">
        <v>30</v>
      </c>
      <c r="E112">
        <v>19</v>
      </c>
      <c r="F112" t="s">
        <v>16</v>
      </c>
      <c r="G112" t="s">
        <v>17</v>
      </c>
      <c r="H112" t="s">
        <v>35</v>
      </c>
      <c r="I112" t="s">
        <v>19</v>
      </c>
      <c r="J112" t="s">
        <v>20</v>
      </c>
      <c r="K112">
        <v>3</v>
      </c>
      <c r="L112">
        <v>1.67</v>
      </c>
      <c r="M112">
        <v>2</v>
      </c>
      <c r="N112">
        <v>5</v>
      </c>
      <c r="O112">
        <v>6</v>
      </c>
      <c r="P112">
        <v>110</v>
      </c>
      <c r="Q112">
        <v>6</v>
      </c>
      <c r="U112" s="5" t="str">
        <f t="shared" si="1"/>
        <v>FALSE</v>
      </c>
      <c r="V112" s="5" t="str" cm="1">
        <f t="array" ref="V112">_xlfn.IFS(F109="M","TRUE",C109=2016,"TRUE")</f>
        <v>TRUE</v>
      </c>
      <c r="W112" s="5" t="str" cm="1">
        <f t="array" ref="W112">_xlfn.IFNA(_xlfn.IFS(F109="M","TRUE",C109=2016,"TRUE"),"FALSE")</f>
        <v>TRUE</v>
      </c>
    </row>
    <row r="113" spans="1:23" x14ac:dyDescent="0.3">
      <c r="A113">
        <v>111</v>
      </c>
      <c r="B113" s="1">
        <v>42224</v>
      </c>
      <c r="C113">
        <v>2015</v>
      </c>
      <c r="D113" t="s">
        <v>30</v>
      </c>
      <c r="E113">
        <v>19</v>
      </c>
      <c r="F113" t="s">
        <v>16</v>
      </c>
      <c r="G113" t="s">
        <v>17</v>
      </c>
      <c r="H113" t="s">
        <v>35</v>
      </c>
      <c r="I113" t="s">
        <v>19</v>
      </c>
      <c r="J113" t="s">
        <v>20</v>
      </c>
      <c r="K113">
        <v>3</v>
      </c>
      <c r="L113">
        <v>0.67</v>
      </c>
      <c r="M113">
        <v>0.66666700000000001</v>
      </c>
      <c r="N113">
        <v>2</v>
      </c>
      <c r="O113">
        <v>2</v>
      </c>
      <c r="P113">
        <v>111</v>
      </c>
      <c r="Q113">
        <v>2</v>
      </c>
      <c r="U113" s="5" t="str">
        <f t="shared" si="1"/>
        <v>FALSE</v>
      </c>
      <c r="V113" s="5" t="str" cm="1">
        <f t="array" ref="V113">_xlfn.IFS(F110="M","TRUE",C110=2016,"TRUE")</f>
        <v>TRUE</v>
      </c>
      <c r="W113" s="5" t="str" cm="1">
        <f t="array" ref="W113">_xlfn.IFNA(_xlfn.IFS(F110="M","TRUE",C110=2016,"TRUE"),"FALSE")</f>
        <v>TRUE</v>
      </c>
    </row>
    <row r="114" spans="1:23" x14ac:dyDescent="0.3">
      <c r="A114">
        <v>112</v>
      </c>
      <c r="B114" s="1">
        <v>42304</v>
      </c>
      <c r="C114">
        <v>2015</v>
      </c>
      <c r="D114" t="s">
        <v>32</v>
      </c>
      <c r="E114">
        <v>19</v>
      </c>
      <c r="F114" t="s">
        <v>16</v>
      </c>
      <c r="G114" t="s">
        <v>17</v>
      </c>
      <c r="H114" t="s">
        <v>35</v>
      </c>
      <c r="I114" t="s">
        <v>19</v>
      </c>
      <c r="J114" t="s">
        <v>20</v>
      </c>
      <c r="K114">
        <v>3</v>
      </c>
      <c r="L114">
        <v>83.33</v>
      </c>
      <c r="M114">
        <v>86.333332999999996</v>
      </c>
      <c r="N114">
        <v>250</v>
      </c>
      <c r="O114">
        <v>259</v>
      </c>
      <c r="P114">
        <v>112</v>
      </c>
      <c r="Q114">
        <v>259</v>
      </c>
      <c r="U114" s="5" t="str">
        <f t="shared" si="1"/>
        <v>FALSE</v>
      </c>
      <c r="V114" s="5" t="e" cm="1">
        <f t="array" ref="V114">_xlfn.IFS(F111="M","TRUE",C111=2016,"TRUE")</f>
        <v>#N/A</v>
      </c>
      <c r="W114" s="5" t="str" cm="1">
        <f t="array" ref="W114">_xlfn.IFNA(_xlfn.IFS(F111="M","TRUE",C111=2016,"TRUE"),"FALSE")</f>
        <v>FALSE</v>
      </c>
    </row>
    <row r="115" spans="1:23" x14ac:dyDescent="0.3">
      <c r="A115">
        <v>113</v>
      </c>
      <c r="B115" s="1">
        <v>42304</v>
      </c>
      <c r="C115">
        <v>2015</v>
      </c>
      <c r="D115" t="s">
        <v>32</v>
      </c>
      <c r="E115">
        <v>19</v>
      </c>
      <c r="F115" t="s">
        <v>16</v>
      </c>
      <c r="G115" t="s">
        <v>17</v>
      </c>
      <c r="H115" t="s">
        <v>35</v>
      </c>
      <c r="I115" t="s">
        <v>19</v>
      </c>
      <c r="J115" t="s">
        <v>20</v>
      </c>
      <c r="K115">
        <v>1</v>
      </c>
      <c r="L115">
        <v>27</v>
      </c>
      <c r="M115">
        <v>29</v>
      </c>
      <c r="N115">
        <v>27</v>
      </c>
      <c r="O115">
        <v>29</v>
      </c>
      <c r="P115">
        <v>113</v>
      </c>
      <c r="Q115">
        <v>29</v>
      </c>
      <c r="U115" s="5" t="str">
        <f t="shared" si="1"/>
        <v>FALSE</v>
      </c>
      <c r="V115" s="5" t="e" cm="1">
        <f t="array" ref="V115">_xlfn.IFS(F112="M","TRUE",C112=2016,"TRUE")</f>
        <v>#N/A</v>
      </c>
      <c r="W115" s="5" t="str" cm="1">
        <f t="array" ref="W115">_xlfn.IFNA(_xlfn.IFS(F112="M","TRUE",C112=2016,"TRUE"),"FALSE")</f>
        <v>FALSE</v>
      </c>
    </row>
    <row r="116" spans="1:23" x14ac:dyDescent="0.3">
      <c r="A116">
        <v>114</v>
      </c>
      <c r="B116" s="1">
        <v>42308</v>
      </c>
      <c r="C116">
        <v>2015</v>
      </c>
      <c r="D116" t="s">
        <v>32</v>
      </c>
      <c r="E116">
        <v>19</v>
      </c>
      <c r="F116" t="s">
        <v>16</v>
      </c>
      <c r="G116" t="s">
        <v>17</v>
      </c>
      <c r="H116" t="s">
        <v>35</v>
      </c>
      <c r="I116" t="s">
        <v>19</v>
      </c>
      <c r="J116" t="s">
        <v>20</v>
      </c>
      <c r="K116">
        <v>3</v>
      </c>
      <c r="L116">
        <v>163.33000000000001</v>
      </c>
      <c r="M116">
        <v>173.33333300000001</v>
      </c>
      <c r="N116">
        <v>490</v>
      </c>
      <c r="O116">
        <v>520</v>
      </c>
      <c r="P116">
        <v>114</v>
      </c>
      <c r="Q116">
        <v>520</v>
      </c>
      <c r="U116" s="5" t="str">
        <f t="shared" si="1"/>
        <v>FALSE</v>
      </c>
      <c r="V116" s="5" t="e" cm="1">
        <f t="array" ref="V116">_xlfn.IFS(F113="M","TRUE",C113=2016,"TRUE")</f>
        <v>#N/A</v>
      </c>
      <c r="W116" s="5" t="str" cm="1">
        <f t="array" ref="W116">_xlfn.IFNA(_xlfn.IFS(F113="M","TRUE",C113=2016,"TRUE"),"FALSE")</f>
        <v>FALSE</v>
      </c>
    </row>
    <row r="117" spans="1:23" x14ac:dyDescent="0.3">
      <c r="A117">
        <v>115</v>
      </c>
      <c r="B117" s="1">
        <v>42308</v>
      </c>
      <c r="C117">
        <v>2015</v>
      </c>
      <c r="D117" t="s">
        <v>32</v>
      </c>
      <c r="E117">
        <v>19</v>
      </c>
      <c r="F117" t="s">
        <v>16</v>
      </c>
      <c r="G117" t="s">
        <v>17</v>
      </c>
      <c r="H117" t="s">
        <v>35</v>
      </c>
      <c r="I117" t="s">
        <v>19</v>
      </c>
      <c r="J117" t="s">
        <v>20</v>
      </c>
      <c r="K117">
        <v>2</v>
      </c>
      <c r="L117">
        <v>42.5</v>
      </c>
      <c r="M117">
        <v>47</v>
      </c>
      <c r="N117">
        <v>85</v>
      </c>
      <c r="O117">
        <v>94</v>
      </c>
      <c r="P117">
        <v>115</v>
      </c>
      <c r="Q117">
        <v>94</v>
      </c>
      <c r="U117" s="5" t="str">
        <f t="shared" si="1"/>
        <v>FALSE</v>
      </c>
      <c r="V117" s="5" t="e" cm="1">
        <f t="array" ref="V117">_xlfn.IFS(F114="M","TRUE",C114=2016,"TRUE")</f>
        <v>#N/A</v>
      </c>
      <c r="W117" s="5" t="str" cm="1">
        <f t="array" ref="W117">_xlfn.IFNA(_xlfn.IFS(F114="M","TRUE",C114=2016,"TRUE"),"FALSE")</f>
        <v>FALSE</v>
      </c>
    </row>
    <row r="118" spans="1:23" x14ac:dyDescent="0.3">
      <c r="A118">
        <v>116</v>
      </c>
      <c r="B118" s="1">
        <v>42308</v>
      </c>
      <c r="C118">
        <v>2015</v>
      </c>
      <c r="D118" t="s">
        <v>32</v>
      </c>
      <c r="E118">
        <v>19</v>
      </c>
      <c r="F118" t="s">
        <v>16</v>
      </c>
      <c r="G118" t="s">
        <v>17</v>
      </c>
      <c r="H118" t="s">
        <v>35</v>
      </c>
      <c r="I118" t="s">
        <v>19</v>
      </c>
      <c r="J118" t="s">
        <v>20</v>
      </c>
      <c r="K118">
        <v>2</v>
      </c>
      <c r="L118">
        <v>18.5</v>
      </c>
      <c r="M118">
        <v>20.5</v>
      </c>
      <c r="N118">
        <v>37</v>
      </c>
      <c r="O118">
        <v>41</v>
      </c>
      <c r="P118">
        <v>116</v>
      </c>
      <c r="Q118">
        <v>41</v>
      </c>
      <c r="U118" s="5" t="str">
        <f t="shared" si="1"/>
        <v>FALSE</v>
      </c>
      <c r="V118" s="5" t="e" cm="1">
        <f t="array" ref="V118">_xlfn.IFS(F115="M","TRUE",C115=2016,"TRUE")</f>
        <v>#N/A</v>
      </c>
      <c r="W118" s="5" t="str" cm="1">
        <f t="array" ref="W118">_xlfn.IFNA(_xlfn.IFS(F115="M","TRUE",C115=2016,"TRUE"),"FALSE")</f>
        <v>FALSE</v>
      </c>
    </row>
    <row r="119" spans="1:23" x14ac:dyDescent="0.3">
      <c r="A119">
        <v>117</v>
      </c>
      <c r="B119" s="1">
        <v>42340</v>
      </c>
      <c r="C119">
        <v>2015</v>
      </c>
      <c r="D119" t="s">
        <v>34</v>
      </c>
      <c r="E119">
        <v>19</v>
      </c>
      <c r="F119" t="s">
        <v>16</v>
      </c>
      <c r="G119" t="s">
        <v>17</v>
      </c>
      <c r="H119" t="s">
        <v>35</v>
      </c>
      <c r="I119" t="s">
        <v>19</v>
      </c>
      <c r="J119" t="s">
        <v>20</v>
      </c>
      <c r="K119">
        <v>3</v>
      </c>
      <c r="L119">
        <v>5</v>
      </c>
      <c r="M119">
        <v>5.6666670000000003</v>
      </c>
      <c r="N119">
        <v>15</v>
      </c>
      <c r="O119">
        <v>17</v>
      </c>
      <c r="P119">
        <v>117</v>
      </c>
      <c r="Q119">
        <v>17</v>
      </c>
      <c r="U119" s="5" t="str">
        <f t="shared" si="1"/>
        <v>FALSE</v>
      </c>
      <c r="V119" s="5" t="e" cm="1">
        <f t="array" ref="V119">_xlfn.IFS(F116="M","TRUE",C116=2016,"TRUE")</f>
        <v>#N/A</v>
      </c>
      <c r="W119" s="5" t="str" cm="1">
        <f t="array" ref="W119">_xlfn.IFNA(_xlfn.IFS(F116="M","TRUE",C116=2016,"TRUE"),"FALSE")</f>
        <v>FALSE</v>
      </c>
    </row>
    <row r="120" spans="1:23" x14ac:dyDescent="0.3">
      <c r="A120">
        <v>118</v>
      </c>
      <c r="B120" s="1">
        <v>42340</v>
      </c>
      <c r="C120">
        <v>2015</v>
      </c>
      <c r="D120" t="s">
        <v>34</v>
      </c>
      <c r="E120">
        <v>19</v>
      </c>
      <c r="F120" t="s">
        <v>16</v>
      </c>
      <c r="G120" t="s">
        <v>17</v>
      </c>
      <c r="H120" t="s">
        <v>35</v>
      </c>
      <c r="I120" t="s">
        <v>19</v>
      </c>
      <c r="J120" t="s">
        <v>20</v>
      </c>
      <c r="K120">
        <v>1</v>
      </c>
      <c r="L120">
        <v>1050</v>
      </c>
      <c r="M120">
        <v>1111</v>
      </c>
      <c r="N120">
        <v>1050</v>
      </c>
      <c r="O120">
        <v>1111</v>
      </c>
      <c r="P120">
        <v>118</v>
      </c>
      <c r="Q120">
        <v>1111</v>
      </c>
      <c r="U120" s="5" t="str">
        <f t="shared" si="1"/>
        <v>FALSE</v>
      </c>
      <c r="V120" s="5" t="e" cm="1">
        <f t="array" ref="V120">_xlfn.IFS(F117="M","TRUE",C117=2016,"TRUE")</f>
        <v>#N/A</v>
      </c>
      <c r="W120" s="5" t="str" cm="1">
        <f t="array" ref="W120">_xlfn.IFNA(_xlfn.IFS(F117="M","TRUE",C117=2016,"TRUE"),"FALSE")</f>
        <v>FALSE</v>
      </c>
    </row>
    <row r="121" spans="1:23" x14ac:dyDescent="0.3">
      <c r="A121">
        <v>119</v>
      </c>
      <c r="B121" s="1">
        <v>42379</v>
      </c>
      <c r="C121">
        <v>2016</v>
      </c>
      <c r="D121" t="s">
        <v>45</v>
      </c>
      <c r="E121">
        <v>20</v>
      </c>
      <c r="F121" t="s">
        <v>16</v>
      </c>
      <c r="G121" t="s">
        <v>17</v>
      </c>
      <c r="H121" t="s">
        <v>35</v>
      </c>
      <c r="I121" t="s">
        <v>19</v>
      </c>
      <c r="J121" t="s">
        <v>28</v>
      </c>
      <c r="K121">
        <v>3</v>
      </c>
      <c r="L121">
        <v>23.33</v>
      </c>
      <c r="M121">
        <v>29.333333</v>
      </c>
      <c r="N121">
        <v>70</v>
      </c>
      <c r="O121">
        <v>88</v>
      </c>
      <c r="P121">
        <v>119</v>
      </c>
      <c r="Q121">
        <v>88</v>
      </c>
      <c r="U121" s="5" t="str">
        <f t="shared" si="1"/>
        <v>FALSE</v>
      </c>
      <c r="V121" s="5" t="e" cm="1">
        <f t="array" ref="V121">_xlfn.IFS(F118="M","TRUE",C118=2016,"TRUE")</f>
        <v>#N/A</v>
      </c>
      <c r="W121" s="5" t="str" cm="1">
        <f t="array" ref="W121">_xlfn.IFNA(_xlfn.IFS(F118="M","TRUE",C118=2016,"TRUE"),"FALSE")</f>
        <v>FALSE</v>
      </c>
    </row>
    <row r="122" spans="1:23" x14ac:dyDescent="0.3">
      <c r="A122">
        <v>120</v>
      </c>
      <c r="B122" s="1">
        <v>42382</v>
      </c>
      <c r="C122">
        <v>2016</v>
      </c>
      <c r="D122" t="s">
        <v>45</v>
      </c>
      <c r="E122">
        <v>20</v>
      </c>
      <c r="F122" t="s">
        <v>16</v>
      </c>
      <c r="G122" t="s">
        <v>17</v>
      </c>
      <c r="H122" t="s">
        <v>35</v>
      </c>
      <c r="I122" t="s">
        <v>19</v>
      </c>
      <c r="J122" t="s">
        <v>28</v>
      </c>
      <c r="K122">
        <v>1</v>
      </c>
      <c r="L122">
        <v>105</v>
      </c>
      <c r="M122">
        <v>131</v>
      </c>
      <c r="N122">
        <v>105</v>
      </c>
      <c r="O122">
        <v>131</v>
      </c>
      <c r="P122">
        <v>120</v>
      </c>
      <c r="Q122">
        <v>131</v>
      </c>
      <c r="U122" s="5" t="str">
        <f t="shared" si="1"/>
        <v>FALSE</v>
      </c>
      <c r="V122" s="5" t="e" cm="1">
        <f t="array" ref="V122">_xlfn.IFS(F119="M","TRUE",C119=2016,"TRUE")</f>
        <v>#N/A</v>
      </c>
      <c r="W122" s="5" t="str" cm="1">
        <f t="array" ref="W122">_xlfn.IFNA(_xlfn.IFS(F119="M","TRUE",C119=2016,"TRUE"),"FALSE")</f>
        <v>FALSE</v>
      </c>
    </row>
    <row r="123" spans="1:23" x14ac:dyDescent="0.3">
      <c r="A123">
        <v>121</v>
      </c>
      <c r="B123" s="1">
        <v>42427</v>
      </c>
      <c r="C123">
        <v>2016</v>
      </c>
      <c r="D123" t="s">
        <v>15</v>
      </c>
      <c r="E123">
        <v>20</v>
      </c>
      <c r="F123" t="s">
        <v>16</v>
      </c>
      <c r="G123" t="s">
        <v>17</v>
      </c>
      <c r="H123" t="s">
        <v>35</v>
      </c>
      <c r="I123" t="s">
        <v>19</v>
      </c>
      <c r="J123" t="s">
        <v>28</v>
      </c>
      <c r="K123">
        <v>3</v>
      </c>
      <c r="L123">
        <v>11.67</v>
      </c>
      <c r="M123">
        <v>13.333333</v>
      </c>
      <c r="N123">
        <v>35</v>
      </c>
      <c r="O123">
        <v>40</v>
      </c>
      <c r="P123">
        <v>121</v>
      </c>
      <c r="Q123">
        <v>40</v>
      </c>
      <c r="U123" s="5" t="str">
        <f t="shared" si="1"/>
        <v>FALSE</v>
      </c>
      <c r="V123" s="5" t="e" cm="1">
        <f t="array" ref="V123">_xlfn.IFS(F120="M","TRUE",C120=2016,"TRUE")</f>
        <v>#N/A</v>
      </c>
      <c r="W123" s="5" t="str" cm="1">
        <f t="array" ref="W123">_xlfn.IFNA(_xlfn.IFS(F120="M","TRUE",C120=2016,"TRUE"),"FALSE")</f>
        <v>FALSE</v>
      </c>
    </row>
    <row r="124" spans="1:23" x14ac:dyDescent="0.3">
      <c r="A124">
        <v>122</v>
      </c>
      <c r="B124" s="1">
        <v>42232</v>
      </c>
      <c r="C124">
        <v>2015</v>
      </c>
      <c r="D124" t="s">
        <v>30</v>
      </c>
      <c r="E124">
        <v>20</v>
      </c>
      <c r="F124" t="s">
        <v>16</v>
      </c>
      <c r="G124" t="s">
        <v>17</v>
      </c>
      <c r="H124" t="s">
        <v>35</v>
      </c>
      <c r="I124" t="s">
        <v>19</v>
      </c>
      <c r="J124" t="s">
        <v>28</v>
      </c>
      <c r="K124">
        <v>1</v>
      </c>
      <c r="L124">
        <v>910</v>
      </c>
      <c r="M124">
        <v>928</v>
      </c>
      <c r="N124">
        <v>910</v>
      </c>
      <c r="O124">
        <v>928</v>
      </c>
      <c r="P124">
        <v>122</v>
      </c>
      <c r="Q124">
        <v>928</v>
      </c>
      <c r="U124" s="5" t="str">
        <f t="shared" si="1"/>
        <v>FALSE</v>
      </c>
      <c r="V124" s="5" t="str" cm="1">
        <f t="array" ref="V124">_xlfn.IFS(F121="M","TRUE",C121=2016,"TRUE")</f>
        <v>TRUE</v>
      </c>
      <c r="W124" s="5" t="str" cm="1">
        <f t="array" ref="W124">_xlfn.IFNA(_xlfn.IFS(F121="M","TRUE",C121=2016,"TRUE"),"FALSE")</f>
        <v>TRUE</v>
      </c>
    </row>
    <row r="125" spans="1:23" x14ac:dyDescent="0.3">
      <c r="A125">
        <v>123</v>
      </c>
      <c r="B125" s="1">
        <v>42325</v>
      </c>
      <c r="C125">
        <v>2015</v>
      </c>
      <c r="D125" t="s">
        <v>33</v>
      </c>
      <c r="E125">
        <v>20</v>
      </c>
      <c r="F125" t="s">
        <v>16</v>
      </c>
      <c r="G125" t="s">
        <v>17</v>
      </c>
      <c r="H125" t="s">
        <v>35</v>
      </c>
      <c r="I125" t="s">
        <v>19</v>
      </c>
      <c r="J125" t="s">
        <v>28</v>
      </c>
      <c r="K125">
        <v>3</v>
      </c>
      <c r="L125">
        <v>35</v>
      </c>
      <c r="M125">
        <v>37.666666999999997</v>
      </c>
      <c r="N125">
        <v>105</v>
      </c>
      <c r="O125">
        <v>113</v>
      </c>
      <c r="P125">
        <v>123</v>
      </c>
      <c r="Q125">
        <v>113</v>
      </c>
      <c r="U125" s="5" t="str">
        <f t="shared" si="1"/>
        <v>FALSE</v>
      </c>
      <c r="V125" s="5" t="str" cm="1">
        <f t="array" ref="V125">_xlfn.IFS(F122="M","TRUE",C122=2016,"TRUE")</f>
        <v>TRUE</v>
      </c>
      <c r="W125" s="5" t="str" cm="1">
        <f t="array" ref="W125">_xlfn.IFNA(_xlfn.IFS(F122="M","TRUE",C122=2016,"TRUE"),"FALSE")</f>
        <v>TRUE</v>
      </c>
    </row>
    <row r="126" spans="1:23" x14ac:dyDescent="0.3">
      <c r="A126">
        <v>124</v>
      </c>
      <c r="B126" s="1">
        <v>42214</v>
      </c>
      <c r="C126">
        <v>2015</v>
      </c>
      <c r="D126" t="s">
        <v>29</v>
      </c>
      <c r="E126">
        <v>18</v>
      </c>
      <c r="F126" t="s">
        <v>37</v>
      </c>
      <c r="G126" t="s">
        <v>17</v>
      </c>
      <c r="H126" t="s">
        <v>18</v>
      </c>
      <c r="I126" t="s">
        <v>38</v>
      </c>
      <c r="J126" t="s">
        <v>39</v>
      </c>
      <c r="K126">
        <v>2</v>
      </c>
      <c r="L126">
        <v>1147.5</v>
      </c>
      <c r="M126">
        <v>1106.5</v>
      </c>
      <c r="N126">
        <v>2295</v>
      </c>
      <c r="O126">
        <v>2213</v>
      </c>
      <c r="P126">
        <v>124</v>
      </c>
      <c r="Q126">
        <v>2213</v>
      </c>
      <c r="U126" s="5" t="str">
        <f t="shared" si="1"/>
        <v>FALSE</v>
      </c>
      <c r="V126" s="5" t="str" cm="1">
        <f t="array" ref="V126">_xlfn.IFS(F123="M","TRUE",C123=2016,"TRUE")</f>
        <v>TRUE</v>
      </c>
      <c r="W126" s="5" t="str" cm="1">
        <f t="array" ref="W126">_xlfn.IFNA(_xlfn.IFS(F123="M","TRUE",C123=2016,"TRUE"),"FALSE")</f>
        <v>TRUE</v>
      </c>
    </row>
    <row r="127" spans="1:23" x14ac:dyDescent="0.3">
      <c r="A127">
        <v>125</v>
      </c>
      <c r="B127" s="1">
        <v>42214</v>
      </c>
      <c r="C127">
        <v>2015</v>
      </c>
      <c r="D127" t="s">
        <v>29</v>
      </c>
      <c r="E127">
        <v>18</v>
      </c>
      <c r="F127" t="s">
        <v>37</v>
      </c>
      <c r="G127" t="s">
        <v>17</v>
      </c>
      <c r="H127" t="s">
        <v>18</v>
      </c>
      <c r="I127" t="s">
        <v>19</v>
      </c>
      <c r="J127" t="s">
        <v>41</v>
      </c>
      <c r="K127">
        <v>1</v>
      </c>
      <c r="L127">
        <v>440</v>
      </c>
      <c r="M127">
        <v>509</v>
      </c>
      <c r="N127">
        <v>440</v>
      </c>
      <c r="O127">
        <v>509</v>
      </c>
      <c r="P127">
        <v>125</v>
      </c>
      <c r="Q127">
        <v>509</v>
      </c>
      <c r="U127" s="5" t="str">
        <f t="shared" si="1"/>
        <v>FALSE</v>
      </c>
      <c r="V127" s="5" t="e" cm="1">
        <f t="array" ref="V127">_xlfn.IFS(F124="M","TRUE",C124=2016,"TRUE")</f>
        <v>#N/A</v>
      </c>
      <c r="W127" s="5" t="str" cm="1">
        <f t="array" ref="W127">_xlfn.IFNA(_xlfn.IFS(F124="M","TRUE",C124=2016,"TRUE"),"FALSE")</f>
        <v>FALSE</v>
      </c>
    </row>
    <row r="128" spans="1:23" x14ac:dyDescent="0.3">
      <c r="A128">
        <v>126</v>
      </c>
      <c r="B128" s="1">
        <v>42214</v>
      </c>
      <c r="C128">
        <v>2015</v>
      </c>
      <c r="D128" t="s">
        <v>29</v>
      </c>
      <c r="E128">
        <v>18</v>
      </c>
      <c r="F128" t="s">
        <v>16</v>
      </c>
      <c r="G128" t="s">
        <v>17</v>
      </c>
      <c r="H128" t="s">
        <v>40</v>
      </c>
      <c r="I128" t="s">
        <v>38</v>
      </c>
      <c r="J128" t="s">
        <v>39</v>
      </c>
      <c r="K128">
        <v>1</v>
      </c>
      <c r="L128">
        <v>2295</v>
      </c>
      <c r="M128">
        <v>2115</v>
      </c>
      <c r="N128">
        <v>2295</v>
      </c>
      <c r="O128">
        <v>2115</v>
      </c>
      <c r="P128">
        <v>126</v>
      </c>
      <c r="Q128">
        <v>2115</v>
      </c>
      <c r="U128" s="5" t="str">
        <f t="shared" si="1"/>
        <v>FALSE</v>
      </c>
      <c r="V128" s="5" t="e" cm="1">
        <f t="array" ref="V128">_xlfn.IFS(F125="M","TRUE",C125=2016,"TRUE")</f>
        <v>#N/A</v>
      </c>
      <c r="W128" s="5" t="str" cm="1">
        <f t="array" ref="W128">_xlfn.IFNA(_xlfn.IFS(F125="M","TRUE",C125=2016,"TRUE"),"FALSE")</f>
        <v>FALSE</v>
      </c>
    </row>
    <row r="129" spans="1:23" x14ac:dyDescent="0.3">
      <c r="A129">
        <v>127</v>
      </c>
      <c r="B129" s="1">
        <v>42214</v>
      </c>
      <c r="C129">
        <v>2015</v>
      </c>
      <c r="D129" t="s">
        <v>29</v>
      </c>
      <c r="E129">
        <v>18</v>
      </c>
      <c r="F129" t="s">
        <v>16</v>
      </c>
      <c r="G129" t="s">
        <v>17</v>
      </c>
      <c r="H129" t="s">
        <v>40</v>
      </c>
      <c r="I129" t="s">
        <v>19</v>
      </c>
      <c r="J129" t="s">
        <v>50</v>
      </c>
      <c r="K129">
        <v>1</v>
      </c>
      <c r="L129">
        <v>230</v>
      </c>
      <c r="M129">
        <v>250</v>
      </c>
      <c r="N129">
        <v>230</v>
      </c>
      <c r="O129">
        <v>250</v>
      </c>
      <c r="P129">
        <v>127</v>
      </c>
      <c r="Q129">
        <v>250</v>
      </c>
      <c r="U129" s="5" t="str">
        <f t="shared" si="1"/>
        <v>TRUE</v>
      </c>
      <c r="V129" s="5" t="str" cm="1">
        <f t="array" ref="V129">_xlfn.IFS(F126="M","TRUE",C126=2016,"TRUE")</f>
        <v>TRUE</v>
      </c>
      <c r="W129" s="5" t="str" cm="1">
        <f t="array" ref="W129">_xlfn.IFNA(_xlfn.IFS(F126="M","TRUE",C126=2016,"TRUE"),"FALSE")</f>
        <v>TRUE</v>
      </c>
    </row>
    <row r="130" spans="1:23" x14ac:dyDescent="0.3">
      <c r="A130">
        <v>128</v>
      </c>
      <c r="B130" s="1">
        <v>42214</v>
      </c>
      <c r="C130">
        <v>2015</v>
      </c>
      <c r="D130" t="s">
        <v>29</v>
      </c>
      <c r="E130">
        <v>18</v>
      </c>
      <c r="F130" t="s">
        <v>16</v>
      </c>
      <c r="G130" t="s">
        <v>17</v>
      </c>
      <c r="H130" t="s">
        <v>40</v>
      </c>
      <c r="I130" t="s">
        <v>19</v>
      </c>
      <c r="J130" t="s">
        <v>50</v>
      </c>
      <c r="K130">
        <v>3</v>
      </c>
      <c r="L130">
        <v>5</v>
      </c>
      <c r="M130">
        <v>5</v>
      </c>
      <c r="N130">
        <v>15</v>
      </c>
      <c r="O130">
        <v>15</v>
      </c>
      <c r="P130">
        <v>128</v>
      </c>
      <c r="Q130">
        <v>15</v>
      </c>
      <c r="U130" s="5" t="str">
        <f t="shared" si="1"/>
        <v>TRUE</v>
      </c>
      <c r="V130" s="5" t="str" cm="1">
        <f t="array" ref="V130">_xlfn.IFS(F127="M","TRUE",C127=2016,"TRUE")</f>
        <v>TRUE</v>
      </c>
      <c r="W130" s="5" t="str" cm="1">
        <f t="array" ref="W130">_xlfn.IFNA(_xlfn.IFS(F127="M","TRUE",C127=2016,"TRUE"),"FALSE")</f>
        <v>TRUE</v>
      </c>
    </row>
    <row r="131" spans="1:23" x14ac:dyDescent="0.3">
      <c r="A131">
        <v>129</v>
      </c>
      <c r="B131" s="1">
        <v>42198</v>
      </c>
      <c r="C131">
        <v>2015</v>
      </c>
      <c r="D131" t="s">
        <v>29</v>
      </c>
      <c r="E131">
        <v>21</v>
      </c>
      <c r="F131" t="s">
        <v>37</v>
      </c>
      <c r="G131" t="s">
        <v>17</v>
      </c>
      <c r="H131" t="s">
        <v>18</v>
      </c>
      <c r="I131" t="s">
        <v>38</v>
      </c>
      <c r="J131" t="s">
        <v>39</v>
      </c>
      <c r="K131">
        <v>1</v>
      </c>
      <c r="L131">
        <v>2295</v>
      </c>
      <c r="M131">
        <v>2218</v>
      </c>
      <c r="N131">
        <v>2295</v>
      </c>
      <c r="O131">
        <v>2218</v>
      </c>
      <c r="P131">
        <v>129</v>
      </c>
      <c r="Q131">
        <v>2218</v>
      </c>
      <c r="U131" s="5" t="str">
        <f t="shared" si="1"/>
        <v>FALSE</v>
      </c>
      <c r="V131" s="5" t="e" cm="1">
        <f t="array" ref="V131">_xlfn.IFS(F128="M","TRUE",C128=2016,"TRUE")</f>
        <v>#N/A</v>
      </c>
      <c r="W131" s="5" t="str" cm="1">
        <f t="array" ref="W131">_xlfn.IFNA(_xlfn.IFS(F128="M","TRUE",C128=2016,"TRUE"),"FALSE")</f>
        <v>FALSE</v>
      </c>
    </row>
    <row r="132" spans="1:23" x14ac:dyDescent="0.3">
      <c r="A132">
        <v>130</v>
      </c>
      <c r="B132" s="1">
        <v>42277</v>
      </c>
      <c r="C132">
        <v>2015</v>
      </c>
      <c r="D132" t="s">
        <v>31</v>
      </c>
      <c r="E132">
        <v>21</v>
      </c>
      <c r="F132" t="s">
        <v>16</v>
      </c>
      <c r="G132" t="s">
        <v>17</v>
      </c>
      <c r="H132" t="s">
        <v>18</v>
      </c>
      <c r="I132" t="s">
        <v>23</v>
      </c>
      <c r="J132" t="s">
        <v>51</v>
      </c>
      <c r="K132">
        <v>1</v>
      </c>
      <c r="L132">
        <v>64</v>
      </c>
      <c r="M132">
        <v>61</v>
      </c>
      <c r="N132">
        <v>64</v>
      </c>
      <c r="O132">
        <v>61</v>
      </c>
      <c r="P132">
        <v>130</v>
      </c>
      <c r="Q132">
        <v>61</v>
      </c>
      <c r="U132" s="5" t="str">
        <f t="shared" si="1"/>
        <v>FALSE</v>
      </c>
      <c r="V132" s="5" t="e" cm="1">
        <f t="array" ref="V132">_xlfn.IFS(F129="M","TRUE",C129=2016,"TRUE")</f>
        <v>#N/A</v>
      </c>
      <c r="W132" s="5" t="str" cm="1">
        <f t="array" ref="W132">_xlfn.IFNA(_xlfn.IFS(F129="M","TRUE",C129=2016,"TRUE"),"FALSE")</f>
        <v>FALSE</v>
      </c>
    </row>
    <row r="133" spans="1:23" x14ac:dyDescent="0.3">
      <c r="A133">
        <v>131</v>
      </c>
      <c r="B133" s="1">
        <v>42199</v>
      </c>
      <c r="C133">
        <v>2015</v>
      </c>
      <c r="D133" t="s">
        <v>29</v>
      </c>
      <c r="E133">
        <v>21</v>
      </c>
      <c r="F133" t="s">
        <v>16</v>
      </c>
      <c r="G133" t="s">
        <v>17</v>
      </c>
      <c r="H133" t="s">
        <v>40</v>
      </c>
      <c r="I133" t="s">
        <v>38</v>
      </c>
      <c r="J133" t="s">
        <v>39</v>
      </c>
      <c r="K133">
        <v>1</v>
      </c>
      <c r="L133">
        <v>2320</v>
      </c>
      <c r="M133">
        <v>2155</v>
      </c>
      <c r="N133">
        <v>2320</v>
      </c>
      <c r="O133">
        <v>2155</v>
      </c>
      <c r="P133">
        <v>131</v>
      </c>
      <c r="Q133">
        <v>2155</v>
      </c>
      <c r="U133" s="5" t="str">
        <f t="shared" si="1"/>
        <v>FALSE</v>
      </c>
      <c r="V133" s="5" t="e" cm="1">
        <f t="array" ref="V133">_xlfn.IFS(F130="M","TRUE",C130=2016,"TRUE")</f>
        <v>#N/A</v>
      </c>
      <c r="W133" s="5" t="str" cm="1">
        <f t="array" ref="W133">_xlfn.IFNA(_xlfn.IFS(F130="M","TRUE",C130=2016,"TRUE"),"FALSE")</f>
        <v>FALSE</v>
      </c>
    </row>
    <row r="134" spans="1:23" x14ac:dyDescent="0.3">
      <c r="A134">
        <v>132</v>
      </c>
      <c r="B134" s="1">
        <v>42285</v>
      </c>
      <c r="C134">
        <v>2015</v>
      </c>
      <c r="D134" t="s">
        <v>32</v>
      </c>
      <c r="E134">
        <v>21</v>
      </c>
      <c r="F134" t="s">
        <v>16</v>
      </c>
      <c r="G134" t="s">
        <v>17</v>
      </c>
      <c r="H134" t="s">
        <v>40</v>
      </c>
      <c r="I134" t="s">
        <v>38</v>
      </c>
      <c r="J134" t="s">
        <v>39</v>
      </c>
      <c r="K134">
        <v>3</v>
      </c>
      <c r="L134">
        <v>256.33</v>
      </c>
      <c r="M134">
        <v>256.33333299999998</v>
      </c>
      <c r="N134">
        <v>769</v>
      </c>
      <c r="O134">
        <v>769</v>
      </c>
      <c r="P134">
        <v>132</v>
      </c>
      <c r="Q134">
        <v>769</v>
      </c>
      <c r="U134" s="5" t="str">
        <f t="shared" ref="U134:U197" si="2">IF(F131="M","TRUE","FALSE")</f>
        <v>TRUE</v>
      </c>
      <c r="V134" s="5" t="str" cm="1">
        <f t="array" ref="V134">_xlfn.IFS(F131="M","TRUE",C131=2016,"TRUE")</f>
        <v>TRUE</v>
      </c>
      <c r="W134" s="5" t="str" cm="1">
        <f t="array" ref="W134">_xlfn.IFNA(_xlfn.IFS(F131="M","TRUE",C131=2016,"TRUE"),"FALSE")</f>
        <v>TRUE</v>
      </c>
    </row>
    <row r="135" spans="1:23" x14ac:dyDescent="0.3">
      <c r="A135">
        <v>133</v>
      </c>
      <c r="B135" s="1">
        <v>42197</v>
      </c>
      <c r="C135">
        <v>2015</v>
      </c>
      <c r="D135" t="s">
        <v>29</v>
      </c>
      <c r="E135">
        <v>21</v>
      </c>
      <c r="F135" t="s">
        <v>16</v>
      </c>
      <c r="G135" t="s">
        <v>17</v>
      </c>
      <c r="H135" t="s">
        <v>35</v>
      </c>
      <c r="I135" t="s">
        <v>19</v>
      </c>
      <c r="J135" t="s">
        <v>41</v>
      </c>
      <c r="K135">
        <v>1</v>
      </c>
      <c r="L135">
        <v>825</v>
      </c>
      <c r="M135">
        <v>959</v>
      </c>
      <c r="N135">
        <v>825</v>
      </c>
      <c r="O135">
        <v>959</v>
      </c>
      <c r="P135">
        <v>133</v>
      </c>
      <c r="Q135">
        <v>959</v>
      </c>
      <c r="U135" s="5" t="str">
        <f t="shared" si="2"/>
        <v>FALSE</v>
      </c>
      <c r="V135" s="5" t="e" cm="1">
        <f t="array" ref="V135">_xlfn.IFS(F132="M","TRUE",C132=2016,"TRUE")</f>
        <v>#N/A</v>
      </c>
      <c r="W135" s="5" t="str" cm="1">
        <f t="array" ref="W135">_xlfn.IFNA(_xlfn.IFS(F132="M","TRUE",C132=2016,"TRUE"),"FALSE")</f>
        <v>FALSE</v>
      </c>
    </row>
    <row r="136" spans="1:23" x14ac:dyDescent="0.3">
      <c r="A136">
        <v>134</v>
      </c>
      <c r="B136" s="1">
        <v>42217</v>
      </c>
      <c r="C136">
        <v>2015</v>
      </c>
      <c r="D136" t="s">
        <v>30</v>
      </c>
      <c r="E136">
        <v>21</v>
      </c>
      <c r="F136" t="s">
        <v>16</v>
      </c>
      <c r="G136" t="s">
        <v>17</v>
      </c>
      <c r="H136" t="s">
        <v>35</v>
      </c>
      <c r="I136" t="s">
        <v>19</v>
      </c>
      <c r="J136" t="s">
        <v>41</v>
      </c>
      <c r="K136">
        <v>3</v>
      </c>
      <c r="L136">
        <v>128.33000000000001</v>
      </c>
      <c r="M136">
        <v>141.66666699999999</v>
      </c>
      <c r="N136">
        <v>385</v>
      </c>
      <c r="O136">
        <v>425</v>
      </c>
      <c r="P136">
        <v>134</v>
      </c>
      <c r="Q136">
        <v>425</v>
      </c>
      <c r="U136" s="5" t="str">
        <f t="shared" si="2"/>
        <v>FALSE</v>
      </c>
      <c r="V136" s="5" t="e" cm="1">
        <f t="array" ref="V136">_xlfn.IFS(F133="M","TRUE",C133=2016,"TRUE")</f>
        <v>#N/A</v>
      </c>
      <c r="W136" s="5" t="str" cm="1">
        <f t="array" ref="W136">_xlfn.IFNA(_xlfn.IFS(F133="M","TRUE",C133=2016,"TRUE"),"FALSE")</f>
        <v>FALSE</v>
      </c>
    </row>
    <row r="137" spans="1:23" x14ac:dyDescent="0.3">
      <c r="A137">
        <v>135</v>
      </c>
      <c r="B137" s="1">
        <v>42298</v>
      </c>
      <c r="C137">
        <v>2015</v>
      </c>
      <c r="D137" t="s">
        <v>32</v>
      </c>
      <c r="E137">
        <v>21</v>
      </c>
      <c r="F137" t="s">
        <v>16</v>
      </c>
      <c r="G137" t="s">
        <v>17</v>
      </c>
      <c r="H137" t="s">
        <v>35</v>
      </c>
      <c r="I137" t="s">
        <v>19</v>
      </c>
      <c r="J137" t="s">
        <v>41</v>
      </c>
      <c r="K137">
        <v>3</v>
      </c>
      <c r="L137">
        <v>238.33</v>
      </c>
      <c r="M137">
        <v>268</v>
      </c>
      <c r="N137">
        <v>715</v>
      </c>
      <c r="O137">
        <v>804</v>
      </c>
      <c r="P137">
        <v>135</v>
      </c>
      <c r="Q137">
        <v>804</v>
      </c>
      <c r="U137" s="5" t="str">
        <f t="shared" si="2"/>
        <v>FALSE</v>
      </c>
      <c r="V137" s="5" t="e" cm="1">
        <f t="array" ref="V137">_xlfn.IFS(F134="M","TRUE",C134=2016,"TRUE")</f>
        <v>#N/A</v>
      </c>
      <c r="W137" s="5" t="str" cm="1">
        <f t="array" ref="W137">_xlfn.IFNA(_xlfn.IFS(F134="M","TRUE",C134=2016,"TRUE"),"FALSE")</f>
        <v>FALSE</v>
      </c>
    </row>
    <row r="138" spans="1:23" x14ac:dyDescent="0.3">
      <c r="A138">
        <v>136</v>
      </c>
      <c r="B138" s="1">
        <v>42355</v>
      </c>
      <c r="C138">
        <v>2015</v>
      </c>
      <c r="D138" t="s">
        <v>34</v>
      </c>
      <c r="E138">
        <v>21</v>
      </c>
      <c r="F138" t="s">
        <v>16</v>
      </c>
      <c r="G138" t="s">
        <v>17</v>
      </c>
      <c r="H138" t="s">
        <v>35</v>
      </c>
      <c r="I138" t="s">
        <v>19</v>
      </c>
      <c r="J138" t="s">
        <v>41</v>
      </c>
      <c r="K138">
        <v>2</v>
      </c>
      <c r="L138">
        <v>302.5</v>
      </c>
      <c r="M138">
        <v>337.5</v>
      </c>
      <c r="N138">
        <v>605</v>
      </c>
      <c r="O138">
        <v>675</v>
      </c>
      <c r="P138">
        <v>136</v>
      </c>
      <c r="Q138">
        <v>675</v>
      </c>
      <c r="U138" s="5" t="str">
        <f t="shared" si="2"/>
        <v>FALSE</v>
      </c>
      <c r="V138" s="5" t="e" cm="1">
        <f t="array" ref="V138">_xlfn.IFS(F135="M","TRUE",C135=2016,"TRUE")</f>
        <v>#N/A</v>
      </c>
      <c r="W138" s="5" t="str" cm="1">
        <f t="array" ref="W138">_xlfn.IFNA(_xlfn.IFS(F135="M","TRUE",C135=2016,"TRUE"),"FALSE")</f>
        <v>FALSE</v>
      </c>
    </row>
    <row r="139" spans="1:23" x14ac:dyDescent="0.3">
      <c r="A139">
        <v>137</v>
      </c>
      <c r="B139" s="1">
        <v>42464</v>
      </c>
      <c r="C139">
        <v>2016</v>
      </c>
      <c r="D139" t="s">
        <v>26</v>
      </c>
      <c r="E139">
        <v>23</v>
      </c>
      <c r="F139" t="s">
        <v>37</v>
      </c>
      <c r="G139" t="s">
        <v>17</v>
      </c>
      <c r="H139" t="s">
        <v>35</v>
      </c>
      <c r="I139" t="s">
        <v>38</v>
      </c>
      <c r="J139" t="s">
        <v>39</v>
      </c>
      <c r="K139">
        <v>1</v>
      </c>
      <c r="L139">
        <v>769</v>
      </c>
      <c r="M139">
        <v>815</v>
      </c>
      <c r="N139">
        <v>769</v>
      </c>
      <c r="O139">
        <v>815</v>
      </c>
      <c r="P139">
        <v>137</v>
      </c>
      <c r="Q139">
        <v>815</v>
      </c>
      <c r="U139" s="5" t="str">
        <f t="shared" si="2"/>
        <v>FALSE</v>
      </c>
      <c r="V139" s="5" t="e" cm="1">
        <f t="array" ref="V139">_xlfn.IFS(F136="M","TRUE",C136=2016,"TRUE")</f>
        <v>#N/A</v>
      </c>
      <c r="W139" s="5" t="str" cm="1">
        <f t="array" ref="W139">_xlfn.IFNA(_xlfn.IFS(F136="M","TRUE",C136=2016,"TRUE"),"FALSE")</f>
        <v>FALSE</v>
      </c>
    </row>
    <row r="140" spans="1:23" x14ac:dyDescent="0.3">
      <c r="A140">
        <v>138</v>
      </c>
      <c r="B140" s="1">
        <v>42096</v>
      </c>
      <c r="C140">
        <v>2015</v>
      </c>
      <c r="D140" t="s">
        <v>26</v>
      </c>
      <c r="E140">
        <v>23</v>
      </c>
      <c r="F140" t="s">
        <v>37</v>
      </c>
      <c r="G140" t="s">
        <v>17</v>
      </c>
      <c r="H140" t="s">
        <v>35</v>
      </c>
      <c r="I140" t="s">
        <v>38</v>
      </c>
      <c r="J140" t="s">
        <v>39</v>
      </c>
      <c r="K140">
        <v>3</v>
      </c>
      <c r="L140">
        <v>683</v>
      </c>
      <c r="M140">
        <v>602.66666699999996</v>
      </c>
      <c r="N140">
        <v>2049</v>
      </c>
      <c r="O140">
        <v>1808</v>
      </c>
      <c r="P140">
        <v>138</v>
      </c>
      <c r="Q140">
        <v>1808</v>
      </c>
      <c r="U140" s="5" t="str">
        <f t="shared" si="2"/>
        <v>FALSE</v>
      </c>
      <c r="V140" s="5" t="e" cm="1">
        <f t="array" ref="V140">_xlfn.IFS(F137="M","TRUE",C137=2016,"TRUE")</f>
        <v>#N/A</v>
      </c>
      <c r="W140" s="5" t="str" cm="1">
        <f t="array" ref="W140">_xlfn.IFNA(_xlfn.IFS(F137="M","TRUE",C137=2016,"TRUE"),"FALSE")</f>
        <v>FALSE</v>
      </c>
    </row>
    <row r="141" spans="1:23" x14ac:dyDescent="0.3">
      <c r="A141">
        <v>139</v>
      </c>
      <c r="B141" s="1">
        <v>42238</v>
      </c>
      <c r="C141">
        <v>2015</v>
      </c>
      <c r="D141" t="s">
        <v>30</v>
      </c>
      <c r="E141">
        <v>23</v>
      </c>
      <c r="F141" t="s">
        <v>37</v>
      </c>
      <c r="G141" t="s">
        <v>17</v>
      </c>
      <c r="H141" t="s">
        <v>35</v>
      </c>
      <c r="I141" t="s">
        <v>38</v>
      </c>
      <c r="J141" t="s">
        <v>39</v>
      </c>
      <c r="K141">
        <v>1</v>
      </c>
      <c r="L141">
        <v>2295</v>
      </c>
      <c r="M141">
        <v>2297</v>
      </c>
      <c r="N141">
        <v>2295</v>
      </c>
      <c r="O141">
        <v>2297</v>
      </c>
      <c r="P141">
        <v>139</v>
      </c>
      <c r="Q141">
        <v>2297</v>
      </c>
      <c r="U141" s="5" t="str">
        <f t="shared" si="2"/>
        <v>FALSE</v>
      </c>
      <c r="V141" s="5" t="e" cm="1">
        <f t="array" ref="V141">_xlfn.IFS(F138="M","TRUE",C138=2016,"TRUE")</f>
        <v>#N/A</v>
      </c>
      <c r="W141" s="5" t="str" cm="1">
        <f t="array" ref="W141">_xlfn.IFNA(_xlfn.IFS(F138="M","TRUE",C138=2016,"TRUE"),"FALSE")</f>
        <v>FALSE</v>
      </c>
    </row>
    <row r="142" spans="1:23" x14ac:dyDescent="0.3">
      <c r="A142">
        <v>140</v>
      </c>
      <c r="B142" s="1">
        <v>42241</v>
      </c>
      <c r="C142">
        <v>2015</v>
      </c>
      <c r="D142" t="s">
        <v>30</v>
      </c>
      <c r="E142">
        <v>23</v>
      </c>
      <c r="F142" t="s">
        <v>37</v>
      </c>
      <c r="G142" t="s">
        <v>17</v>
      </c>
      <c r="H142" t="s">
        <v>35</v>
      </c>
      <c r="I142" t="s">
        <v>38</v>
      </c>
      <c r="J142" t="s">
        <v>39</v>
      </c>
      <c r="K142">
        <v>3</v>
      </c>
      <c r="L142">
        <v>773.33</v>
      </c>
      <c r="M142">
        <v>682</v>
      </c>
      <c r="N142">
        <v>2320</v>
      </c>
      <c r="O142">
        <v>2046</v>
      </c>
      <c r="P142">
        <v>140</v>
      </c>
      <c r="Q142">
        <v>2046</v>
      </c>
      <c r="U142" s="5" t="str">
        <f t="shared" si="2"/>
        <v>TRUE</v>
      </c>
      <c r="V142" s="5" t="str" cm="1">
        <f t="array" ref="V142">_xlfn.IFS(F139="M","TRUE",C139=2016,"TRUE")</f>
        <v>TRUE</v>
      </c>
      <c r="W142" s="5" t="str" cm="1">
        <f t="array" ref="W142">_xlfn.IFNA(_xlfn.IFS(F139="M","TRUE",C139=2016,"TRUE"),"FALSE")</f>
        <v>TRUE</v>
      </c>
    </row>
    <row r="143" spans="1:23" x14ac:dyDescent="0.3">
      <c r="A143">
        <v>141</v>
      </c>
      <c r="B143" s="1">
        <v>42503</v>
      </c>
      <c r="C143">
        <v>2016</v>
      </c>
      <c r="D143" t="s">
        <v>43</v>
      </c>
      <c r="E143">
        <v>24</v>
      </c>
      <c r="F143" t="s">
        <v>16</v>
      </c>
      <c r="G143" t="s">
        <v>17</v>
      </c>
      <c r="H143" t="s">
        <v>35</v>
      </c>
      <c r="I143" t="s">
        <v>23</v>
      </c>
      <c r="J143" t="s">
        <v>51</v>
      </c>
      <c r="K143">
        <v>1</v>
      </c>
      <c r="L143">
        <v>191</v>
      </c>
      <c r="M143">
        <v>237</v>
      </c>
      <c r="N143">
        <v>191</v>
      </c>
      <c r="O143">
        <v>237</v>
      </c>
      <c r="P143">
        <v>141</v>
      </c>
      <c r="Q143">
        <v>237</v>
      </c>
      <c r="U143" s="5" t="str">
        <f t="shared" si="2"/>
        <v>TRUE</v>
      </c>
      <c r="V143" s="5" t="str" cm="1">
        <f t="array" ref="V143">_xlfn.IFS(F140="M","TRUE",C140=2016,"TRUE")</f>
        <v>TRUE</v>
      </c>
      <c r="W143" s="5" t="str" cm="1">
        <f t="array" ref="W143">_xlfn.IFNA(_xlfn.IFS(F140="M","TRUE",C140=2016,"TRUE"),"FALSE")</f>
        <v>TRUE</v>
      </c>
    </row>
    <row r="144" spans="1:23" x14ac:dyDescent="0.3">
      <c r="A144">
        <v>142</v>
      </c>
      <c r="B144" s="1">
        <v>42286</v>
      </c>
      <c r="C144">
        <v>2015</v>
      </c>
      <c r="D144" t="s">
        <v>32</v>
      </c>
      <c r="E144">
        <v>24</v>
      </c>
      <c r="F144" t="s">
        <v>16</v>
      </c>
      <c r="G144" t="s">
        <v>17</v>
      </c>
      <c r="H144" t="s">
        <v>35</v>
      </c>
      <c r="I144" t="s">
        <v>23</v>
      </c>
      <c r="J144" t="s">
        <v>51</v>
      </c>
      <c r="K144">
        <v>2</v>
      </c>
      <c r="L144">
        <v>32</v>
      </c>
      <c r="M144">
        <v>29</v>
      </c>
      <c r="N144">
        <v>64</v>
      </c>
      <c r="O144">
        <v>58</v>
      </c>
      <c r="P144">
        <v>142</v>
      </c>
      <c r="Q144">
        <v>58</v>
      </c>
      <c r="U144" s="5" t="str">
        <f t="shared" si="2"/>
        <v>TRUE</v>
      </c>
      <c r="V144" s="5" t="str" cm="1">
        <f t="array" ref="V144">_xlfn.IFS(F141="M","TRUE",C141=2016,"TRUE")</f>
        <v>TRUE</v>
      </c>
      <c r="W144" s="5" t="str" cm="1">
        <f t="array" ref="W144">_xlfn.IFNA(_xlfn.IFS(F141="M","TRUE",C141=2016,"TRUE"),"FALSE")</f>
        <v>TRUE</v>
      </c>
    </row>
    <row r="145" spans="1:23" x14ac:dyDescent="0.3">
      <c r="A145">
        <v>143</v>
      </c>
      <c r="B145" s="1">
        <v>42334</v>
      </c>
      <c r="C145">
        <v>2015</v>
      </c>
      <c r="D145" t="s">
        <v>33</v>
      </c>
      <c r="E145">
        <v>24</v>
      </c>
      <c r="F145" t="s">
        <v>16</v>
      </c>
      <c r="G145" t="s">
        <v>17</v>
      </c>
      <c r="H145" t="s">
        <v>35</v>
      </c>
      <c r="I145" t="s">
        <v>23</v>
      </c>
      <c r="J145" t="s">
        <v>51</v>
      </c>
      <c r="K145">
        <v>3</v>
      </c>
      <c r="L145">
        <v>508</v>
      </c>
      <c r="M145">
        <v>575</v>
      </c>
      <c r="N145">
        <v>1524</v>
      </c>
      <c r="O145">
        <v>1725</v>
      </c>
      <c r="P145">
        <v>143</v>
      </c>
      <c r="Q145">
        <v>1725</v>
      </c>
      <c r="U145" s="5" t="str">
        <f t="shared" si="2"/>
        <v>TRUE</v>
      </c>
      <c r="V145" s="5" t="str" cm="1">
        <f t="array" ref="V145">_xlfn.IFS(F142="M","TRUE",C142=2016,"TRUE")</f>
        <v>TRUE</v>
      </c>
      <c r="W145" s="5" t="str" cm="1">
        <f t="array" ref="W145">_xlfn.IFNA(_xlfn.IFS(F142="M","TRUE",C142=2016,"TRUE"),"FALSE")</f>
        <v>TRUE</v>
      </c>
    </row>
    <row r="146" spans="1:23" x14ac:dyDescent="0.3">
      <c r="A146">
        <v>144</v>
      </c>
      <c r="B146" s="1">
        <v>42476</v>
      </c>
      <c r="C146">
        <v>2016</v>
      </c>
      <c r="D146" t="s">
        <v>26</v>
      </c>
      <c r="E146">
        <v>25</v>
      </c>
      <c r="F146" t="s">
        <v>16</v>
      </c>
      <c r="G146" t="s">
        <v>17</v>
      </c>
      <c r="H146" t="s">
        <v>18</v>
      </c>
      <c r="I146" t="s">
        <v>23</v>
      </c>
      <c r="J146" t="s">
        <v>47</v>
      </c>
      <c r="K146">
        <v>1</v>
      </c>
      <c r="L146">
        <v>207</v>
      </c>
      <c r="M146">
        <v>265</v>
      </c>
      <c r="N146">
        <v>207</v>
      </c>
      <c r="O146">
        <v>265</v>
      </c>
      <c r="P146">
        <v>144</v>
      </c>
      <c r="Q146">
        <v>265</v>
      </c>
      <c r="U146" s="5" t="str">
        <f t="shared" si="2"/>
        <v>FALSE</v>
      </c>
      <c r="V146" s="5" t="str" cm="1">
        <f t="array" ref="V146">_xlfn.IFS(F143="M","TRUE",C143=2016,"TRUE")</f>
        <v>TRUE</v>
      </c>
      <c r="W146" s="5" t="str" cm="1">
        <f t="array" ref="W146">_xlfn.IFNA(_xlfn.IFS(F143="M","TRUE",C143=2016,"TRUE"),"FALSE")</f>
        <v>TRUE</v>
      </c>
    </row>
    <row r="147" spans="1:23" x14ac:dyDescent="0.3">
      <c r="A147">
        <v>145</v>
      </c>
      <c r="B147" s="1">
        <v>42456</v>
      </c>
      <c r="C147">
        <v>2016</v>
      </c>
      <c r="D147" t="s">
        <v>25</v>
      </c>
      <c r="E147">
        <v>30</v>
      </c>
      <c r="F147" t="s">
        <v>37</v>
      </c>
      <c r="G147" t="s">
        <v>17</v>
      </c>
      <c r="H147" t="s">
        <v>35</v>
      </c>
      <c r="I147" t="s">
        <v>19</v>
      </c>
      <c r="J147" t="s">
        <v>41</v>
      </c>
      <c r="K147">
        <v>1</v>
      </c>
      <c r="L147">
        <v>330</v>
      </c>
      <c r="M147">
        <v>413</v>
      </c>
      <c r="N147">
        <v>330</v>
      </c>
      <c r="O147">
        <v>413</v>
      </c>
      <c r="P147">
        <v>145</v>
      </c>
      <c r="Q147">
        <v>413</v>
      </c>
      <c r="U147" s="5" t="str">
        <f t="shared" si="2"/>
        <v>FALSE</v>
      </c>
      <c r="V147" s="5" t="e" cm="1">
        <f t="array" ref="V147">_xlfn.IFS(F144="M","TRUE",C144=2016,"TRUE")</f>
        <v>#N/A</v>
      </c>
      <c r="W147" s="5" t="str" cm="1">
        <f t="array" ref="W147">_xlfn.IFNA(_xlfn.IFS(F144="M","TRUE",C144=2016,"TRUE"),"FALSE")</f>
        <v>FALSE</v>
      </c>
    </row>
    <row r="148" spans="1:23" x14ac:dyDescent="0.3">
      <c r="A148">
        <v>146</v>
      </c>
      <c r="B148" s="1">
        <v>42205</v>
      </c>
      <c r="C148">
        <v>2015</v>
      </c>
      <c r="D148" t="s">
        <v>29</v>
      </c>
      <c r="E148">
        <v>30</v>
      </c>
      <c r="F148" t="s">
        <v>37</v>
      </c>
      <c r="G148" t="s">
        <v>17</v>
      </c>
      <c r="H148" t="s">
        <v>35</v>
      </c>
      <c r="I148" t="s">
        <v>19</v>
      </c>
      <c r="J148" t="s">
        <v>41</v>
      </c>
      <c r="K148">
        <v>2</v>
      </c>
      <c r="L148">
        <v>82.5</v>
      </c>
      <c r="M148">
        <v>88.5</v>
      </c>
      <c r="N148">
        <v>165</v>
      </c>
      <c r="O148">
        <v>177</v>
      </c>
      <c r="P148">
        <v>146</v>
      </c>
      <c r="Q148">
        <v>177</v>
      </c>
      <c r="U148" s="5" t="str">
        <f t="shared" si="2"/>
        <v>FALSE</v>
      </c>
      <c r="V148" s="5" t="e" cm="1">
        <f t="array" ref="V148">_xlfn.IFS(F145="M","TRUE",C145=2016,"TRUE")</f>
        <v>#N/A</v>
      </c>
      <c r="W148" s="5" t="str" cm="1">
        <f t="array" ref="W148">_xlfn.IFNA(_xlfn.IFS(F145="M","TRUE",C145=2016,"TRUE"),"FALSE")</f>
        <v>FALSE</v>
      </c>
    </row>
    <row r="149" spans="1:23" x14ac:dyDescent="0.3">
      <c r="A149">
        <v>147</v>
      </c>
      <c r="B149" s="1">
        <v>42313</v>
      </c>
      <c r="C149">
        <v>2015</v>
      </c>
      <c r="D149" t="s">
        <v>33</v>
      </c>
      <c r="E149">
        <v>30</v>
      </c>
      <c r="F149" t="s">
        <v>37</v>
      </c>
      <c r="G149" t="s">
        <v>17</v>
      </c>
      <c r="H149" t="s">
        <v>35</v>
      </c>
      <c r="I149" t="s">
        <v>19</v>
      </c>
      <c r="J149" t="s">
        <v>41</v>
      </c>
      <c r="K149">
        <v>2</v>
      </c>
      <c r="L149">
        <v>55</v>
      </c>
      <c r="M149">
        <v>63.5</v>
      </c>
      <c r="N149">
        <v>110</v>
      </c>
      <c r="O149">
        <v>127</v>
      </c>
      <c r="P149">
        <v>147</v>
      </c>
      <c r="Q149">
        <v>127</v>
      </c>
      <c r="U149" s="5" t="str">
        <f t="shared" si="2"/>
        <v>FALSE</v>
      </c>
      <c r="V149" s="5" t="str" cm="1">
        <f t="array" ref="V149">_xlfn.IFS(F146="M","TRUE",C146=2016,"TRUE")</f>
        <v>TRUE</v>
      </c>
      <c r="W149" s="5" t="str" cm="1">
        <f t="array" ref="W149">_xlfn.IFNA(_xlfn.IFS(F146="M","TRUE",C146=2016,"TRUE"),"FALSE")</f>
        <v>TRUE</v>
      </c>
    </row>
    <row r="150" spans="1:23" x14ac:dyDescent="0.3">
      <c r="A150">
        <v>148</v>
      </c>
      <c r="B150" s="1">
        <v>42457</v>
      </c>
      <c r="C150">
        <v>2016</v>
      </c>
      <c r="D150" t="s">
        <v>25</v>
      </c>
      <c r="E150">
        <v>55</v>
      </c>
      <c r="F150" t="s">
        <v>16</v>
      </c>
      <c r="G150" t="s">
        <v>17</v>
      </c>
      <c r="H150" t="s">
        <v>35</v>
      </c>
      <c r="I150" t="s">
        <v>23</v>
      </c>
      <c r="J150" t="s">
        <v>24</v>
      </c>
      <c r="K150">
        <v>2</v>
      </c>
      <c r="L150">
        <v>343</v>
      </c>
      <c r="M150">
        <v>359</v>
      </c>
      <c r="N150">
        <v>686</v>
      </c>
      <c r="O150">
        <v>718</v>
      </c>
      <c r="P150">
        <v>148</v>
      </c>
      <c r="Q150">
        <v>718</v>
      </c>
      <c r="U150" s="5" t="str">
        <f t="shared" si="2"/>
        <v>TRUE</v>
      </c>
      <c r="V150" s="5" t="str" cm="1">
        <f t="array" ref="V150">_xlfn.IFS(F147="M","TRUE",C147=2016,"TRUE")</f>
        <v>TRUE</v>
      </c>
      <c r="W150" s="5" t="str" cm="1">
        <f t="array" ref="W150">_xlfn.IFNA(_xlfn.IFS(F147="M","TRUE",C147=2016,"TRUE"),"FALSE")</f>
        <v>TRUE</v>
      </c>
    </row>
    <row r="151" spans="1:23" x14ac:dyDescent="0.3">
      <c r="A151">
        <v>149</v>
      </c>
      <c r="B151" s="1">
        <v>42374</v>
      </c>
      <c r="C151">
        <v>2016</v>
      </c>
      <c r="D151" t="s">
        <v>45</v>
      </c>
      <c r="E151">
        <v>53</v>
      </c>
      <c r="F151" t="s">
        <v>16</v>
      </c>
      <c r="G151" t="s">
        <v>17</v>
      </c>
      <c r="H151" t="s">
        <v>18</v>
      </c>
      <c r="I151" t="s">
        <v>19</v>
      </c>
      <c r="J151" t="s">
        <v>20</v>
      </c>
      <c r="K151">
        <v>1</v>
      </c>
      <c r="L151">
        <v>210</v>
      </c>
      <c r="M151">
        <v>271</v>
      </c>
      <c r="N151">
        <v>210</v>
      </c>
      <c r="O151">
        <v>271</v>
      </c>
      <c r="P151">
        <v>149</v>
      </c>
      <c r="Q151">
        <v>271</v>
      </c>
      <c r="U151" s="5" t="str">
        <f t="shared" si="2"/>
        <v>TRUE</v>
      </c>
      <c r="V151" s="5" t="str" cm="1">
        <f t="array" ref="V151">_xlfn.IFS(F148="M","TRUE",C148=2016,"TRUE")</f>
        <v>TRUE</v>
      </c>
      <c r="W151" s="5" t="str" cm="1">
        <f t="array" ref="W151">_xlfn.IFNA(_xlfn.IFS(F148="M","TRUE",C148=2016,"TRUE"),"FALSE")</f>
        <v>TRUE</v>
      </c>
    </row>
    <row r="152" spans="1:23" x14ac:dyDescent="0.3">
      <c r="A152">
        <v>150</v>
      </c>
      <c r="B152" s="1">
        <v>42407</v>
      </c>
      <c r="C152">
        <v>2016</v>
      </c>
      <c r="D152" t="s">
        <v>15</v>
      </c>
      <c r="E152">
        <v>53</v>
      </c>
      <c r="F152" t="s">
        <v>16</v>
      </c>
      <c r="G152" t="s">
        <v>17</v>
      </c>
      <c r="H152" t="s">
        <v>18</v>
      </c>
      <c r="I152" t="s">
        <v>19</v>
      </c>
      <c r="J152" t="s">
        <v>20</v>
      </c>
      <c r="K152">
        <v>2</v>
      </c>
      <c r="L152">
        <v>35</v>
      </c>
      <c r="M152">
        <v>45.5</v>
      </c>
      <c r="N152">
        <v>70</v>
      </c>
      <c r="O152">
        <v>91</v>
      </c>
      <c r="P152">
        <v>150</v>
      </c>
      <c r="Q152">
        <v>91</v>
      </c>
      <c r="U152" s="5" t="str">
        <f t="shared" si="2"/>
        <v>TRUE</v>
      </c>
      <c r="V152" s="5" t="str" cm="1">
        <f t="array" ref="V152">_xlfn.IFS(F149="M","TRUE",C149=2016,"TRUE")</f>
        <v>TRUE</v>
      </c>
      <c r="W152" s="5" t="str" cm="1">
        <f t="array" ref="W152">_xlfn.IFNA(_xlfn.IFS(F149="M","TRUE",C149=2016,"TRUE"),"FALSE")</f>
        <v>TRUE</v>
      </c>
    </row>
    <row r="153" spans="1:23" x14ac:dyDescent="0.3">
      <c r="A153">
        <v>151</v>
      </c>
      <c r="B153" s="1">
        <v>42407</v>
      </c>
      <c r="C153">
        <v>2016</v>
      </c>
      <c r="D153" t="s">
        <v>15</v>
      </c>
      <c r="E153">
        <v>53</v>
      </c>
      <c r="F153" t="s">
        <v>16</v>
      </c>
      <c r="G153" t="s">
        <v>17</v>
      </c>
      <c r="H153" t="s">
        <v>18</v>
      </c>
      <c r="I153" t="s">
        <v>19</v>
      </c>
      <c r="J153" t="s">
        <v>20</v>
      </c>
      <c r="K153">
        <v>2</v>
      </c>
      <c r="L153">
        <v>20</v>
      </c>
      <c r="M153">
        <v>23.5</v>
      </c>
      <c r="N153">
        <v>40</v>
      </c>
      <c r="O153">
        <v>47</v>
      </c>
      <c r="P153">
        <v>151</v>
      </c>
      <c r="Q153">
        <v>47</v>
      </c>
      <c r="U153" s="5" t="str">
        <f t="shared" si="2"/>
        <v>FALSE</v>
      </c>
      <c r="V153" s="5" t="str" cm="1">
        <f t="array" ref="V153">_xlfn.IFS(F150="M","TRUE",C150=2016,"TRUE")</f>
        <v>TRUE</v>
      </c>
      <c r="W153" s="5" t="str" cm="1">
        <f t="array" ref="W153">_xlfn.IFNA(_xlfn.IFS(F150="M","TRUE",C150=2016,"TRUE"),"FALSE")</f>
        <v>TRUE</v>
      </c>
    </row>
    <row r="154" spans="1:23" x14ac:dyDescent="0.3">
      <c r="A154">
        <v>152</v>
      </c>
      <c r="B154" s="1">
        <v>42430</v>
      </c>
      <c r="C154">
        <v>2016</v>
      </c>
      <c r="D154" t="s">
        <v>25</v>
      </c>
      <c r="E154">
        <v>53</v>
      </c>
      <c r="F154" t="s">
        <v>16</v>
      </c>
      <c r="G154" t="s">
        <v>17</v>
      </c>
      <c r="H154" t="s">
        <v>18</v>
      </c>
      <c r="I154" t="s">
        <v>19</v>
      </c>
      <c r="J154" t="s">
        <v>20</v>
      </c>
      <c r="K154">
        <v>3</v>
      </c>
      <c r="L154">
        <v>20</v>
      </c>
      <c r="M154">
        <v>22</v>
      </c>
      <c r="N154">
        <v>60</v>
      </c>
      <c r="O154">
        <v>66</v>
      </c>
      <c r="P154">
        <v>152</v>
      </c>
      <c r="Q154">
        <v>66</v>
      </c>
      <c r="U154" s="5" t="str">
        <f t="shared" si="2"/>
        <v>FALSE</v>
      </c>
      <c r="V154" s="5" t="str" cm="1">
        <f t="array" ref="V154">_xlfn.IFS(F151="M","TRUE",C151=2016,"TRUE")</f>
        <v>TRUE</v>
      </c>
      <c r="W154" s="5" t="str" cm="1">
        <f t="array" ref="W154">_xlfn.IFNA(_xlfn.IFS(F151="M","TRUE",C151=2016,"TRUE"),"FALSE")</f>
        <v>TRUE</v>
      </c>
    </row>
    <row r="155" spans="1:23" x14ac:dyDescent="0.3">
      <c r="A155">
        <v>153</v>
      </c>
      <c r="B155" s="1">
        <v>42430</v>
      </c>
      <c r="C155">
        <v>2016</v>
      </c>
      <c r="D155" t="s">
        <v>25</v>
      </c>
      <c r="E155">
        <v>53</v>
      </c>
      <c r="F155" t="s">
        <v>16</v>
      </c>
      <c r="G155" t="s">
        <v>17</v>
      </c>
      <c r="H155" t="s">
        <v>18</v>
      </c>
      <c r="I155" t="s">
        <v>19</v>
      </c>
      <c r="J155" t="s">
        <v>20</v>
      </c>
      <c r="K155">
        <v>2</v>
      </c>
      <c r="L155">
        <v>385</v>
      </c>
      <c r="M155">
        <v>495.5</v>
      </c>
      <c r="N155">
        <v>770</v>
      </c>
      <c r="O155">
        <v>991</v>
      </c>
      <c r="P155">
        <v>153</v>
      </c>
      <c r="Q155">
        <v>991</v>
      </c>
      <c r="U155" s="5" t="str">
        <f t="shared" si="2"/>
        <v>FALSE</v>
      </c>
      <c r="V155" s="5" t="str" cm="1">
        <f t="array" ref="V155">_xlfn.IFS(F152="M","TRUE",C152=2016,"TRUE")</f>
        <v>TRUE</v>
      </c>
      <c r="W155" s="5" t="str" cm="1">
        <f t="array" ref="W155">_xlfn.IFNA(_xlfn.IFS(F152="M","TRUE",C152=2016,"TRUE"),"FALSE")</f>
        <v>TRUE</v>
      </c>
    </row>
    <row r="156" spans="1:23" x14ac:dyDescent="0.3">
      <c r="A156">
        <v>154</v>
      </c>
      <c r="B156" s="1">
        <v>42430</v>
      </c>
      <c r="C156">
        <v>2016</v>
      </c>
      <c r="D156" t="s">
        <v>25</v>
      </c>
      <c r="E156">
        <v>53</v>
      </c>
      <c r="F156" t="s">
        <v>16</v>
      </c>
      <c r="G156" t="s">
        <v>17</v>
      </c>
      <c r="H156" t="s">
        <v>18</v>
      </c>
      <c r="I156" t="s">
        <v>19</v>
      </c>
      <c r="J156" t="s">
        <v>20</v>
      </c>
      <c r="K156">
        <v>3</v>
      </c>
      <c r="L156">
        <v>5.33</v>
      </c>
      <c r="M156">
        <v>7.6666670000000003</v>
      </c>
      <c r="N156">
        <v>16</v>
      </c>
      <c r="O156">
        <v>23</v>
      </c>
      <c r="P156">
        <v>154</v>
      </c>
      <c r="Q156">
        <v>23</v>
      </c>
      <c r="U156" s="5" t="str">
        <f t="shared" si="2"/>
        <v>FALSE</v>
      </c>
      <c r="V156" s="5" t="str" cm="1">
        <f t="array" ref="V156">_xlfn.IFS(F153="M","TRUE",C153=2016,"TRUE")</f>
        <v>TRUE</v>
      </c>
      <c r="W156" s="5" t="str" cm="1">
        <f t="array" ref="W156">_xlfn.IFNA(_xlfn.IFS(F153="M","TRUE",C153=2016,"TRUE"),"FALSE")</f>
        <v>TRUE</v>
      </c>
    </row>
    <row r="157" spans="1:23" x14ac:dyDescent="0.3">
      <c r="A157">
        <v>155</v>
      </c>
      <c r="B157" s="1">
        <v>42559</v>
      </c>
      <c r="C157">
        <v>2016</v>
      </c>
      <c r="D157" t="s">
        <v>29</v>
      </c>
      <c r="E157">
        <v>53</v>
      </c>
      <c r="F157" t="s">
        <v>16</v>
      </c>
      <c r="G157" t="s">
        <v>17</v>
      </c>
      <c r="H157" t="s">
        <v>18</v>
      </c>
      <c r="I157" t="s">
        <v>19</v>
      </c>
      <c r="J157" t="s">
        <v>20</v>
      </c>
      <c r="K157">
        <v>2</v>
      </c>
      <c r="L157">
        <v>58</v>
      </c>
      <c r="M157">
        <v>65</v>
      </c>
      <c r="N157">
        <v>116</v>
      </c>
      <c r="O157">
        <v>130</v>
      </c>
      <c r="P157">
        <v>155</v>
      </c>
      <c r="Q157">
        <v>130</v>
      </c>
      <c r="U157" s="5" t="str">
        <f t="shared" si="2"/>
        <v>FALSE</v>
      </c>
      <c r="V157" s="5" t="str" cm="1">
        <f t="array" ref="V157">_xlfn.IFS(F154="M","TRUE",C154=2016,"TRUE")</f>
        <v>TRUE</v>
      </c>
      <c r="W157" s="5" t="str" cm="1">
        <f t="array" ref="W157">_xlfn.IFNA(_xlfn.IFS(F154="M","TRUE",C154=2016,"TRUE"),"FALSE")</f>
        <v>TRUE</v>
      </c>
    </row>
    <row r="158" spans="1:23" x14ac:dyDescent="0.3">
      <c r="A158">
        <v>156</v>
      </c>
      <c r="B158" s="1">
        <v>42559</v>
      </c>
      <c r="C158">
        <v>2016</v>
      </c>
      <c r="D158" t="s">
        <v>29</v>
      </c>
      <c r="E158">
        <v>53</v>
      </c>
      <c r="F158" t="s">
        <v>16</v>
      </c>
      <c r="G158" t="s">
        <v>17</v>
      </c>
      <c r="H158" t="s">
        <v>18</v>
      </c>
      <c r="I158" t="s">
        <v>19</v>
      </c>
      <c r="J158" t="s">
        <v>28</v>
      </c>
      <c r="K158">
        <v>2</v>
      </c>
      <c r="L158">
        <v>455</v>
      </c>
      <c r="M158">
        <v>578</v>
      </c>
      <c r="N158">
        <v>910</v>
      </c>
      <c r="O158">
        <v>1156</v>
      </c>
      <c r="P158">
        <v>156</v>
      </c>
      <c r="Q158">
        <v>1156</v>
      </c>
      <c r="U158" s="5" t="str">
        <f t="shared" si="2"/>
        <v>FALSE</v>
      </c>
      <c r="V158" s="5" t="str" cm="1">
        <f t="array" ref="V158">_xlfn.IFS(F155="M","TRUE",C155=2016,"TRUE")</f>
        <v>TRUE</v>
      </c>
      <c r="W158" s="5" t="str" cm="1">
        <f t="array" ref="W158">_xlfn.IFNA(_xlfn.IFS(F155="M","TRUE",C155=2016,"TRUE"),"FALSE")</f>
        <v>TRUE</v>
      </c>
    </row>
    <row r="159" spans="1:23" x14ac:dyDescent="0.3">
      <c r="A159">
        <v>157</v>
      </c>
      <c r="B159" s="1">
        <v>42571</v>
      </c>
      <c r="C159">
        <v>2016</v>
      </c>
      <c r="D159" t="s">
        <v>29</v>
      </c>
      <c r="E159">
        <v>53</v>
      </c>
      <c r="F159" t="s">
        <v>16</v>
      </c>
      <c r="G159" t="s">
        <v>17</v>
      </c>
      <c r="H159" t="s">
        <v>18</v>
      </c>
      <c r="I159" t="s">
        <v>19</v>
      </c>
      <c r="J159" t="s">
        <v>20</v>
      </c>
      <c r="K159">
        <v>2</v>
      </c>
      <c r="L159">
        <v>30</v>
      </c>
      <c r="M159">
        <v>36</v>
      </c>
      <c r="N159">
        <v>60</v>
      </c>
      <c r="O159">
        <v>72</v>
      </c>
      <c r="P159">
        <v>157</v>
      </c>
      <c r="Q159">
        <v>72</v>
      </c>
      <c r="U159" s="5" t="str">
        <f t="shared" si="2"/>
        <v>FALSE</v>
      </c>
      <c r="V159" s="5" t="str" cm="1">
        <f t="array" ref="V159">_xlfn.IFS(F156="M","TRUE",C156=2016,"TRUE")</f>
        <v>TRUE</v>
      </c>
      <c r="W159" s="5" t="str" cm="1">
        <f t="array" ref="W159">_xlfn.IFNA(_xlfn.IFS(F156="M","TRUE",C156=2016,"TRUE"),"FALSE")</f>
        <v>TRUE</v>
      </c>
    </row>
    <row r="160" spans="1:23" x14ac:dyDescent="0.3">
      <c r="A160">
        <v>158</v>
      </c>
      <c r="B160" s="1">
        <v>42571</v>
      </c>
      <c r="C160">
        <v>2016</v>
      </c>
      <c r="D160" t="s">
        <v>29</v>
      </c>
      <c r="E160">
        <v>53</v>
      </c>
      <c r="F160" t="s">
        <v>16</v>
      </c>
      <c r="G160" t="s">
        <v>17</v>
      </c>
      <c r="H160" t="s">
        <v>18</v>
      </c>
      <c r="I160" t="s">
        <v>19</v>
      </c>
      <c r="J160" t="s">
        <v>20</v>
      </c>
      <c r="K160">
        <v>3</v>
      </c>
      <c r="L160">
        <v>12.33</v>
      </c>
      <c r="M160">
        <v>15.666667</v>
      </c>
      <c r="N160">
        <v>37</v>
      </c>
      <c r="O160">
        <v>47</v>
      </c>
      <c r="P160">
        <v>158</v>
      </c>
      <c r="Q160">
        <v>47</v>
      </c>
      <c r="U160" s="5" t="str">
        <f t="shared" si="2"/>
        <v>FALSE</v>
      </c>
      <c r="V160" s="5" t="str" cm="1">
        <f t="array" ref="V160">_xlfn.IFS(F157="M","TRUE",C157=2016,"TRUE")</f>
        <v>TRUE</v>
      </c>
      <c r="W160" s="5" t="str" cm="1">
        <f t="array" ref="W160">_xlfn.IFNA(_xlfn.IFS(F157="M","TRUE",C157=2016,"TRUE"),"FALSE")</f>
        <v>TRUE</v>
      </c>
    </row>
    <row r="161" spans="1:23" x14ac:dyDescent="0.3">
      <c r="A161">
        <v>159</v>
      </c>
      <c r="B161" s="1">
        <v>42260</v>
      </c>
      <c r="C161">
        <v>2015</v>
      </c>
      <c r="D161" t="s">
        <v>31</v>
      </c>
      <c r="E161">
        <v>53</v>
      </c>
      <c r="F161" t="s">
        <v>16</v>
      </c>
      <c r="G161" t="s">
        <v>17</v>
      </c>
      <c r="H161" t="s">
        <v>18</v>
      </c>
      <c r="I161" t="s">
        <v>19</v>
      </c>
      <c r="J161" t="s">
        <v>20</v>
      </c>
      <c r="K161">
        <v>1</v>
      </c>
      <c r="L161">
        <v>420</v>
      </c>
      <c r="M161">
        <v>442</v>
      </c>
      <c r="N161">
        <v>420</v>
      </c>
      <c r="O161">
        <v>442</v>
      </c>
      <c r="P161">
        <v>159</v>
      </c>
      <c r="Q161">
        <v>442</v>
      </c>
      <c r="U161" s="5" t="str">
        <f t="shared" si="2"/>
        <v>FALSE</v>
      </c>
      <c r="V161" s="5" t="str" cm="1">
        <f t="array" ref="V161">_xlfn.IFS(F158="M","TRUE",C158=2016,"TRUE")</f>
        <v>TRUE</v>
      </c>
      <c r="W161" s="5" t="str" cm="1">
        <f t="array" ref="W161">_xlfn.IFNA(_xlfn.IFS(F158="M","TRUE",C158=2016,"TRUE"),"FALSE")</f>
        <v>TRUE</v>
      </c>
    </row>
    <row r="162" spans="1:23" x14ac:dyDescent="0.3">
      <c r="A162">
        <v>160</v>
      </c>
      <c r="B162" s="1">
        <v>42282</v>
      </c>
      <c r="C162">
        <v>2015</v>
      </c>
      <c r="D162" t="s">
        <v>32</v>
      </c>
      <c r="E162">
        <v>53</v>
      </c>
      <c r="F162" t="s">
        <v>16</v>
      </c>
      <c r="G162" t="s">
        <v>17</v>
      </c>
      <c r="H162" t="s">
        <v>18</v>
      </c>
      <c r="I162" t="s">
        <v>19</v>
      </c>
      <c r="J162" t="s">
        <v>20</v>
      </c>
      <c r="K162">
        <v>1</v>
      </c>
      <c r="L162">
        <v>52</v>
      </c>
      <c r="M162">
        <v>59</v>
      </c>
      <c r="N162">
        <v>52</v>
      </c>
      <c r="O162">
        <v>59</v>
      </c>
      <c r="P162">
        <v>160</v>
      </c>
      <c r="Q162">
        <v>59</v>
      </c>
      <c r="U162" s="5" t="str">
        <f t="shared" si="2"/>
        <v>FALSE</v>
      </c>
      <c r="V162" s="5" t="str" cm="1">
        <f t="array" ref="V162">_xlfn.IFS(F159="M","TRUE",C159=2016,"TRUE")</f>
        <v>TRUE</v>
      </c>
      <c r="W162" s="5" t="str" cm="1">
        <f t="array" ref="W162">_xlfn.IFNA(_xlfn.IFS(F159="M","TRUE",C159=2016,"TRUE"),"FALSE")</f>
        <v>TRUE</v>
      </c>
    </row>
    <row r="163" spans="1:23" x14ac:dyDescent="0.3">
      <c r="A163">
        <v>161</v>
      </c>
      <c r="B163" s="1">
        <v>42411</v>
      </c>
      <c r="C163">
        <v>2016</v>
      </c>
      <c r="D163" t="s">
        <v>15</v>
      </c>
      <c r="E163">
        <v>53</v>
      </c>
      <c r="F163" t="s">
        <v>16</v>
      </c>
      <c r="G163" t="s">
        <v>17</v>
      </c>
      <c r="H163" t="s">
        <v>35</v>
      </c>
      <c r="I163" t="s">
        <v>19</v>
      </c>
      <c r="J163" t="s">
        <v>20</v>
      </c>
      <c r="K163">
        <v>3</v>
      </c>
      <c r="L163">
        <v>35</v>
      </c>
      <c r="M163">
        <v>42.333333000000003</v>
      </c>
      <c r="N163">
        <v>105</v>
      </c>
      <c r="O163">
        <v>127</v>
      </c>
      <c r="P163">
        <v>161</v>
      </c>
      <c r="Q163">
        <v>127</v>
      </c>
      <c r="U163" s="5" t="str">
        <f t="shared" si="2"/>
        <v>FALSE</v>
      </c>
      <c r="V163" s="5" t="str" cm="1">
        <f t="array" ref="V163">_xlfn.IFS(F160="M","TRUE",C160=2016,"TRUE")</f>
        <v>TRUE</v>
      </c>
      <c r="W163" s="5" t="str" cm="1">
        <f t="array" ref="W163">_xlfn.IFNA(_xlfn.IFS(F160="M","TRUE",C160=2016,"TRUE"),"FALSE")</f>
        <v>TRUE</v>
      </c>
    </row>
    <row r="164" spans="1:23" x14ac:dyDescent="0.3">
      <c r="A164">
        <v>162</v>
      </c>
      <c r="B164" s="1">
        <v>42411</v>
      </c>
      <c r="C164">
        <v>2016</v>
      </c>
      <c r="D164" t="s">
        <v>15</v>
      </c>
      <c r="E164">
        <v>53</v>
      </c>
      <c r="F164" t="s">
        <v>16</v>
      </c>
      <c r="G164" t="s">
        <v>17</v>
      </c>
      <c r="H164" t="s">
        <v>35</v>
      </c>
      <c r="I164" t="s">
        <v>19</v>
      </c>
      <c r="J164" t="s">
        <v>20</v>
      </c>
      <c r="K164">
        <v>1</v>
      </c>
      <c r="L164">
        <v>35</v>
      </c>
      <c r="M164">
        <v>42</v>
      </c>
      <c r="N164">
        <v>35</v>
      </c>
      <c r="O164">
        <v>42</v>
      </c>
      <c r="P164">
        <v>162</v>
      </c>
      <c r="Q164">
        <v>42</v>
      </c>
      <c r="U164" s="5" t="str">
        <f t="shared" si="2"/>
        <v>FALSE</v>
      </c>
      <c r="V164" s="5" t="e" cm="1">
        <f t="array" ref="V164">_xlfn.IFS(F161="M","TRUE",C161=2016,"TRUE")</f>
        <v>#N/A</v>
      </c>
      <c r="W164" s="5" t="str" cm="1">
        <f t="array" ref="W164">_xlfn.IFNA(_xlfn.IFS(F161="M","TRUE",C161=2016,"TRUE"),"FALSE")</f>
        <v>FALSE</v>
      </c>
    </row>
    <row r="165" spans="1:23" x14ac:dyDescent="0.3">
      <c r="A165">
        <v>163</v>
      </c>
      <c r="B165" s="1">
        <v>42471</v>
      </c>
      <c r="C165">
        <v>2016</v>
      </c>
      <c r="D165" t="s">
        <v>26</v>
      </c>
      <c r="E165">
        <v>53</v>
      </c>
      <c r="F165" t="s">
        <v>16</v>
      </c>
      <c r="G165" t="s">
        <v>17</v>
      </c>
      <c r="H165" t="s">
        <v>35</v>
      </c>
      <c r="I165" t="s">
        <v>19</v>
      </c>
      <c r="J165" t="s">
        <v>20</v>
      </c>
      <c r="K165">
        <v>2</v>
      </c>
      <c r="L165">
        <v>18</v>
      </c>
      <c r="M165">
        <v>24</v>
      </c>
      <c r="N165">
        <v>36</v>
      </c>
      <c r="O165">
        <v>48</v>
      </c>
      <c r="P165">
        <v>163</v>
      </c>
      <c r="Q165">
        <v>48</v>
      </c>
      <c r="U165" s="5" t="str">
        <f t="shared" si="2"/>
        <v>FALSE</v>
      </c>
      <c r="V165" s="5" t="e" cm="1">
        <f t="array" ref="V165">_xlfn.IFS(F162="M","TRUE",C162=2016,"TRUE")</f>
        <v>#N/A</v>
      </c>
      <c r="W165" s="5" t="str" cm="1">
        <f t="array" ref="W165">_xlfn.IFNA(_xlfn.IFS(F162="M","TRUE",C162=2016,"TRUE"),"FALSE")</f>
        <v>FALSE</v>
      </c>
    </row>
    <row r="166" spans="1:23" x14ac:dyDescent="0.3">
      <c r="A166">
        <v>164</v>
      </c>
      <c r="B166" s="1">
        <v>42471</v>
      </c>
      <c r="C166">
        <v>2016</v>
      </c>
      <c r="D166" t="s">
        <v>26</v>
      </c>
      <c r="E166">
        <v>53</v>
      </c>
      <c r="F166" t="s">
        <v>16</v>
      </c>
      <c r="G166" t="s">
        <v>17</v>
      </c>
      <c r="H166" t="s">
        <v>35</v>
      </c>
      <c r="I166" t="s">
        <v>19</v>
      </c>
      <c r="J166" t="s">
        <v>20</v>
      </c>
      <c r="K166">
        <v>2</v>
      </c>
      <c r="L166">
        <v>32</v>
      </c>
      <c r="M166">
        <v>41</v>
      </c>
      <c r="N166">
        <v>64</v>
      </c>
      <c r="O166">
        <v>82</v>
      </c>
      <c r="P166">
        <v>164</v>
      </c>
      <c r="Q166">
        <v>82</v>
      </c>
      <c r="U166" s="5" t="str">
        <f t="shared" si="2"/>
        <v>FALSE</v>
      </c>
      <c r="V166" s="5" t="str" cm="1">
        <f t="array" ref="V166">_xlfn.IFS(F163="M","TRUE",C163=2016,"TRUE")</f>
        <v>TRUE</v>
      </c>
      <c r="W166" s="5" t="str" cm="1">
        <f t="array" ref="W166">_xlfn.IFNA(_xlfn.IFS(F163="M","TRUE",C163=2016,"TRUE"),"FALSE")</f>
        <v>TRUE</v>
      </c>
    </row>
    <row r="167" spans="1:23" x14ac:dyDescent="0.3">
      <c r="A167">
        <v>165</v>
      </c>
      <c r="B167" s="1">
        <v>42478</v>
      </c>
      <c r="C167">
        <v>2016</v>
      </c>
      <c r="D167" t="s">
        <v>26</v>
      </c>
      <c r="E167">
        <v>53</v>
      </c>
      <c r="F167" t="s">
        <v>16</v>
      </c>
      <c r="G167" t="s">
        <v>17</v>
      </c>
      <c r="H167" t="s">
        <v>35</v>
      </c>
      <c r="I167" t="s">
        <v>19</v>
      </c>
      <c r="J167" t="s">
        <v>20</v>
      </c>
      <c r="K167">
        <v>2</v>
      </c>
      <c r="L167">
        <v>40</v>
      </c>
      <c r="M167">
        <v>47.5</v>
      </c>
      <c r="N167">
        <v>80</v>
      </c>
      <c r="O167">
        <v>95</v>
      </c>
      <c r="P167">
        <v>165</v>
      </c>
      <c r="Q167">
        <v>95</v>
      </c>
      <c r="U167" s="5" t="str">
        <f t="shared" si="2"/>
        <v>FALSE</v>
      </c>
      <c r="V167" s="5" t="str" cm="1">
        <f t="array" ref="V167">_xlfn.IFS(F164="M","TRUE",C164=2016,"TRUE")</f>
        <v>TRUE</v>
      </c>
      <c r="W167" s="5" t="str" cm="1">
        <f t="array" ref="W167">_xlfn.IFNA(_xlfn.IFS(F164="M","TRUE",C164=2016,"TRUE"),"FALSE")</f>
        <v>TRUE</v>
      </c>
    </row>
    <row r="168" spans="1:23" x14ac:dyDescent="0.3">
      <c r="A168">
        <v>166</v>
      </c>
      <c r="B168" s="1">
        <v>42478</v>
      </c>
      <c r="C168">
        <v>2016</v>
      </c>
      <c r="D168" t="s">
        <v>26</v>
      </c>
      <c r="E168">
        <v>53</v>
      </c>
      <c r="F168" t="s">
        <v>16</v>
      </c>
      <c r="G168" t="s">
        <v>17</v>
      </c>
      <c r="H168" t="s">
        <v>35</v>
      </c>
      <c r="I168" t="s">
        <v>19</v>
      </c>
      <c r="J168" t="s">
        <v>20</v>
      </c>
      <c r="K168">
        <v>3</v>
      </c>
      <c r="L168">
        <v>290</v>
      </c>
      <c r="M168">
        <v>340</v>
      </c>
      <c r="N168">
        <v>870</v>
      </c>
      <c r="O168">
        <v>1020</v>
      </c>
      <c r="P168">
        <v>166</v>
      </c>
      <c r="Q168">
        <v>1020</v>
      </c>
      <c r="U168" s="5" t="str">
        <f t="shared" si="2"/>
        <v>FALSE</v>
      </c>
      <c r="V168" s="5" t="str" cm="1">
        <f t="array" ref="V168">_xlfn.IFS(F165="M","TRUE",C165=2016,"TRUE")</f>
        <v>TRUE</v>
      </c>
      <c r="W168" s="5" t="str" cm="1">
        <f t="array" ref="W168">_xlfn.IFNA(_xlfn.IFS(F165="M","TRUE",C165=2016,"TRUE"),"FALSE")</f>
        <v>TRUE</v>
      </c>
    </row>
    <row r="169" spans="1:23" x14ac:dyDescent="0.3">
      <c r="A169">
        <v>167</v>
      </c>
      <c r="B169" s="1">
        <v>42480</v>
      </c>
      <c r="C169">
        <v>2016</v>
      </c>
      <c r="D169" t="s">
        <v>26</v>
      </c>
      <c r="E169">
        <v>53</v>
      </c>
      <c r="F169" t="s">
        <v>16</v>
      </c>
      <c r="G169" t="s">
        <v>17</v>
      </c>
      <c r="H169" t="s">
        <v>35</v>
      </c>
      <c r="I169" t="s">
        <v>19</v>
      </c>
      <c r="J169" t="s">
        <v>20</v>
      </c>
      <c r="K169">
        <v>1</v>
      </c>
      <c r="L169">
        <v>20</v>
      </c>
      <c r="M169">
        <v>28</v>
      </c>
      <c r="N169">
        <v>20</v>
      </c>
      <c r="O169">
        <v>28</v>
      </c>
      <c r="P169">
        <v>167</v>
      </c>
      <c r="Q169">
        <v>28</v>
      </c>
      <c r="U169" s="5" t="str">
        <f t="shared" si="2"/>
        <v>FALSE</v>
      </c>
      <c r="V169" s="5" t="str" cm="1">
        <f t="array" ref="V169">_xlfn.IFS(F166="M","TRUE",C166=2016,"TRUE")</f>
        <v>TRUE</v>
      </c>
      <c r="W169" s="5" t="str" cm="1">
        <f t="array" ref="W169">_xlfn.IFNA(_xlfn.IFS(F166="M","TRUE",C166=2016,"TRUE"),"FALSE")</f>
        <v>TRUE</v>
      </c>
    </row>
    <row r="170" spans="1:23" x14ac:dyDescent="0.3">
      <c r="A170">
        <v>168</v>
      </c>
      <c r="B170" s="1">
        <v>42486</v>
      </c>
      <c r="C170">
        <v>2016</v>
      </c>
      <c r="D170" t="s">
        <v>26</v>
      </c>
      <c r="E170">
        <v>53</v>
      </c>
      <c r="F170" t="s">
        <v>16</v>
      </c>
      <c r="G170" t="s">
        <v>17</v>
      </c>
      <c r="H170" t="s">
        <v>35</v>
      </c>
      <c r="I170" t="s">
        <v>19</v>
      </c>
      <c r="J170" t="s">
        <v>20</v>
      </c>
      <c r="K170">
        <v>2</v>
      </c>
      <c r="L170">
        <v>8</v>
      </c>
      <c r="M170">
        <v>9</v>
      </c>
      <c r="N170">
        <v>16</v>
      </c>
      <c r="O170">
        <v>18</v>
      </c>
      <c r="P170">
        <v>168</v>
      </c>
      <c r="Q170">
        <v>18</v>
      </c>
      <c r="U170" s="5" t="str">
        <f t="shared" si="2"/>
        <v>FALSE</v>
      </c>
      <c r="V170" s="5" t="str" cm="1">
        <f t="array" ref="V170">_xlfn.IFS(F167="M","TRUE",C167=2016,"TRUE")</f>
        <v>TRUE</v>
      </c>
      <c r="W170" s="5" t="str" cm="1">
        <f t="array" ref="W170">_xlfn.IFNA(_xlfn.IFS(F167="M","TRUE",C167=2016,"TRUE"),"FALSE")</f>
        <v>TRUE</v>
      </c>
    </row>
    <row r="171" spans="1:23" x14ac:dyDescent="0.3">
      <c r="A171">
        <v>169</v>
      </c>
      <c r="B171" s="1">
        <v>42494</v>
      </c>
      <c r="C171">
        <v>2016</v>
      </c>
      <c r="D171" t="s">
        <v>43</v>
      </c>
      <c r="E171">
        <v>53</v>
      </c>
      <c r="F171" t="s">
        <v>16</v>
      </c>
      <c r="G171" t="s">
        <v>17</v>
      </c>
      <c r="H171" t="s">
        <v>35</v>
      </c>
      <c r="I171" t="s">
        <v>19</v>
      </c>
      <c r="J171" t="s">
        <v>20</v>
      </c>
      <c r="K171">
        <v>2</v>
      </c>
      <c r="L171">
        <v>42.5</v>
      </c>
      <c r="M171">
        <v>53.5</v>
      </c>
      <c r="N171">
        <v>85</v>
      </c>
      <c r="O171">
        <v>107</v>
      </c>
      <c r="P171">
        <v>169</v>
      </c>
      <c r="Q171">
        <v>107</v>
      </c>
      <c r="U171" s="5" t="str">
        <f t="shared" si="2"/>
        <v>FALSE</v>
      </c>
      <c r="V171" s="5" t="str" cm="1">
        <f t="array" ref="V171">_xlfn.IFS(F168="M","TRUE",C168=2016,"TRUE")</f>
        <v>TRUE</v>
      </c>
      <c r="W171" s="5" t="str" cm="1">
        <f t="array" ref="W171">_xlfn.IFNA(_xlfn.IFS(F168="M","TRUE",C168=2016,"TRUE"),"FALSE")</f>
        <v>TRUE</v>
      </c>
    </row>
    <row r="172" spans="1:23" x14ac:dyDescent="0.3">
      <c r="A172">
        <v>170</v>
      </c>
      <c r="B172" s="1">
        <v>42494</v>
      </c>
      <c r="C172">
        <v>2016</v>
      </c>
      <c r="D172" t="s">
        <v>43</v>
      </c>
      <c r="E172">
        <v>53</v>
      </c>
      <c r="F172" t="s">
        <v>16</v>
      </c>
      <c r="G172" t="s">
        <v>17</v>
      </c>
      <c r="H172" t="s">
        <v>35</v>
      </c>
      <c r="I172" t="s">
        <v>19</v>
      </c>
      <c r="J172" t="s">
        <v>20</v>
      </c>
      <c r="K172">
        <v>3</v>
      </c>
      <c r="L172">
        <v>175</v>
      </c>
      <c r="M172">
        <v>208</v>
      </c>
      <c r="N172">
        <v>525</v>
      </c>
      <c r="O172">
        <v>624</v>
      </c>
      <c r="P172">
        <v>170</v>
      </c>
      <c r="Q172">
        <v>624</v>
      </c>
      <c r="U172" s="5" t="str">
        <f t="shared" si="2"/>
        <v>FALSE</v>
      </c>
      <c r="V172" s="5" t="str" cm="1">
        <f t="array" ref="V172">_xlfn.IFS(F169="M","TRUE",C169=2016,"TRUE")</f>
        <v>TRUE</v>
      </c>
      <c r="W172" s="5" t="str" cm="1">
        <f t="array" ref="W172">_xlfn.IFNA(_xlfn.IFS(F169="M","TRUE",C169=2016,"TRUE"),"FALSE")</f>
        <v>TRUE</v>
      </c>
    </row>
    <row r="173" spans="1:23" x14ac:dyDescent="0.3">
      <c r="A173">
        <v>171</v>
      </c>
      <c r="B173" s="1">
        <v>42519</v>
      </c>
      <c r="C173">
        <v>2016</v>
      </c>
      <c r="D173" t="s">
        <v>43</v>
      </c>
      <c r="E173">
        <v>53</v>
      </c>
      <c r="F173" t="s">
        <v>16</v>
      </c>
      <c r="G173" t="s">
        <v>17</v>
      </c>
      <c r="H173" t="s">
        <v>35</v>
      </c>
      <c r="I173" t="s">
        <v>19</v>
      </c>
      <c r="J173" t="s">
        <v>20</v>
      </c>
      <c r="K173">
        <v>1</v>
      </c>
      <c r="L173">
        <v>315</v>
      </c>
      <c r="M173">
        <v>390</v>
      </c>
      <c r="N173">
        <v>315</v>
      </c>
      <c r="O173">
        <v>390</v>
      </c>
      <c r="P173">
        <v>171</v>
      </c>
      <c r="Q173">
        <v>390</v>
      </c>
      <c r="U173" s="5" t="str">
        <f t="shared" si="2"/>
        <v>FALSE</v>
      </c>
      <c r="V173" s="5" t="str" cm="1">
        <f t="array" ref="V173">_xlfn.IFS(F170="M","TRUE",C170=2016,"TRUE")</f>
        <v>TRUE</v>
      </c>
      <c r="W173" s="5" t="str" cm="1">
        <f t="array" ref="W173">_xlfn.IFNA(_xlfn.IFS(F170="M","TRUE",C170=2016,"TRUE"),"FALSE")</f>
        <v>TRUE</v>
      </c>
    </row>
    <row r="174" spans="1:23" x14ac:dyDescent="0.3">
      <c r="A174">
        <v>172</v>
      </c>
      <c r="B174" s="1">
        <v>42561</v>
      </c>
      <c r="C174">
        <v>2016</v>
      </c>
      <c r="D174" t="s">
        <v>29</v>
      </c>
      <c r="E174">
        <v>53</v>
      </c>
      <c r="F174" t="s">
        <v>16</v>
      </c>
      <c r="G174" t="s">
        <v>17</v>
      </c>
      <c r="H174" t="s">
        <v>35</v>
      </c>
      <c r="I174" t="s">
        <v>19</v>
      </c>
      <c r="J174" t="s">
        <v>20</v>
      </c>
      <c r="K174">
        <v>1</v>
      </c>
      <c r="L174">
        <v>455</v>
      </c>
      <c r="M174">
        <v>480</v>
      </c>
      <c r="N174">
        <v>455</v>
      </c>
      <c r="O174">
        <v>480</v>
      </c>
      <c r="P174">
        <v>172</v>
      </c>
      <c r="Q174">
        <v>480</v>
      </c>
      <c r="U174" s="5" t="str">
        <f t="shared" si="2"/>
        <v>FALSE</v>
      </c>
      <c r="V174" s="5" t="str" cm="1">
        <f t="array" ref="V174">_xlfn.IFS(F171="M","TRUE",C171=2016,"TRUE")</f>
        <v>TRUE</v>
      </c>
      <c r="W174" s="5" t="str" cm="1">
        <f t="array" ref="W174">_xlfn.IFNA(_xlfn.IFS(F171="M","TRUE",C171=2016,"TRUE"),"FALSE")</f>
        <v>TRUE</v>
      </c>
    </row>
    <row r="175" spans="1:23" x14ac:dyDescent="0.3">
      <c r="A175">
        <v>173</v>
      </c>
      <c r="B175" s="1">
        <v>42561</v>
      </c>
      <c r="C175">
        <v>2016</v>
      </c>
      <c r="D175" t="s">
        <v>29</v>
      </c>
      <c r="E175">
        <v>53</v>
      </c>
      <c r="F175" t="s">
        <v>16</v>
      </c>
      <c r="G175" t="s">
        <v>17</v>
      </c>
      <c r="H175" t="s">
        <v>35</v>
      </c>
      <c r="I175" t="s">
        <v>19</v>
      </c>
      <c r="J175" t="s">
        <v>20</v>
      </c>
      <c r="K175">
        <v>3</v>
      </c>
      <c r="L175">
        <v>5.33</v>
      </c>
      <c r="M175">
        <v>7</v>
      </c>
      <c r="N175">
        <v>16</v>
      </c>
      <c r="O175">
        <v>21</v>
      </c>
      <c r="P175">
        <v>173</v>
      </c>
      <c r="Q175">
        <v>21</v>
      </c>
      <c r="U175" s="5" t="str">
        <f t="shared" si="2"/>
        <v>FALSE</v>
      </c>
      <c r="V175" s="5" t="str" cm="1">
        <f t="array" ref="V175">_xlfn.IFS(F172="M","TRUE",C172=2016,"TRUE")</f>
        <v>TRUE</v>
      </c>
      <c r="W175" s="5" t="str" cm="1">
        <f t="array" ref="W175">_xlfn.IFNA(_xlfn.IFS(F172="M","TRUE",C172=2016,"TRUE"),"FALSE")</f>
        <v>TRUE</v>
      </c>
    </row>
    <row r="176" spans="1:23" x14ac:dyDescent="0.3">
      <c r="A176">
        <v>174</v>
      </c>
      <c r="B176" s="1">
        <v>42575</v>
      </c>
      <c r="C176">
        <v>2016</v>
      </c>
      <c r="D176" t="s">
        <v>29</v>
      </c>
      <c r="E176">
        <v>53</v>
      </c>
      <c r="F176" t="s">
        <v>16</v>
      </c>
      <c r="G176" t="s">
        <v>17</v>
      </c>
      <c r="H176" t="s">
        <v>35</v>
      </c>
      <c r="I176" t="s">
        <v>19</v>
      </c>
      <c r="J176" t="s">
        <v>20</v>
      </c>
      <c r="K176">
        <v>2</v>
      </c>
      <c r="L176">
        <v>6</v>
      </c>
      <c r="M176">
        <v>8</v>
      </c>
      <c r="N176">
        <v>12</v>
      </c>
      <c r="O176">
        <v>16</v>
      </c>
      <c r="P176">
        <v>174</v>
      </c>
      <c r="Q176">
        <v>16</v>
      </c>
      <c r="U176" s="5" t="str">
        <f t="shared" si="2"/>
        <v>FALSE</v>
      </c>
      <c r="V176" s="5" t="str" cm="1">
        <f t="array" ref="V176">_xlfn.IFS(F173="M","TRUE",C173=2016,"TRUE")</f>
        <v>TRUE</v>
      </c>
      <c r="W176" s="5" t="str" cm="1">
        <f t="array" ref="W176">_xlfn.IFNA(_xlfn.IFS(F173="M","TRUE",C173=2016,"TRUE"),"FALSE")</f>
        <v>TRUE</v>
      </c>
    </row>
    <row r="177" spans="1:23" x14ac:dyDescent="0.3">
      <c r="A177">
        <v>175</v>
      </c>
      <c r="B177" s="1">
        <v>42575</v>
      </c>
      <c r="C177">
        <v>2016</v>
      </c>
      <c r="D177" t="s">
        <v>29</v>
      </c>
      <c r="E177">
        <v>53</v>
      </c>
      <c r="F177" t="s">
        <v>16</v>
      </c>
      <c r="G177" t="s">
        <v>17</v>
      </c>
      <c r="H177" t="s">
        <v>35</v>
      </c>
      <c r="I177" t="s">
        <v>19</v>
      </c>
      <c r="J177" t="s">
        <v>20</v>
      </c>
      <c r="K177">
        <v>1</v>
      </c>
      <c r="L177">
        <v>2</v>
      </c>
      <c r="M177">
        <v>3</v>
      </c>
      <c r="N177">
        <v>2</v>
      </c>
      <c r="O177">
        <v>3</v>
      </c>
      <c r="P177">
        <v>175</v>
      </c>
      <c r="Q177">
        <v>3</v>
      </c>
      <c r="U177" s="5" t="str">
        <f t="shared" si="2"/>
        <v>FALSE</v>
      </c>
      <c r="V177" s="5" t="str" cm="1">
        <f t="array" ref="V177">_xlfn.IFS(F174="M","TRUE",C174=2016,"TRUE")</f>
        <v>TRUE</v>
      </c>
      <c r="W177" s="5" t="str" cm="1">
        <f t="array" ref="W177">_xlfn.IFNA(_xlfn.IFS(F174="M","TRUE",C174=2016,"TRUE"),"FALSE")</f>
        <v>TRUE</v>
      </c>
    </row>
    <row r="178" spans="1:23" x14ac:dyDescent="0.3">
      <c r="A178">
        <v>176</v>
      </c>
      <c r="B178" s="1">
        <v>42309</v>
      </c>
      <c r="C178">
        <v>2015</v>
      </c>
      <c r="D178" t="s">
        <v>33</v>
      </c>
      <c r="E178">
        <v>53</v>
      </c>
      <c r="F178" t="s">
        <v>16</v>
      </c>
      <c r="G178" t="s">
        <v>17</v>
      </c>
      <c r="H178" t="s">
        <v>35</v>
      </c>
      <c r="I178" t="s">
        <v>19</v>
      </c>
      <c r="J178" t="s">
        <v>20</v>
      </c>
      <c r="K178">
        <v>1</v>
      </c>
      <c r="L178">
        <v>32</v>
      </c>
      <c r="M178">
        <v>35</v>
      </c>
      <c r="N178">
        <v>32</v>
      </c>
      <c r="O178">
        <v>35</v>
      </c>
      <c r="P178">
        <v>176</v>
      </c>
      <c r="Q178">
        <v>35</v>
      </c>
      <c r="U178" s="5" t="str">
        <f t="shared" si="2"/>
        <v>FALSE</v>
      </c>
      <c r="V178" s="5" t="str" cm="1">
        <f t="array" ref="V178">_xlfn.IFS(F175="M","TRUE",C175=2016,"TRUE")</f>
        <v>TRUE</v>
      </c>
      <c r="W178" s="5" t="str" cm="1">
        <f t="array" ref="W178">_xlfn.IFNA(_xlfn.IFS(F175="M","TRUE",C175=2016,"TRUE"),"FALSE")</f>
        <v>TRUE</v>
      </c>
    </row>
    <row r="179" spans="1:23" x14ac:dyDescent="0.3">
      <c r="A179">
        <v>177</v>
      </c>
      <c r="B179" s="1">
        <v>42309</v>
      </c>
      <c r="C179">
        <v>2015</v>
      </c>
      <c r="D179" t="s">
        <v>33</v>
      </c>
      <c r="E179">
        <v>53</v>
      </c>
      <c r="F179" t="s">
        <v>16</v>
      </c>
      <c r="G179" t="s">
        <v>17</v>
      </c>
      <c r="H179" t="s">
        <v>35</v>
      </c>
      <c r="I179" t="s">
        <v>19</v>
      </c>
      <c r="J179" t="s">
        <v>20</v>
      </c>
      <c r="K179">
        <v>3</v>
      </c>
      <c r="L179">
        <v>21.33</v>
      </c>
      <c r="M179">
        <v>24</v>
      </c>
      <c r="N179">
        <v>64</v>
      </c>
      <c r="O179">
        <v>72</v>
      </c>
      <c r="P179">
        <v>177</v>
      </c>
      <c r="Q179">
        <v>72</v>
      </c>
      <c r="U179" s="5" t="str">
        <f t="shared" si="2"/>
        <v>FALSE</v>
      </c>
      <c r="V179" s="5" t="str" cm="1">
        <f t="array" ref="V179">_xlfn.IFS(F176="M","TRUE",C176=2016,"TRUE")</f>
        <v>TRUE</v>
      </c>
      <c r="W179" s="5" t="str" cm="1">
        <f t="array" ref="W179">_xlfn.IFNA(_xlfn.IFS(F176="M","TRUE",C176=2016,"TRUE"),"FALSE")</f>
        <v>TRUE</v>
      </c>
    </row>
    <row r="180" spans="1:23" x14ac:dyDescent="0.3">
      <c r="A180">
        <v>178</v>
      </c>
      <c r="B180" s="1">
        <v>42353</v>
      </c>
      <c r="C180">
        <v>2015</v>
      </c>
      <c r="D180" t="s">
        <v>34</v>
      </c>
      <c r="E180">
        <v>53</v>
      </c>
      <c r="F180" t="s">
        <v>16</v>
      </c>
      <c r="G180" t="s">
        <v>17</v>
      </c>
      <c r="H180" t="s">
        <v>35</v>
      </c>
      <c r="I180" t="s">
        <v>19</v>
      </c>
      <c r="J180" t="s">
        <v>20</v>
      </c>
      <c r="K180">
        <v>3</v>
      </c>
      <c r="L180">
        <v>338.33</v>
      </c>
      <c r="M180">
        <v>373.66666700000002</v>
      </c>
      <c r="N180">
        <v>1015</v>
      </c>
      <c r="O180">
        <v>1121</v>
      </c>
      <c r="P180">
        <v>178</v>
      </c>
      <c r="Q180">
        <v>1121</v>
      </c>
      <c r="U180" s="5" t="str">
        <f t="shared" si="2"/>
        <v>FALSE</v>
      </c>
      <c r="V180" s="5" t="str" cm="1">
        <f t="array" ref="V180">_xlfn.IFS(F177="M","TRUE",C177=2016,"TRUE")</f>
        <v>TRUE</v>
      </c>
      <c r="W180" s="5" t="str" cm="1">
        <f t="array" ref="W180">_xlfn.IFNA(_xlfn.IFS(F177="M","TRUE",C177=2016,"TRUE"),"FALSE")</f>
        <v>TRUE</v>
      </c>
    </row>
    <row r="181" spans="1:23" x14ac:dyDescent="0.3">
      <c r="A181">
        <v>179</v>
      </c>
      <c r="B181" s="1">
        <v>42353</v>
      </c>
      <c r="C181">
        <v>2015</v>
      </c>
      <c r="D181" t="s">
        <v>34</v>
      </c>
      <c r="E181">
        <v>53</v>
      </c>
      <c r="F181" t="s">
        <v>16</v>
      </c>
      <c r="G181" t="s">
        <v>17</v>
      </c>
      <c r="H181" t="s">
        <v>35</v>
      </c>
      <c r="I181" t="s">
        <v>19</v>
      </c>
      <c r="J181" t="s">
        <v>20</v>
      </c>
      <c r="K181">
        <v>2</v>
      </c>
      <c r="L181">
        <v>37.5</v>
      </c>
      <c r="M181">
        <v>36</v>
      </c>
      <c r="N181">
        <v>75</v>
      </c>
      <c r="O181">
        <v>72</v>
      </c>
      <c r="P181">
        <v>179</v>
      </c>
      <c r="Q181">
        <v>72</v>
      </c>
      <c r="U181" s="5" t="str">
        <f t="shared" si="2"/>
        <v>FALSE</v>
      </c>
      <c r="V181" s="5" t="e" cm="1">
        <f t="array" ref="V181">_xlfn.IFS(F178="M","TRUE",C178=2016,"TRUE")</f>
        <v>#N/A</v>
      </c>
      <c r="W181" s="5" t="str" cm="1">
        <f t="array" ref="W181">_xlfn.IFNA(_xlfn.IFS(F178="M","TRUE",C178=2016,"TRUE"),"FALSE")</f>
        <v>FALSE</v>
      </c>
    </row>
    <row r="182" spans="1:23" x14ac:dyDescent="0.3">
      <c r="A182">
        <v>180</v>
      </c>
      <c r="B182" s="1">
        <v>42353</v>
      </c>
      <c r="C182">
        <v>2015</v>
      </c>
      <c r="D182" t="s">
        <v>34</v>
      </c>
      <c r="E182">
        <v>53</v>
      </c>
      <c r="F182" t="s">
        <v>16</v>
      </c>
      <c r="G182" t="s">
        <v>17</v>
      </c>
      <c r="H182" t="s">
        <v>35</v>
      </c>
      <c r="I182" t="s">
        <v>19</v>
      </c>
      <c r="J182" t="s">
        <v>20</v>
      </c>
      <c r="K182">
        <v>1</v>
      </c>
      <c r="L182">
        <v>270</v>
      </c>
      <c r="M182">
        <v>268</v>
      </c>
      <c r="N182">
        <v>270</v>
      </c>
      <c r="O182">
        <v>268</v>
      </c>
      <c r="P182">
        <v>180</v>
      </c>
      <c r="Q182">
        <v>268</v>
      </c>
      <c r="U182" s="5" t="str">
        <f t="shared" si="2"/>
        <v>FALSE</v>
      </c>
      <c r="V182" s="5" t="e" cm="1">
        <f t="array" ref="V182">_xlfn.IFS(F179="M","TRUE",C179=2016,"TRUE")</f>
        <v>#N/A</v>
      </c>
      <c r="W182" s="5" t="str" cm="1">
        <f t="array" ref="W182">_xlfn.IFNA(_xlfn.IFS(F179="M","TRUE",C179=2016,"TRUE"),"FALSE")</f>
        <v>FALSE</v>
      </c>
    </row>
    <row r="183" spans="1:23" x14ac:dyDescent="0.3">
      <c r="A183">
        <v>181</v>
      </c>
      <c r="B183" s="1">
        <v>42353</v>
      </c>
      <c r="C183">
        <v>2015</v>
      </c>
      <c r="D183" t="s">
        <v>34</v>
      </c>
      <c r="E183">
        <v>53</v>
      </c>
      <c r="F183" t="s">
        <v>16</v>
      </c>
      <c r="G183" t="s">
        <v>17</v>
      </c>
      <c r="H183" t="s">
        <v>35</v>
      </c>
      <c r="I183" t="s">
        <v>19</v>
      </c>
      <c r="J183" t="s">
        <v>20</v>
      </c>
      <c r="K183">
        <v>3</v>
      </c>
      <c r="L183">
        <v>36.67</v>
      </c>
      <c r="M183">
        <v>37.666666999999997</v>
      </c>
      <c r="N183">
        <v>110</v>
      </c>
      <c r="O183">
        <v>113</v>
      </c>
      <c r="P183">
        <v>181</v>
      </c>
      <c r="Q183">
        <v>113</v>
      </c>
      <c r="U183" s="5" t="str">
        <f t="shared" si="2"/>
        <v>FALSE</v>
      </c>
      <c r="V183" s="5" t="e" cm="1">
        <f t="array" ref="V183">_xlfn.IFS(F180="M","TRUE",C180=2016,"TRUE")</f>
        <v>#N/A</v>
      </c>
      <c r="W183" s="5" t="str" cm="1">
        <f t="array" ref="W183">_xlfn.IFNA(_xlfn.IFS(F180="M","TRUE",C180=2016,"TRUE"),"FALSE")</f>
        <v>FALSE</v>
      </c>
    </row>
    <row r="184" spans="1:23" x14ac:dyDescent="0.3">
      <c r="A184">
        <v>182</v>
      </c>
      <c r="B184" s="1">
        <v>42353</v>
      </c>
      <c r="C184">
        <v>2015</v>
      </c>
      <c r="D184" t="s">
        <v>34</v>
      </c>
      <c r="E184">
        <v>53</v>
      </c>
      <c r="F184" t="s">
        <v>16</v>
      </c>
      <c r="G184" t="s">
        <v>17</v>
      </c>
      <c r="H184" t="s">
        <v>35</v>
      </c>
      <c r="I184" t="s">
        <v>19</v>
      </c>
      <c r="J184" t="s">
        <v>20</v>
      </c>
      <c r="K184">
        <v>1</v>
      </c>
      <c r="L184">
        <v>69</v>
      </c>
      <c r="M184">
        <v>85</v>
      </c>
      <c r="N184">
        <v>69</v>
      </c>
      <c r="O184">
        <v>85</v>
      </c>
      <c r="P184">
        <v>182</v>
      </c>
      <c r="Q184">
        <v>85</v>
      </c>
      <c r="U184" s="5" t="str">
        <f t="shared" si="2"/>
        <v>FALSE</v>
      </c>
      <c r="V184" s="5" t="e" cm="1">
        <f t="array" ref="V184">_xlfn.IFS(F181="M","TRUE",C181=2016,"TRUE")</f>
        <v>#N/A</v>
      </c>
      <c r="W184" s="5" t="str" cm="1">
        <f t="array" ref="W184">_xlfn.IFNA(_xlfn.IFS(F181="M","TRUE",C181=2016,"TRUE"),"FALSE")</f>
        <v>FALSE</v>
      </c>
    </row>
    <row r="185" spans="1:23" x14ac:dyDescent="0.3">
      <c r="A185">
        <v>183</v>
      </c>
      <c r="B185" s="1">
        <v>42357</v>
      </c>
      <c r="C185">
        <v>2015</v>
      </c>
      <c r="D185" t="s">
        <v>34</v>
      </c>
      <c r="E185">
        <v>53</v>
      </c>
      <c r="F185" t="s">
        <v>16</v>
      </c>
      <c r="G185" t="s">
        <v>17</v>
      </c>
      <c r="H185" t="s">
        <v>35</v>
      </c>
      <c r="I185" t="s">
        <v>19</v>
      </c>
      <c r="J185" t="s">
        <v>20</v>
      </c>
      <c r="K185">
        <v>3</v>
      </c>
      <c r="L185">
        <v>64.33</v>
      </c>
      <c r="M185">
        <v>72</v>
      </c>
      <c r="N185">
        <v>193</v>
      </c>
      <c r="O185">
        <v>216</v>
      </c>
      <c r="P185">
        <v>183</v>
      </c>
      <c r="Q185">
        <v>216</v>
      </c>
      <c r="U185" s="5" t="str">
        <f t="shared" si="2"/>
        <v>FALSE</v>
      </c>
      <c r="V185" s="5" t="e" cm="1">
        <f t="array" ref="V185">_xlfn.IFS(F182="M","TRUE",C182=2016,"TRUE")</f>
        <v>#N/A</v>
      </c>
      <c r="W185" s="5" t="str" cm="1">
        <f t="array" ref="W185">_xlfn.IFNA(_xlfn.IFS(F182="M","TRUE",C182=2016,"TRUE"),"FALSE")</f>
        <v>FALSE</v>
      </c>
    </row>
    <row r="186" spans="1:23" x14ac:dyDescent="0.3">
      <c r="A186">
        <v>184</v>
      </c>
      <c r="B186" s="1">
        <v>42282</v>
      </c>
      <c r="C186">
        <v>2015</v>
      </c>
      <c r="D186" t="s">
        <v>32</v>
      </c>
      <c r="E186">
        <v>53</v>
      </c>
      <c r="F186" t="s">
        <v>16</v>
      </c>
      <c r="G186" t="s">
        <v>17</v>
      </c>
      <c r="H186" t="s">
        <v>18</v>
      </c>
      <c r="I186" t="s">
        <v>23</v>
      </c>
      <c r="J186" t="s">
        <v>51</v>
      </c>
      <c r="K186">
        <v>1</v>
      </c>
      <c r="L186">
        <v>191</v>
      </c>
      <c r="M186">
        <v>213</v>
      </c>
      <c r="N186">
        <v>191</v>
      </c>
      <c r="O186">
        <v>213</v>
      </c>
      <c r="P186">
        <v>184</v>
      </c>
      <c r="Q186">
        <v>213</v>
      </c>
      <c r="U186" s="5" t="str">
        <f t="shared" si="2"/>
        <v>FALSE</v>
      </c>
      <c r="V186" s="5" t="e" cm="1">
        <f t="array" ref="V186">_xlfn.IFS(F183="M","TRUE",C183=2016,"TRUE")</f>
        <v>#N/A</v>
      </c>
      <c r="W186" s="5" t="str" cm="1">
        <f t="array" ref="W186">_xlfn.IFNA(_xlfn.IFS(F183="M","TRUE",C183=2016,"TRUE"),"FALSE")</f>
        <v>FALSE</v>
      </c>
    </row>
    <row r="187" spans="1:23" x14ac:dyDescent="0.3">
      <c r="A187">
        <v>185</v>
      </c>
      <c r="B187" s="1">
        <v>42395</v>
      </c>
      <c r="C187">
        <v>2016</v>
      </c>
      <c r="D187" t="s">
        <v>45</v>
      </c>
      <c r="E187">
        <v>53</v>
      </c>
      <c r="F187" t="s">
        <v>37</v>
      </c>
      <c r="G187" t="s">
        <v>17</v>
      </c>
      <c r="H187" t="s">
        <v>18</v>
      </c>
      <c r="I187" t="s">
        <v>38</v>
      </c>
      <c r="J187" t="s">
        <v>39</v>
      </c>
      <c r="K187">
        <v>2</v>
      </c>
      <c r="L187">
        <v>1160</v>
      </c>
      <c r="M187">
        <v>1225</v>
      </c>
      <c r="N187">
        <v>2320</v>
      </c>
      <c r="O187">
        <v>2450</v>
      </c>
      <c r="P187">
        <v>185</v>
      </c>
      <c r="Q187">
        <v>2450</v>
      </c>
      <c r="U187" s="5" t="str">
        <f t="shared" si="2"/>
        <v>FALSE</v>
      </c>
      <c r="V187" s="5" t="e" cm="1">
        <f t="array" ref="V187">_xlfn.IFS(F184="M","TRUE",C184=2016,"TRUE")</f>
        <v>#N/A</v>
      </c>
      <c r="W187" s="5" t="str" cm="1">
        <f t="array" ref="W187">_xlfn.IFNA(_xlfn.IFS(F184="M","TRUE",C184=2016,"TRUE"),"FALSE")</f>
        <v>FALSE</v>
      </c>
    </row>
    <row r="188" spans="1:23" x14ac:dyDescent="0.3">
      <c r="A188">
        <v>186</v>
      </c>
      <c r="B188" s="1">
        <v>42467</v>
      </c>
      <c r="C188">
        <v>2016</v>
      </c>
      <c r="D188" t="s">
        <v>26</v>
      </c>
      <c r="E188">
        <v>53</v>
      </c>
      <c r="F188" t="s">
        <v>37</v>
      </c>
      <c r="G188" t="s">
        <v>17</v>
      </c>
      <c r="H188" t="s">
        <v>18</v>
      </c>
      <c r="I188" t="s">
        <v>38</v>
      </c>
      <c r="J188" t="s">
        <v>52</v>
      </c>
      <c r="K188">
        <v>2</v>
      </c>
      <c r="L188">
        <v>850.5</v>
      </c>
      <c r="M188">
        <v>932.5</v>
      </c>
      <c r="N188">
        <v>1701</v>
      </c>
      <c r="O188">
        <v>1865</v>
      </c>
      <c r="P188">
        <v>186</v>
      </c>
      <c r="Q188">
        <v>1865</v>
      </c>
      <c r="U188" s="5" t="str">
        <f t="shared" si="2"/>
        <v>FALSE</v>
      </c>
      <c r="V188" s="5" t="e" cm="1">
        <f t="array" ref="V188">_xlfn.IFS(F185="M","TRUE",C185=2016,"TRUE")</f>
        <v>#N/A</v>
      </c>
      <c r="W188" s="5" t="str" cm="1">
        <f t="array" ref="W188">_xlfn.IFNA(_xlfn.IFS(F185="M","TRUE",C185=2016,"TRUE"),"FALSE")</f>
        <v>FALSE</v>
      </c>
    </row>
    <row r="189" spans="1:23" x14ac:dyDescent="0.3">
      <c r="A189">
        <v>187</v>
      </c>
      <c r="B189" s="1">
        <v>42225</v>
      </c>
      <c r="C189">
        <v>2015</v>
      </c>
      <c r="D189" t="s">
        <v>30</v>
      </c>
      <c r="E189">
        <v>53</v>
      </c>
      <c r="F189" t="s">
        <v>37</v>
      </c>
      <c r="G189" t="s">
        <v>17</v>
      </c>
      <c r="H189" t="s">
        <v>18</v>
      </c>
      <c r="I189" t="s">
        <v>38</v>
      </c>
      <c r="J189" t="s">
        <v>39</v>
      </c>
      <c r="K189">
        <v>3</v>
      </c>
      <c r="L189">
        <v>765</v>
      </c>
      <c r="M189">
        <v>703.66666699999996</v>
      </c>
      <c r="N189">
        <v>2295</v>
      </c>
      <c r="O189">
        <v>2111</v>
      </c>
      <c r="P189">
        <v>187</v>
      </c>
      <c r="Q189">
        <v>2111</v>
      </c>
      <c r="U189" s="5" t="str">
        <f t="shared" si="2"/>
        <v>FALSE</v>
      </c>
      <c r="V189" s="5" t="e" cm="1">
        <f t="array" ref="V189">_xlfn.IFS(F186="M","TRUE",C186=2016,"TRUE")</f>
        <v>#N/A</v>
      </c>
      <c r="W189" s="5" t="str" cm="1">
        <f t="array" ref="W189">_xlfn.IFNA(_xlfn.IFS(F186="M","TRUE",C186=2016,"TRUE"),"FALSE")</f>
        <v>FALSE</v>
      </c>
    </row>
    <row r="190" spans="1:23" x14ac:dyDescent="0.3">
      <c r="A190">
        <v>188</v>
      </c>
      <c r="B190" s="1">
        <v>42225</v>
      </c>
      <c r="C190">
        <v>2015</v>
      </c>
      <c r="D190" t="s">
        <v>30</v>
      </c>
      <c r="E190">
        <v>53</v>
      </c>
      <c r="F190" t="s">
        <v>37</v>
      </c>
      <c r="G190" t="s">
        <v>17</v>
      </c>
      <c r="H190" t="s">
        <v>18</v>
      </c>
      <c r="I190" t="s">
        <v>23</v>
      </c>
      <c r="J190" t="s">
        <v>47</v>
      </c>
      <c r="K190">
        <v>1</v>
      </c>
      <c r="L190">
        <v>153</v>
      </c>
      <c r="M190">
        <v>144</v>
      </c>
      <c r="N190">
        <v>153</v>
      </c>
      <c r="O190">
        <v>144</v>
      </c>
      <c r="P190">
        <v>188</v>
      </c>
      <c r="Q190">
        <v>144</v>
      </c>
      <c r="U190" s="5" t="str">
        <f t="shared" si="2"/>
        <v>TRUE</v>
      </c>
      <c r="V190" s="5" t="str" cm="1">
        <f t="array" ref="V190">_xlfn.IFS(F187="M","TRUE",C187=2016,"TRUE")</f>
        <v>TRUE</v>
      </c>
      <c r="W190" s="5" t="str" cm="1">
        <f t="array" ref="W190">_xlfn.IFNA(_xlfn.IFS(F187="M","TRUE",C187=2016,"TRUE"),"FALSE")</f>
        <v>TRUE</v>
      </c>
    </row>
    <row r="191" spans="1:23" x14ac:dyDescent="0.3">
      <c r="A191">
        <v>189</v>
      </c>
      <c r="B191" s="1">
        <v>42318</v>
      </c>
      <c r="C191">
        <v>2015</v>
      </c>
      <c r="D191" t="s">
        <v>33</v>
      </c>
      <c r="E191">
        <v>53</v>
      </c>
      <c r="F191" t="s">
        <v>37</v>
      </c>
      <c r="G191" t="s">
        <v>17</v>
      </c>
      <c r="H191" t="s">
        <v>18</v>
      </c>
      <c r="I191" t="s">
        <v>38</v>
      </c>
      <c r="J191" t="s">
        <v>39</v>
      </c>
      <c r="K191">
        <v>3</v>
      </c>
      <c r="L191">
        <v>765</v>
      </c>
      <c r="M191">
        <v>744.33333300000004</v>
      </c>
      <c r="N191">
        <v>2295</v>
      </c>
      <c r="O191">
        <v>2233</v>
      </c>
      <c r="P191">
        <v>189</v>
      </c>
      <c r="Q191">
        <v>2233</v>
      </c>
      <c r="U191" s="5" t="str">
        <f t="shared" si="2"/>
        <v>TRUE</v>
      </c>
      <c r="V191" s="5" t="str" cm="1">
        <f t="array" ref="V191">_xlfn.IFS(F188="M","TRUE",C188=2016,"TRUE")</f>
        <v>TRUE</v>
      </c>
      <c r="W191" s="5" t="str" cm="1">
        <f t="array" ref="W191">_xlfn.IFNA(_xlfn.IFS(F188="M","TRUE",C188=2016,"TRUE"),"FALSE")</f>
        <v>TRUE</v>
      </c>
    </row>
    <row r="192" spans="1:23" x14ac:dyDescent="0.3">
      <c r="A192">
        <v>190</v>
      </c>
      <c r="B192" s="1">
        <v>42337</v>
      </c>
      <c r="C192">
        <v>2015</v>
      </c>
      <c r="D192" t="s">
        <v>33</v>
      </c>
      <c r="E192">
        <v>53</v>
      </c>
      <c r="F192" t="s">
        <v>37</v>
      </c>
      <c r="G192" t="s">
        <v>17</v>
      </c>
      <c r="H192" t="s">
        <v>18</v>
      </c>
      <c r="I192" t="s">
        <v>38</v>
      </c>
      <c r="J192" t="s">
        <v>39</v>
      </c>
      <c r="K192">
        <v>3</v>
      </c>
      <c r="L192">
        <v>773.33</v>
      </c>
      <c r="M192">
        <v>773.33333300000004</v>
      </c>
      <c r="N192">
        <v>2320</v>
      </c>
      <c r="O192">
        <v>2320</v>
      </c>
      <c r="P192">
        <v>190</v>
      </c>
      <c r="Q192">
        <v>2320</v>
      </c>
      <c r="U192" s="5" t="str">
        <f t="shared" si="2"/>
        <v>TRUE</v>
      </c>
      <c r="V192" s="5" t="str" cm="1">
        <f t="array" ref="V192">_xlfn.IFS(F189="M","TRUE",C189=2016,"TRUE")</f>
        <v>TRUE</v>
      </c>
      <c r="W192" s="5" t="str" cm="1">
        <f t="array" ref="W192">_xlfn.IFNA(_xlfn.IFS(F189="M","TRUE",C189=2016,"TRUE"),"FALSE")</f>
        <v>TRUE</v>
      </c>
    </row>
    <row r="193" spans="1:23" x14ac:dyDescent="0.3">
      <c r="A193">
        <v>191</v>
      </c>
      <c r="B193" s="1">
        <v>42374</v>
      </c>
      <c r="C193">
        <v>2016</v>
      </c>
      <c r="D193" t="s">
        <v>45</v>
      </c>
      <c r="E193">
        <v>52</v>
      </c>
      <c r="F193" t="s">
        <v>16</v>
      </c>
      <c r="G193" t="s">
        <v>17</v>
      </c>
      <c r="H193" t="s">
        <v>35</v>
      </c>
      <c r="I193" t="s">
        <v>38</v>
      </c>
      <c r="J193" t="s">
        <v>49</v>
      </c>
      <c r="K193">
        <v>3</v>
      </c>
      <c r="L193">
        <v>247.33</v>
      </c>
      <c r="M193">
        <v>263.66666700000002</v>
      </c>
      <c r="N193">
        <v>742</v>
      </c>
      <c r="O193">
        <v>791</v>
      </c>
      <c r="P193">
        <v>191</v>
      </c>
      <c r="Q193">
        <v>791</v>
      </c>
      <c r="U193" s="5" t="str">
        <f t="shared" si="2"/>
        <v>TRUE</v>
      </c>
      <c r="V193" s="5" t="str" cm="1">
        <f t="array" ref="V193">_xlfn.IFS(F190="M","TRUE",C190=2016,"TRUE")</f>
        <v>TRUE</v>
      </c>
      <c r="W193" s="5" t="str" cm="1">
        <f t="array" ref="W193">_xlfn.IFNA(_xlfn.IFS(F190="M","TRUE",C190=2016,"TRUE"),"FALSE")</f>
        <v>TRUE</v>
      </c>
    </row>
    <row r="194" spans="1:23" x14ac:dyDescent="0.3">
      <c r="A194">
        <v>192</v>
      </c>
      <c r="B194" s="1">
        <v>42377</v>
      </c>
      <c r="C194">
        <v>2016</v>
      </c>
      <c r="D194" t="s">
        <v>45</v>
      </c>
      <c r="E194">
        <v>52</v>
      </c>
      <c r="F194" t="s">
        <v>16</v>
      </c>
      <c r="G194" t="s">
        <v>17</v>
      </c>
      <c r="H194" t="s">
        <v>35</v>
      </c>
      <c r="I194" t="s">
        <v>38</v>
      </c>
      <c r="J194" t="s">
        <v>49</v>
      </c>
      <c r="K194">
        <v>2</v>
      </c>
      <c r="L194">
        <v>371</v>
      </c>
      <c r="M194">
        <v>382.5</v>
      </c>
      <c r="N194">
        <v>742</v>
      </c>
      <c r="O194">
        <v>765</v>
      </c>
      <c r="P194">
        <v>192</v>
      </c>
      <c r="Q194">
        <v>765</v>
      </c>
      <c r="U194" s="5" t="str">
        <f t="shared" si="2"/>
        <v>TRUE</v>
      </c>
      <c r="V194" s="5" t="str" cm="1">
        <f t="array" ref="V194">_xlfn.IFS(F191="M","TRUE",C191=2016,"TRUE")</f>
        <v>TRUE</v>
      </c>
      <c r="W194" s="5" t="str" cm="1">
        <f t="array" ref="W194">_xlfn.IFNA(_xlfn.IFS(F191="M","TRUE",C191=2016,"TRUE"),"FALSE")</f>
        <v>TRUE</v>
      </c>
    </row>
    <row r="195" spans="1:23" x14ac:dyDescent="0.3">
      <c r="A195">
        <v>193</v>
      </c>
      <c r="B195" s="1">
        <v>42493</v>
      </c>
      <c r="C195">
        <v>2016</v>
      </c>
      <c r="D195" t="s">
        <v>43</v>
      </c>
      <c r="E195">
        <v>52</v>
      </c>
      <c r="F195" t="s">
        <v>16</v>
      </c>
      <c r="G195" t="s">
        <v>17</v>
      </c>
      <c r="H195" t="s">
        <v>35</v>
      </c>
      <c r="I195" t="s">
        <v>38</v>
      </c>
      <c r="J195" t="s">
        <v>39</v>
      </c>
      <c r="K195">
        <v>1</v>
      </c>
      <c r="L195">
        <v>769</v>
      </c>
      <c r="M195">
        <v>735</v>
      </c>
      <c r="N195">
        <v>769</v>
      </c>
      <c r="O195">
        <v>735</v>
      </c>
      <c r="P195">
        <v>193</v>
      </c>
      <c r="Q195">
        <v>735</v>
      </c>
      <c r="U195" s="5" t="str">
        <f t="shared" si="2"/>
        <v>TRUE</v>
      </c>
      <c r="V195" s="5" t="str" cm="1">
        <f t="array" ref="V195">_xlfn.IFS(F192="M","TRUE",C192=2016,"TRUE")</f>
        <v>TRUE</v>
      </c>
      <c r="W195" s="5" t="str" cm="1">
        <f t="array" ref="W195">_xlfn.IFNA(_xlfn.IFS(F192="M","TRUE",C192=2016,"TRUE"),"FALSE")</f>
        <v>TRUE</v>
      </c>
    </row>
    <row r="196" spans="1:23" x14ac:dyDescent="0.3">
      <c r="A196">
        <v>194</v>
      </c>
      <c r="B196" s="1">
        <v>42493</v>
      </c>
      <c r="C196">
        <v>2016</v>
      </c>
      <c r="D196" t="s">
        <v>43</v>
      </c>
      <c r="E196">
        <v>52</v>
      </c>
      <c r="F196" t="s">
        <v>16</v>
      </c>
      <c r="G196" t="s">
        <v>17</v>
      </c>
      <c r="H196" t="s">
        <v>35</v>
      </c>
      <c r="I196" t="s">
        <v>38</v>
      </c>
      <c r="J196" t="s">
        <v>39</v>
      </c>
      <c r="K196">
        <v>1</v>
      </c>
      <c r="L196">
        <v>769</v>
      </c>
      <c r="M196">
        <v>777</v>
      </c>
      <c r="N196">
        <v>769</v>
      </c>
      <c r="O196">
        <v>777</v>
      </c>
      <c r="P196">
        <v>194</v>
      </c>
      <c r="Q196">
        <v>777</v>
      </c>
      <c r="U196" s="5" t="str">
        <f t="shared" si="2"/>
        <v>FALSE</v>
      </c>
      <c r="V196" s="5" t="str" cm="1">
        <f t="array" ref="V196">_xlfn.IFS(F193="M","TRUE",C193=2016,"TRUE")</f>
        <v>TRUE</v>
      </c>
      <c r="W196" s="5" t="str" cm="1">
        <f t="array" ref="W196">_xlfn.IFNA(_xlfn.IFS(F193="M","TRUE",C193=2016,"TRUE"),"FALSE")</f>
        <v>TRUE</v>
      </c>
    </row>
    <row r="197" spans="1:23" x14ac:dyDescent="0.3">
      <c r="A197">
        <v>195</v>
      </c>
      <c r="B197" s="1">
        <v>42493</v>
      </c>
      <c r="C197">
        <v>2016</v>
      </c>
      <c r="D197" t="s">
        <v>43</v>
      </c>
      <c r="E197">
        <v>52</v>
      </c>
      <c r="F197" t="s">
        <v>16</v>
      </c>
      <c r="G197" t="s">
        <v>17</v>
      </c>
      <c r="H197" t="s">
        <v>35</v>
      </c>
      <c r="I197" t="s">
        <v>23</v>
      </c>
      <c r="J197" t="s">
        <v>48</v>
      </c>
      <c r="K197">
        <v>1</v>
      </c>
      <c r="L197">
        <v>144</v>
      </c>
      <c r="M197">
        <v>166</v>
      </c>
      <c r="N197">
        <v>144</v>
      </c>
      <c r="O197">
        <v>166</v>
      </c>
      <c r="P197">
        <v>195</v>
      </c>
      <c r="Q197">
        <v>166</v>
      </c>
      <c r="U197" s="5" t="str">
        <f t="shared" si="2"/>
        <v>FALSE</v>
      </c>
      <c r="V197" s="5" t="str" cm="1">
        <f t="array" ref="V197">_xlfn.IFS(F194="M","TRUE",C194=2016,"TRUE")</f>
        <v>TRUE</v>
      </c>
      <c r="W197" s="5" t="str" cm="1">
        <f t="array" ref="W197">_xlfn.IFNA(_xlfn.IFS(F194="M","TRUE",C194=2016,"TRUE"),"FALSE")</f>
        <v>TRUE</v>
      </c>
    </row>
    <row r="198" spans="1:23" x14ac:dyDescent="0.3">
      <c r="A198">
        <v>196</v>
      </c>
      <c r="B198" s="1">
        <v>42499</v>
      </c>
      <c r="C198">
        <v>2016</v>
      </c>
      <c r="D198" t="s">
        <v>43</v>
      </c>
      <c r="E198">
        <v>52</v>
      </c>
      <c r="F198" t="s">
        <v>16</v>
      </c>
      <c r="G198" t="s">
        <v>17</v>
      </c>
      <c r="H198" t="s">
        <v>35</v>
      </c>
      <c r="I198" t="s">
        <v>38</v>
      </c>
      <c r="J198" t="s">
        <v>49</v>
      </c>
      <c r="K198">
        <v>1</v>
      </c>
      <c r="L198">
        <v>742</v>
      </c>
      <c r="M198">
        <v>774</v>
      </c>
      <c r="N198">
        <v>742</v>
      </c>
      <c r="O198">
        <v>774</v>
      </c>
      <c r="P198">
        <v>196</v>
      </c>
      <c r="Q198">
        <v>774</v>
      </c>
      <c r="U198" s="5" t="str">
        <f t="shared" ref="U198:U207" si="3">IF(F195="M","TRUE","FALSE")</f>
        <v>FALSE</v>
      </c>
      <c r="V198" s="5" t="str" cm="1">
        <f t="array" ref="V198">_xlfn.IFS(F195="M","TRUE",C195=2016,"TRUE")</f>
        <v>TRUE</v>
      </c>
      <c r="W198" s="5" t="str" cm="1">
        <f t="array" ref="W198">_xlfn.IFNA(_xlfn.IFS(F195="M","TRUE",C195=2016,"TRUE"),"FALSE")</f>
        <v>TRUE</v>
      </c>
    </row>
    <row r="199" spans="1:23" x14ac:dyDescent="0.3">
      <c r="A199">
        <v>197</v>
      </c>
      <c r="B199" s="1">
        <v>42499</v>
      </c>
      <c r="C199">
        <v>2016</v>
      </c>
      <c r="D199" t="s">
        <v>43</v>
      </c>
      <c r="E199">
        <v>52</v>
      </c>
      <c r="F199" t="s">
        <v>16</v>
      </c>
      <c r="G199" t="s">
        <v>17</v>
      </c>
      <c r="H199" t="s">
        <v>35</v>
      </c>
      <c r="I199" t="s">
        <v>23</v>
      </c>
      <c r="J199" t="s">
        <v>48</v>
      </c>
      <c r="K199">
        <v>2</v>
      </c>
      <c r="L199">
        <v>4.5</v>
      </c>
      <c r="M199">
        <v>5.5</v>
      </c>
      <c r="N199">
        <v>9</v>
      </c>
      <c r="O199">
        <v>11</v>
      </c>
      <c r="P199">
        <v>197</v>
      </c>
      <c r="Q199">
        <v>11</v>
      </c>
      <c r="U199" s="5" t="str">
        <f t="shared" si="3"/>
        <v>FALSE</v>
      </c>
      <c r="V199" s="5" t="str" cm="1">
        <f t="array" ref="V199">_xlfn.IFS(F196="M","TRUE",C196=2016,"TRUE")</f>
        <v>TRUE</v>
      </c>
      <c r="W199" s="5" t="str" cm="1">
        <f t="array" ref="W199">_xlfn.IFNA(_xlfn.IFS(F196="M","TRUE",C196=2016,"TRUE"),"FALSE")</f>
        <v>TRUE</v>
      </c>
    </row>
    <row r="200" spans="1:23" x14ac:dyDescent="0.3">
      <c r="A200">
        <v>198</v>
      </c>
      <c r="B200" s="1">
        <v>42199</v>
      </c>
      <c r="C200">
        <v>2015</v>
      </c>
      <c r="D200" t="s">
        <v>29</v>
      </c>
      <c r="E200">
        <v>52</v>
      </c>
      <c r="F200" t="s">
        <v>16</v>
      </c>
      <c r="G200" t="s">
        <v>17</v>
      </c>
      <c r="H200" t="s">
        <v>35</v>
      </c>
      <c r="I200" t="s">
        <v>38</v>
      </c>
      <c r="J200" t="s">
        <v>39</v>
      </c>
      <c r="K200">
        <v>3</v>
      </c>
      <c r="L200">
        <v>773.33</v>
      </c>
      <c r="M200">
        <v>771.33333300000004</v>
      </c>
      <c r="N200">
        <v>2320</v>
      </c>
      <c r="O200">
        <v>2314</v>
      </c>
      <c r="P200">
        <v>198</v>
      </c>
      <c r="Q200">
        <v>2314</v>
      </c>
      <c r="U200" s="5" t="str">
        <f t="shared" si="3"/>
        <v>FALSE</v>
      </c>
      <c r="V200" s="5" t="str" cm="1">
        <f t="array" ref="V200">_xlfn.IFS(F197="M","TRUE",C197=2016,"TRUE")</f>
        <v>TRUE</v>
      </c>
      <c r="W200" s="5" t="str" cm="1">
        <f t="array" ref="W200">_xlfn.IFNA(_xlfn.IFS(F197="M","TRUE",C197=2016,"TRUE"),"FALSE")</f>
        <v>TRUE</v>
      </c>
    </row>
    <row r="201" spans="1:23" x14ac:dyDescent="0.3">
      <c r="A201">
        <v>199</v>
      </c>
      <c r="B201" s="1">
        <v>42253</v>
      </c>
      <c r="C201">
        <v>2015</v>
      </c>
      <c r="D201" t="s">
        <v>31</v>
      </c>
      <c r="E201">
        <v>52</v>
      </c>
      <c r="F201" t="s">
        <v>16</v>
      </c>
      <c r="G201" t="s">
        <v>17</v>
      </c>
      <c r="H201" t="s">
        <v>35</v>
      </c>
      <c r="I201" t="s">
        <v>23</v>
      </c>
      <c r="J201" t="s">
        <v>48</v>
      </c>
      <c r="K201">
        <v>2</v>
      </c>
      <c r="L201">
        <v>58.5</v>
      </c>
      <c r="M201">
        <v>62</v>
      </c>
      <c r="N201">
        <v>117</v>
      </c>
      <c r="O201">
        <v>124</v>
      </c>
      <c r="P201">
        <v>199</v>
      </c>
      <c r="Q201">
        <v>124</v>
      </c>
      <c r="U201" s="5" t="str">
        <f t="shared" si="3"/>
        <v>FALSE</v>
      </c>
      <c r="V201" s="5" t="str" cm="1">
        <f t="array" ref="V201">_xlfn.IFS(F198="M","TRUE",C198=2016,"TRUE")</f>
        <v>TRUE</v>
      </c>
      <c r="W201" s="5" t="str" cm="1">
        <f t="array" ref="W201">_xlfn.IFNA(_xlfn.IFS(F198="M","TRUE",C198=2016,"TRUE"),"FALSE")</f>
        <v>TRUE</v>
      </c>
    </row>
    <row r="202" spans="1:23" x14ac:dyDescent="0.3">
      <c r="A202">
        <v>200</v>
      </c>
      <c r="B202" s="1">
        <v>42290</v>
      </c>
      <c r="C202">
        <v>2015</v>
      </c>
      <c r="D202" t="s">
        <v>32</v>
      </c>
      <c r="E202">
        <v>52</v>
      </c>
      <c r="F202" t="s">
        <v>16</v>
      </c>
      <c r="G202" t="s">
        <v>17</v>
      </c>
      <c r="H202" t="s">
        <v>35</v>
      </c>
      <c r="I202" t="s">
        <v>38</v>
      </c>
      <c r="J202" t="s">
        <v>39</v>
      </c>
      <c r="K202">
        <v>2</v>
      </c>
      <c r="L202">
        <v>1147.5</v>
      </c>
      <c r="M202">
        <v>1169.5</v>
      </c>
      <c r="N202">
        <v>2295</v>
      </c>
      <c r="O202">
        <v>2339</v>
      </c>
      <c r="P202">
        <v>200</v>
      </c>
      <c r="Q202">
        <v>2339</v>
      </c>
      <c r="U202" s="5" t="str">
        <f t="shared" si="3"/>
        <v>FALSE</v>
      </c>
      <c r="V202" s="5" t="str" cm="1">
        <f t="array" ref="V202">_xlfn.IFS(F199="M","TRUE",C199=2016,"TRUE")</f>
        <v>TRUE</v>
      </c>
      <c r="W202" s="5" t="str" cm="1">
        <f t="array" ref="W202">_xlfn.IFNA(_xlfn.IFS(F199="M","TRUE",C199=2016,"TRUE"),"FALSE")</f>
        <v>TRUE</v>
      </c>
    </row>
    <row r="203" spans="1:23" x14ac:dyDescent="0.3">
      <c r="A203">
        <v>201</v>
      </c>
      <c r="B203" s="1">
        <v>42531</v>
      </c>
      <c r="C203">
        <v>2016</v>
      </c>
      <c r="D203" t="s">
        <v>27</v>
      </c>
      <c r="E203">
        <v>52</v>
      </c>
      <c r="F203" t="s">
        <v>16</v>
      </c>
      <c r="G203" t="s">
        <v>17</v>
      </c>
      <c r="H203" t="s">
        <v>35</v>
      </c>
      <c r="I203" t="s">
        <v>23</v>
      </c>
      <c r="J203" t="s">
        <v>24</v>
      </c>
      <c r="K203">
        <v>3</v>
      </c>
      <c r="L203">
        <v>220.33</v>
      </c>
      <c r="M203">
        <v>269.66666700000002</v>
      </c>
      <c r="N203">
        <v>661</v>
      </c>
      <c r="O203">
        <v>809</v>
      </c>
      <c r="P203">
        <v>101</v>
      </c>
      <c r="Q203">
        <v>809</v>
      </c>
      <c r="U203" s="5" t="str">
        <f t="shared" si="3"/>
        <v>FALSE</v>
      </c>
      <c r="V203" s="5" t="e" cm="1">
        <f t="array" ref="V203">_xlfn.IFS(F200="M","TRUE",C200=2016,"TRUE")</f>
        <v>#N/A</v>
      </c>
      <c r="W203" s="5" t="str" cm="1">
        <f t="array" ref="W203">_xlfn.IFNA(_xlfn.IFS(F200="M","TRUE",C200=2016,"TRUE"),"FALSE")</f>
        <v>FALSE</v>
      </c>
    </row>
    <row r="204" spans="1:23" x14ac:dyDescent="0.3">
      <c r="A204">
        <v>202</v>
      </c>
      <c r="B204" s="1">
        <v>42484</v>
      </c>
      <c r="C204">
        <v>2016</v>
      </c>
      <c r="D204" t="s">
        <v>26</v>
      </c>
      <c r="E204">
        <v>51</v>
      </c>
      <c r="F204" t="s">
        <v>16</v>
      </c>
      <c r="G204" t="s">
        <v>17</v>
      </c>
      <c r="H204" t="s">
        <v>18</v>
      </c>
      <c r="I204" t="s">
        <v>23</v>
      </c>
      <c r="J204" t="s">
        <v>24</v>
      </c>
      <c r="K204">
        <v>3</v>
      </c>
      <c r="L204">
        <v>106</v>
      </c>
      <c r="M204">
        <v>125.333333</v>
      </c>
      <c r="N204">
        <v>318</v>
      </c>
      <c r="O204">
        <v>376</v>
      </c>
      <c r="P204">
        <v>202</v>
      </c>
      <c r="Q204">
        <v>376</v>
      </c>
      <c r="U204" s="5" t="str">
        <f t="shared" si="3"/>
        <v>FALSE</v>
      </c>
      <c r="V204" s="5" t="e" cm="1">
        <f t="array" ref="V204">_xlfn.IFS(F201="M","TRUE",C201=2016,"TRUE")</f>
        <v>#N/A</v>
      </c>
      <c r="W204" s="5" t="str" cm="1">
        <f t="array" ref="W204">_xlfn.IFNA(_xlfn.IFS(F201="M","TRUE",C201=2016,"TRUE"),"FALSE")</f>
        <v>FALSE</v>
      </c>
    </row>
    <row r="205" spans="1:23" x14ac:dyDescent="0.3">
      <c r="U205" s="5" t="str">
        <f t="shared" si="3"/>
        <v>FALSE</v>
      </c>
      <c r="V205" s="5" t="e" cm="1">
        <f t="array" ref="V205">_xlfn.IFS(F202="M","TRUE",C202=2016,"TRUE")</f>
        <v>#N/A</v>
      </c>
      <c r="W205" s="5" t="str" cm="1">
        <f t="array" ref="W205">_xlfn.IFNA(_xlfn.IFS(F202="M","TRUE",C202=2016,"TRUE"),"FALSE")</f>
        <v>FALSE</v>
      </c>
    </row>
    <row r="206" spans="1:23" x14ac:dyDescent="0.3">
      <c r="K206" s="3" t="s">
        <v>53</v>
      </c>
      <c r="L206" s="3">
        <f>AVERAGE(Table13[Unit Cost])</f>
        <v>381.9448768472908</v>
      </c>
      <c r="M206" s="3">
        <f>AVERAGE(Table13[Unit Price])</f>
        <v>389.77339901970441</v>
      </c>
      <c r="N206" s="3">
        <f>AVERAGE(Table13[Cost])</f>
        <v>579.90147783251234</v>
      </c>
      <c r="O206" s="3">
        <f>AVERAGE(Table13[Revenue])</f>
        <v>596.58128078817731</v>
      </c>
      <c r="P206" s="3">
        <f>AVERAGE(Table13[Row Labels])</f>
        <v>100.50738916256158</v>
      </c>
      <c r="Q206" s="3">
        <f>AVERAGE(Table13[Sum of Revenue])</f>
        <v>596.58128078817731</v>
      </c>
      <c r="U206" s="5" t="str">
        <f t="shared" si="3"/>
        <v>FALSE</v>
      </c>
      <c r="V206" s="5" t="str" cm="1">
        <f t="array" ref="V206">_xlfn.IFS(F203="M","TRUE",C203=2016,"TRUE")</f>
        <v>TRUE</v>
      </c>
      <c r="W206" s="5" t="str" cm="1">
        <f t="array" ref="W206">_xlfn.IFNA(_xlfn.IFS(F203="M","TRUE",C203=2016,"TRUE"),"FALSE")</f>
        <v>TRUE</v>
      </c>
    </row>
    <row r="207" spans="1:23" x14ac:dyDescent="0.3">
      <c r="K207" s="3" t="s">
        <v>55</v>
      </c>
      <c r="L207" s="3">
        <f>MEDIAN(Table13[Unit Cost])</f>
        <v>140</v>
      </c>
      <c r="M207" s="3">
        <f>MEDIAN(Table13[Unit Price])</f>
        <v>159</v>
      </c>
      <c r="N207" s="3">
        <f>MEDIAN(Table13[Cost])</f>
        <v>216</v>
      </c>
      <c r="O207" s="3">
        <f>MEDIAN(Table13[Revenue])</f>
        <v>265</v>
      </c>
      <c r="P207" s="3">
        <f>MEDIAN(Table13[Row Labels])</f>
        <v>101</v>
      </c>
      <c r="Q207" s="3">
        <f>MEDIAN(Table13[Sum of Revenue])</f>
        <v>265</v>
      </c>
      <c r="U207" s="5" t="str">
        <f t="shared" si="3"/>
        <v>FALSE</v>
      </c>
      <c r="V207" s="5" t="str" cm="1">
        <f t="array" ref="V207">_xlfn.IFS(F204="M","TRUE",C204=2016,"TRUE")</f>
        <v>TRUE</v>
      </c>
      <c r="W207" s="5" t="str" cm="1">
        <f t="array" ref="W207">_xlfn.IFNA(_xlfn.IFS(F204="M","TRUE",C204=2016,"TRUE"),"FALSE")</f>
        <v>TRUE</v>
      </c>
    </row>
    <row r="208" spans="1:23" x14ac:dyDescent="0.3">
      <c r="K208" s="3" t="s">
        <v>54</v>
      </c>
      <c r="L208" s="3">
        <f>_xlfn.MODE.SNGL(Table13[Unit Cost])</f>
        <v>2295</v>
      </c>
      <c r="M208" s="3">
        <f>_xlfn.MODE.SNGL(Table13[Unit Price])</f>
        <v>60</v>
      </c>
      <c r="N208" s="3">
        <f>_xlfn.MODE.SNGL(Table13[Cost])</f>
        <v>2295</v>
      </c>
      <c r="O208" s="3">
        <f>_xlfn.MODE.SNGL(Table13[Revenue])</f>
        <v>120</v>
      </c>
      <c r="P208" s="3">
        <f>_xlfn.MODE.SNGL(Table13[Row Labels])</f>
        <v>101</v>
      </c>
      <c r="Q208" s="3">
        <f>_xlfn.MODE.SNGL(Table13[Sum of Revenue])</f>
        <v>120</v>
      </c>
    </row>
    <row r="210" spans="11:17" x14ac:dyDescent="0.3">
      <c r="K210" s="2" t="s">
        <v>56</v>
      </c>
      <c r="L210" s="2">
        <f>SUM(Table13[Unit Cost])</f>
        <v>77534.810000000027</v>
      </c>
      <c r="M210" s="2">
        <f>SUM(Table13[Unit Price])</f>
        <v>79124.000000999993</v>
      </c>
      <c r="N210" s="2">
        <f>SUM(Table13[Cost])</f>
        <v>117720</v>
      </c>
      <c r="O210" s="2">
        <f>SUM(Table13[Revenue])</f>
        <v>121106</v>
      </c>
      <c r="P210" s="2">
        <f>SUM(Table13[Row Labels])</f>
        <v>20403</v>
      </c>
      <c r="Q210" s="2">
        <f>SUM(Table13[Sum of Revenue])</f>
        <v>121106</v>
      </c>
    </row>
    <row r="211" spans="11:17" x14ac:dyDescent="0.3">
      <c r="K211" s="2" t="s">
        <v>57</v>
      </c>
      <c r="L211" s="2">
        <f>SUMIF(Table13[Quantity],1,Table13[Unit Cost])</f>
        <v>50038</v>
      </c>
      <c r="M211" s="2">
        <f>SUMIF(Table13[Quantity],1,Table13[Unit Price])</f>
        <v>50361</v>
      </c>
      <c r="N211" s="2">
        <f>SUMIF(Table13[Quantity],1,Table13[Cost])</f>
        <v>50038</v>
      </c>
      <c r="O211" s="2">
        <f>SUMIF(Table13[Quantity],1,Table13[Revenue])</f>
        <v>50361</v>
      </c>
      <c r="P211" s="2">
        <f>SUMIF(Table13[Quantity],1,Table13[Row Labels])</f>
        <v>7573</v>
      </c>
      <c r="Q211" s="2">
        <f>SUMIF(Table13[Quantity],1,Table13[Sum of Revenue])</f>
        <v>50361</v>
      </c>
    </row>
    <row r="212" spans="11:17" x14ac:dyDescent="0.3">
      <c r="K212" s="2" t="s">
        <v>58</v>
      </c>
      <c r="L212" s="2">
        <f>SUMIFS(Table13[Unit Cost],Table13[Quantity],1,Table13[Customer Gender],"M")</f>
        <v>23924</v>
      </c>
      <c r="M212" s="2">
        <f>SUMIFS(Table13[Unit Price],Table13[Quantity],1,Table13[Customer Gender],"M")</f>
        <v>24137</v>
      </c>
      <c r="N212" s="2">
        <f>SUMIFS(Table13[Cost],Table13[Quantity],1,Table13[Customer Gender],"M")</f>
        <v>23924</v>
      </c>
      <c r="O212" s="2">
        <f>SUMIFS(Table13[Revenue],Table13[Quantity],1,Table13[Customer Gender],"M")</f>
        <v>24137</v>
      </c>
      <c r="P212" s="2">
        <f>SUMIFS(Table13[Row Labels],Table13[Quantity],1,Table13[Customer Gender],"M")</f>
        <v>1595</v>
      </c>
      <c r="Q212" s="2">
        <f>SUMIFS(Table13[Sum of Revenue],Table13[Quantity],1,Table13[Customer Gender],"M")</f>
        <v>24137</v>
      </c>
    </row>
    <row r="214" spans="11:17" x14ac:dyDescent="0.3">
      <c r="K214" s="4" t="s">
        <v>59</v>
      </c>
      <c r="L214" s="4">
        <f>COUNT(Table13[Unit Cost])</f>
        <v>203</v>
      </c>
      <c r="M214" s="4">
        <f>COUNT(Table13[Unit Price])</f>
        <v>203</v>
      </c>
      <c r="N214" s="4">
        <f>COUNT(Table13[Cost])</f>
        <v>203</v>
      </c>
      <c r="O214" s="4">
        <f>COUNT(Table13[Revenue])</f>
        <v>203</v>
      </c>
      <c r="P214" s="4">
        <f>COUNT(Table13[Row Labels])</f>
        <v>203</v>
      </c>
      <c r="Q214" s="4">
        <f>COUNT(Table13[Sum of Revenue])</f>
        <v>203</v>
      </c>
    </row>
    <row r="215" spans="11:17" x14ac:dyDescent="0.3">
      <c r="K215" s="4" t="s">
        <v>60</v>
      </c>
      <c r="L215" s="4">
        <f>COUNTA(Table13[Unit Cost])</f>
        <v>203</v>
      </c>
      <c r="M215" s="4">
        <f>COUNTA(Table13[Unit Price])</f>
        <v>203</v>
      </c>
      <c r="N215" s="4">
        <f>COUNTA(Table13[Cost])</f>
        <v>203</v>
      </c>
      <c r="O215" s="4">
        <f>COUNTA(Table13[Revenue])</f>
        <v>203</v>
      </c>
      <c r="P215" s="4">
        <f>COUNTA(Table13[Row Labels])</f>
        <v>203</v>
      </c>
      <c r="Q215" s="4">
        <f>COUNTA(Table13[Sum of Revenue])</f>
        <v>203</v>
      </c>
    </row>
    <row r="216" spans="11:17" x14ac:dyDescent="0.3">
      <c r="K216" s="4" t="s">
        <v>61</v>
      </c>
      <c r="L216" s="4">
        <f>COUNTIFS(Table13[Unit Cost],"&gt;100",Table13[Quantity],1)</f>
        <v>55</v>
      </c>
      <c r="M216" s="4">
        <f>COUNTIFS(Table13[Unit Price],"&gt;100",Table13[Quantity],1)</f>
        <v>59</v>
      </c>
      <c r="N216" s="4">
        <f>COUNTIFS(Table13[Cost],"&gt;600",Table13[Quantity],1)</f>
        <v>29</v>
      </c>
      <c r="O216" s="4">
        <f>COUNTIFS(Table13[Revenue],"&gt;1500",Table13[Quantity],1)</f>
        <v>13</v>
      </c>
      <c r="P216" s="4">
        <f>COUNTIFS(Table13[Row Labels],"&gt;100",Table13[Quantity],1)</f>
        <v>37</v>
      </c>
      <c r="Q216" s="4">
        <f>COUNTIFS(Table13[Sum of Revenue],"&gt;600",Table13[Quantity],1)</f>
        <v>29</v>
      </c>
    </row>
  </sheetData>
  <phoneticPr fontId="18" type="noConversion"/>
  <dataValidations count="1">
    <dataValidation type="list" allowBlank="1" showInputMessage="1" showErrorMessage="1" sqref="U1" xr:uid="{00000000-0002-0000-0100-000000000000}">
      <formula1>$A:$A</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7554B-7751-4DBA-8B54-3C1BDF61DD90}">
  <dimension ref="A1:M27"/>
  <sheetViews>
    <sheetView zoomScale="50" zoomScaleNormal="100" workbookViewId="0">
      <selection activeCell="G3" sqref="G3:M5"/>
    </sheetView>
  </sheetViews>
  <sheetFormatPr defaultRowHeight="14.4" x14ac:dyDescent="0.3"/>
  <cols>
    <col min="1" max="1" width="9" customWidth="1"/>
    <col min="2" max="2" width="10.21875" customWidth="1"/>
    <col min="3" max="3" width="11.44140625" customWidth="1"/>
    <col min="7" max="7" width="13.6640625" bestFit="1" customWidth="1"/>
    <col min="8" max="8" width="15.5546875" bestFit="1" customWidth="1"/>
    <col min="9" max="9" width="10.77734375" bestFit="1" customWidth="1"/>
    <col min="10" max="10" width="6" bestFit="1" customWidth="1"/>
    <col min="11" max="12" width="7" bestFit="1" customWidth="1"/>
    <col min="13" max="13" width="10.77734375" bestFit="1" customWidth="1"/>
  </cols>
  <sheetData>
    <row r="1" spans="1:13" x14ac:dyDescent="0.3">
      <c r="A1" s="12" t="s">
        <v>53</v>
      </c>
      <c r="B1" s="13" t="s">
        <v>55</v>
      </c>
      <c r="C1" s="14" t="s">
        <v>54</v>
      </c>
      <c r="G1" s="34" t="s">
        <v>55</v>
      </c>
      <c r="H1" t="s">
        <v>72</v>
      </c>
    </row>
    <row r="2" spans="1:13" x14ac:dyDescent="0.3">
      <c r="A2" s="10">
        <f>AVERAGE(Table13[Unit Cost])</f>
        <v>381.9448768472908</v>
      </c>
      <c r="B2" s="3">
        <f>MEDIAN(Table13[Unit Cost])</f>
        <v>140</v>
      </c>
      <c r="C2" s="11">
        <f>_xlfn.MODE.SNGL(Table13[Unit Cost])</f>
        <v>2295</v>
      </c>
    </row>
    <row r="3" spans="1:13" x14ac:dyDescent="0.3">
      <c r="A3" s="10">
        <f>AVERAGE(Table13[Unit Price])</f>
        <v>389.77339901970441</v>
      </c>
      <c r="B3" s="3">
        <f>MEDIAN(Table13[Unit Price])</f>
        <v>159</v>
      </c>
      <c r="C3" s="11">
        <f>_xlfn.MODE.SNGL(Table13[Unit Price])</f>
        <v>60</v>
      </c>
      <c r="H3" s="34" t="s">
        <v>68</v>
      </c>
    </row>
    <row r="4" spans="1:13" x14ac:dyDescent="0.3">
      <c r="A4" s="10">
        <f>AVERAGE(Table13[Cost])</f>
        <v>579.90147783251234</v>
      </c>
      <c r="B4" s="3">
        <f>MEDIAN(Table13[Cost])</f>
        <v>216</v>
      </c>
      <c r="C4" s="11">
        <f>_xlfn.MODE.SNGL(Table13[Cost])</f>
        <v>2295</v>
      </c>
      <c r="H4">
        <v>100.50738916256158</v>
      </c>
      <c r="I4">
        <v>381.9448768472908</v>
      </c>
      <c r="J4">
        <v>389.77339901970441</v>
      </c>
      <c r="K4">
        <v>579.90147783251234</v>
      </c>
      <c r="L4">
        <v>596.58128078817731</v>
      </c>
      <c r="M4" t="s">
        <v>67</v>
      </c>
    </row>
    <row r="5" spans="1:13" x14ac:dyDescent="0.3">
      <c r="A5" s="10">
        <f>AVERAGE(Table13[Revenue])</f>
        <v>596.58128078817731</v>
      </c>
      <c r="B5" s="3">
        <f>MEDIAN(Table13[Revenue])</f>
        <v>265</v>
      </c>
      <c r="C5" s="11">
        <f>_xlfn.MODE.SNGL(Table13[Revenue])</f>
        <v>120</v>
      </c>
      <c r="G5" t="s">
        <v>71</v>
      </c>
      <c r="H5">
        <v>101</v>
      </c>
      <c r="I5">
        <v>2295</v>
      </c>
      <c r="J5">
        <v>60</v>
      </c>
      <c r="K5">
        <v>2295</v>
      </c>
      <c r="L5">
        <v>240</v>
      </c>
      <c r="M5">
        <v>4991</v>
      </c>
    </row>
    <row r="6" spans="1:13" x14ac:dyDescent="0.3">
      <c r="A6" s="10">
        <f>AVERAGE(Table13[Row Labels])</f>
        <v>100.50738916256158</v>
      </c>
      <c r="B6" s="3">
        <f>MEDIAN(Table13[Row Labels])</f>
        <v>101</v>
      </c>
      <c r="C6" s="11">
        <f>_xlfn.MODE.SNGL(Table13[Row Labels])</f>
        <v>101</v>
      </c>
    </row>
    <row r="7" spans="1:13" x14ac:dyDescent="0.3">
      <c r="A7" s="15">
        <f>AVERAGE(Table13[Sum of Revenue])</f>
        <v>596.58128078817731</v>
      </c>
      <c r="B7" s="16">
        <f>MEDIAN(Table13[Sum of Revenue])</f>
        <v>265</v>
      </c>
      <c r="C7" s="17">
        <f>_xlfn.MODE.SNGL(Table13[Sum of Revenue])</f>
        <v>120</v>
      </c>
    </row>
    <row r="10" spans="1:13" x14ac:dyDescent="0.3">
      <c r="A10" s="20" t="s">
        <v>56</v>
      </c>
      <c r="B10" s="21" t="s">
        <v>57</v>
      </c>
      <c r="C10" s="22" t="s">
        <v>58</v>
      </c>
    </row>
    <row r="11" spans="1:13" x14ac:dyDescent="0.3">
      <c r="A11" s="18">
        <f>SUM(Table13[Unit Cost])</f>
        <v>77534.810000000027</v>
      </c>
      <c r="B11" s="2">
        <f>SUMIF(Table13[Quantity],1,Table13[Unit Cost])</f>
        <v>50038</v>
      </c>
      <c r="C11" s="19">
        <f>SUMIFS(Table13[Unit Cost],Table13[Quantity],1,Table13[Customer Gender],"M")</f>
        <v>23924</v>
      </c>
      <c r="G11" s="34" t="s">
        <v>57</v>
      </c>
      <c r="H11" t="s">
        <v>72</v>
      </c>
    </row>
    <row r="12" spans="1:13" x14ac:dyDescent="0.3">
      <c r="A12" s="18">
        <f>SUM(Table13[Unit Price])</f>
        <v>79124.000000999993</v>
      </c>
      <c r="B12" s="2">
        <f>SUMIF(Table13[Quantity],1,Table13[Unit Price])</f>
        <v>50361</v>
      </c>
      <c r="C12" s="19">
        <f>SUMIFS(Table13[Unit Price],Table13[Quantity],1,Table13[Customer Gender],"M")</f>
        <v>24137</v>
      </c>
    </row>
    <row r="13" spans="1:13" x14ac:dyDescent="0.3">
      <c r="A13" s="18">
        <f>SUM(Table13[Cost])</f>
        <v>117720</v>
      </c>
      <c r="B13" s="2">
        <f>SUMIF(Table13[Quantity],1,Table13[Cost])</f>
        <v>50038</v>
      </c>
      <c r="C13" s="19">
        <f>SUMIFS(Table13[Cost],Table13[Quantity],1,Table13[Customer Gender],"M")</f>
        <v>23924</v>
      </c>
      <c r="G13" s="34" t="s">
        <v>21</v>
      </c>
      <c r="H13" t="s">
        <v>70</v>
      </c>
    </row>
    <row r="14" spans="1:13" x14ac:dyDescent="0.3">
      <c r="A14" s="18">
        <f>SUM(Table13[Revenue])</f>
        <v>121106</v>
      </c>
      <c r="B14" s="2">
        <f>SUMIF(Table13[Quantity],1,Table13[Revenue])</f>
        <v>50361</v>
      </c>
      <c r="C14" s="19">
        <f>SUMIFS(Table13[Revenue],Table13[Quantity],1,Table13[Customer Gender],"M")</f>
        <v>24137</v>
      </c>
      <c r="G14" s="35">
        <v>1595</v>
      </c>
      <c r="H14">
        <v>20403</v>
      </c>
    </row>
    <row r="15" spans="1:13" x14ac:dyDescent="0.3">
      <c r="A15" s="18">
        <f>SUM(Table13[Row Labels])</f>
        <v>20403</v>
      </c>
      <c r="B15" s="2">
        <f>SUMIF(Table13[Quantity],1,Table13[Row Labels])</f>
        <v>7573</v>
      </c>
      <c r="C15" s="19">
        <f>SUMIFS(Table13[Row Labels],Table13[Quantity],1,Table13[Customer Gender],"M")</f>
        <v>1595</v>
      </c>
      <c r="G15" s="35">
        <v>23924</v>
      </c>
      <c r="H15">
        <v>195254.81000000003</v>
      </c>
    </row>
    <row r="16" spans="1:13" x14ac:dyDescent="0.3">
      <c r="A16" s="23">
        <f>SUM(Table13[Sum of Revenue])</f>
        <v>121106</v>
      </c>
      <c r="B16" s="24">
        <f>SUMIF(Table13[Quantity],1,Table13[Sum of Revenue])</f>
        <v>50361</v>
      </c>
      <c r="C16" s="25">
        <f>SUMIFS(Table13[Sum of Revenue],Table13[Quantity],1,Table13[Customer Gender],"M")</f>
        <v>24137</v>
      </c>
      <c r="G16" s="35">
        <v>24137</v>
      </c>
      <c r="H16">
        <v>321336.00000100001</v>
      </c>
    </row>
    <row r="17" spans="1:8" x14ac:dyDescent="0.3">
      <c r="G17" s="35" t="s">
        <v>67</v>
      </c>
      <c r="H17">
        <v>536993.81000100006</v>
      </c>
    </row>
    <row r="19" spans="1:8" x14ac:dyDescent="0.3">
      <c r="A19" s="28" t="s">
        <v>59</v>
      </c>
      <c r="B19" s="29" t="s">
        <v>60</v>
      </c>
      <c r="C19" s="30" t="s">
        <v>61</v>
      </c>
    </row>
    <row r="20" spans="1:8" x14ac:dyDescent="0.3">
      <c r="A20" s="26">
        <f>COUNT(Table13[Unit Cost])</f>
        <v>203</v>
      </c>
      <c r="B20" s="4">
        <f>COUNTA(Table13[Unit Cost])</f>
        <v>203</v>
      </c>
      <c r="C20" s="27">
        <f>COUNTIFS(Table13[Unit Cost],"&gt;100",Table13[Quantity],1)</f>
        <v>55</v>
      </c>
      <c r="F20" s="34" t="s">
        <v>69</v>
      </c>
      <c r="G20" s="34" t="s">
        <v>68</v>
      </c>
    </row>
    <row r="21" spans="1:8" x14ac:dyDescent="0.3">
      <c r="A21" s="26">
        <f>COUNT(Table13[Unit Price])</f>
        <v>203</v>
      </c>
      <c r="B21" s="4">
        <f>COUNTA(Table13[Unit Price])</f>
        <v>203</v>
      </c>
      <c r="C21" s="27">
        <f>COUNTIFS(Table13[Unit Price],"&gt;100",Table13[Quantity],1)</f>
        <v>59</v>
      </c>
      <c r="F21" s="34" t="s">
        <v>21</v>
      </c>
      <c r="G21">
        <v>203</v>
      </c>
      <c r="H21" t="s">
        <v>67</v>
      </c>
    </row>
    <row r="22" spans="1:8" x14ac:dyDescent="0.3">
      <c r="A22" s="26">
        <f>COUNT(Table13[Cost])</f>
        <v>203</v>
      </c>
      <c r="B22" s="4">
        <f>COUNTA(Table13[Cost])</f>
        <v>203</v>
      </c>
      <c r="C22" s="27">
        <f>COUNTIFS(Table13[Cost],"&gt;600",Table13[Quantity],1)</f>
        <v>29</v>
      </c>
      <c r="F22" s="35">
        <v>13</v>
      </c>
      <c r="G22">
        <v>203</v>
      </c>
      <c r="H22">
        <v>203</v>
      </c>
    </row>
    <row r="23" spans="1:8" x14ac:dyDescent="0.3">
      <c r="A23" s="26">
        <f>COUNT(Table13[Revenue])</f>
        <v>203</v>
      </c>
      <c r="B23" s="4">
        <f>COUNTA(Table13[Revenue])</f>
        <v>203</v>
      </c>
      <c r="C23" s="27">
        <f>COUNTIFS(Table13[Revenue],"&gt;1500",Table13[Quantity],1)</f>
        <v>13</v>
      </c>
      <c r="F23" s="35">
        <v>29</v>
      </c>
      <c r="G23">
        <v>406</v>
      </c>
      <c r="H23">
        <v>406</v>
      </c>
    </row>
    <row r="24" spans="1:8" x14ac:dyDescent="0.3">
      <c r="A24" s="26">
        <f>COUNT(Table13[Row Labels])</f>
        <v>203</v>
      </c>
      <c r="B24" s="4">
        <f>COUNTA(Table13[Row Labels])</f>
        <v>203</v>
      </c>
      <c r="C24" s="27">
        <f>COUNTIFS(Table13[Row Labels],"&gt;100",Table13[Quantity],1)</f>
        <v>37</v>
      </c>
      <c r="F24" s="35">
        <v>37</v>
      </c>
      <c r="G24">
        <v>203</v>
      </c>
      <c r="H24">
        <v>203</v>
      </c>
    </row>
    <row r="25" spans="1:8" x14ac:dyDescent="0.3">
      <c r="A25" s="31">
        <f>COUNT(Table13[Sum of Revenue])</f>
        <v>203</v>
      </c>
      <c r="B25" s="32">
        <f>COUNTA(Table13[Sum of Revenue])</f>
        <v>203</v>
      </c>
      <c r="C25" s="33">
        <f>COUNTIFS(Table13[Sum of Revenue],"&gt;600",Table13[Quantity],1)</f>
        <v>29</v>
      </c>
      <c r="F25" s="35">
        <v>55</v>
      </c>
      <c r="G25">
        <v>203</v>
      </c>
      <c r="H25">
        <v>203</v>
      </c>
    </row>
    <row r="26" spans="1:8" x14ac:dyDescent="0.3">
      <c r="F26" s="35">
        <v>59</v>
      </c>
      <c r="G26">
        <v>203</v>
      </c>
      <c r="H26">
        <v>203</v>
      </c>
    </row>
    <row r="27" spans="1:8" x14ac:dyDescent="0.3">
      <c r="F27" s="35" t="s">
        <v>67</v>
      </c>
      <c r="G27">
        <v>1218</v>
      </c>
      <c r="H27">
        <v>1218</v>
      </c>
    </row>
  </sheetData>
  <pageMargins left="0.7" right="0.7" top="0.75" bottom="0.75" header="0.3" footer="0.3"/>
  <tableParts count="3">
    <tablePart r:id="rId4"/>
    <tablePart r:id="rId5"/>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E1ADD-012D-42A1-9B73-171C5B5E57ED}">
  <dimension ref="A1:F30"/>
  <sheetViews>
    <sheetView tabSelected="1" topLeftCell="B1" zoomScale="95" zoomScaleNormal="95" workbookViewId="0">
      <selection activeCell="F30" sqref="F30"/>
    </sheetView>
  </sheetViews>
  <sheetFormatPr defaultRowHeight="14.4" x14ac:dyDescent="0.3"/>
  <cols>
    <col min="1" max="1" width="14.44140625" bestFit="1" customWidth="1"/>
    <col min="2" max="2" width="9.33203125" bestFit="1" customWidth="1"/>
    <col min="3" max="3" width="12" bestFit="1" customWidth="1"/>
    <col min="4" max="4" width="9.6640625" bestFit="1" customWidth="1"/>
  </cols>
  <sheetData>
    <row r="1" spans="1:4" x14ac:dyDescent="0.3">
      <c r="A1" s="34" t="s">
        <v>2</v>
      </c>
      <c r="B1" s="35">
        <v>2016</v>
      </c>
    </row>
    <row r="3" spans="1:4" x14ac:dyDescent="0.3">
      <c r="A3" s="34" t="s">
        <v>21</v>
      </c>
      <c r="B3" t="s">
        <v>73</v>
      </c>
      <c r="C3" t="s">
        <v>74</v>
      </c>
      <c r="D3" t="s">
        <v>75</v>
      </c>
    </row>
    <row r="4" spans="1:4" x14ac:dyDescent="0.3">
      <c r="A4" s="35">
        <v>3</v>
      </c>
      <c r="B4">
        <v>8641</v>
      </c>
      <c r="C4">
        <v>2880.333333</v>
      </c>
      <c r="D4">
        <v>2492.3200000000006</v>
      </c>
    </row>
    <row r="5" spans="1:4" x14ac:dyDescent="0.3">
      <c r="A5" s="36" t="s">
        <v>19</v>
      </c>
      <c r="B5">
        <v>4345</v>
      </c>
      <c r="C5">
        <v>1448.333333</v>
      </c>
      <c r="D5">
        <v>1213.0000000000002</v>
      </c>
    </row>
    <row r="6" spans="1:4" x14ac:dyDescent="0.3">
      <c r="A6" s="36" t="s">
        <v>38</v>
      </c>
      <c r="B6">
        <v>2107</v>
      </c>
      <c r="C6">
        <v>702.33333300000004</v>
      </c>
      <c r="D6">
        <v>674.66000000000008</v>
      </c>
    </row>
    <row r="7" spans="1:4" x14ac:dyDescent="0.3">
      <c r="A7" s="36" t="s">
        <v>23</v>
      </c>
      <c r="B7">
        <v>2189</v>
      </c>
      <c r="C7">
        <v>729.66666699999996</v>
      </c>
      <c r="D7">
        <v>604.66000000000008</v>
      </c>
    </row>
    <row r="8" spans="1:4" x14ac:dyDescent="0.3">
      <c r="A8" s="35" t="s">
        <v>67</v>
      </c>
      <c r="B8">
        <v>8641</v>
      </c>
      <c r="C8">
        <v>2880.333333</v>
      </c>
      <c r="D8">
        <v>2492.3200000000006</v>
      </c>
    </row>
    <row r="26" spans="2:6" x14ac:dyDescent="0.3">
      <c r="B26" s="34" t="s">
        <v>7</v>
      </c>
      <c r="C26" t="s">
        <v>76</v>
      </c>
      <c r="E26" s="34" t="s">
        <v>5</v>
      </c>
      <c r="F26" t="s">
        <v>76</v>
      </c>
    </row>
    <row r="27" spans="2:6" x14ac:dyDescent="0.3">
      <c r="B27" t="s">
        <v>35</v>
      </c>
      <c r="C27">
        <v>198</v>
      </c>
      <c r="E27" t="s">
        <v>16</v>
      </c>
      <c r="F27">
        <v>312</v>
      </c>
    </row>
    <row r="28" spans="2:6" x14ac:dyDescent="0.3">
      <c r="B28" t="s">
        <v>18</v>
      </c>
      <c r="C28">
        <v>177</v>
      </c>
      <c r="E28" t="s">
        <v>37</v>
      </c>
      <c r="F28">
        <v>83</v>
      </c>
    </row>
    <row r="29" spans="2:6" x14ac:dyDescent="0.3">
      <c r="B29" t="s">
        <v>40</v>
      </c>
      <c r="C29">
        <v>20</v>
      </c>
      <c r="E29" t="s">
        <v>67</v>
      </c>
      <c r="F29">
        <v>395</v>
      </c>
    </row>
    <row r="30" spans="2:6" x14ac:dyDescent="0.3">
      <c r="B30" t="s">
        <v>67</v>
      </c>
      <c r="C30">
        <v>395</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DB4F0F-574A-4C17-9E45-4886BA36F6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PatelSoham</dc:creator>
  <cp:lastModifiedBy>PatelSoham</cp:lastModifiedBy>
  <dcterms:created xsi:type="dcterms:W3CDTF">2022-12-16T06:25:50Z</dcterms:created>
  <dcterms:modified xsi:type="dcterms:W3CDTF">2023-01-18T12:35:26Z</dcterms:modified>
</cp:coreProperties>
</file>