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E:\Financial modelling\Files For Students\Modelling &amp; Valuation\DCF Valuation\"/>
    </mc:Choice>
  </mc:AlternateContent>
  <xr:revisionPtr revIDLastSave="0" documentId="13_ncr:1_{534CBF9C-0B76-4EB5-992A-97A5BC4B7C47}" xr6:coauthVersionLast="36" xr6:coauthVersionMax="36" xr10:uidLastSave="{00000000-0000-0000-0000-000000000000}"/>
  <bookViews>
    <workbookView xWindow="0" yWindow="0" windowWidth="20490" windowHeight="7695" tabRatio="778" firstSheet="9" activeTab="18" xr2:uid="{00000000-000D-0000-FFFF-FFFF00000000}"/>
  </bookViews>
  <sheets>
    <sheet name="Assumptions" sheetId="18" r:id="rId1"/>
    <sheet name="P&amp;L Input" sheetId="1" r:id="rId2"/>
    <sheet name="BS Input" sheetId="2" r:id="rId3"/>
    <sheet name="Common sizing" sheetId="22" r:id="rId4"/>
    <sheet name="Revenue Build up" sheetId="14" r:id="rId5"/>
    <sheet name="Cost Build up" sheetId="20" r:id="rId6"/>
    <sheet name="Working Capital" sheetId="21" r:id="rId7"/>
    <sheet name="Sheet1" sheetId="13" state="hidden" r:id="rId8"/>
    <sheet name="Fixed Assets Schedule" sheetId="11" r:id="rId9"/>
    <sheet name="Equity Beta" sheetId="24" r:id="rId10"/>
    <sheet name="Market_Data" sheetId="25" r:id="rId11"/>
    <sheet name="Sheet5" sheetId="12" state="hidden" r:id="rId12"/>
    <sheet name="Financing" sheetId="35" r:id="rId13"/>
    <sheet name="Charts" sheetId="27" r:id="rId14"/>
    <sheet name="Income Statement" sheetId="28" r:id="rId15"/>
    <sheet name="Balance Sheet" sheetId="29" r:id="rId16"/>
    <sheet name="Cash Flow" sheetId="34" r:id="rId17"/>
    <sheet name="Fund Flow" sheetId="32" r:id="rId18"/>
    <sheet name="DCF Valuation" sheetId="26" r:id="rId19"/>
  </sheets>
  <definedNames>
    <definedName name="_xlnm._FilterDatabase" localSheetId="9" hidden="1">'Equity Beta'!$A$1:$E$1</definedName>
    <definedName name="Scenario" comment="Selected case">Assumptions!$C$3</definedName>
    <definedName name="Tax_Rate">Assumptions!$D$15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6" l="1"/>
  <c r="C17" i="26"/>
  <c r="B990" i="25" l="1"/>
  <c r="C990" i="25"/>
  <c r="E3" i="24"/>
  <c r="J249" i="24"/>
  <c r="J250" i="24"/>
  <c r="J252" i="24"/>
  <c r="D3" i="22" l="1"/>
  <c r="F13" i="21" l="1"/>
  <c r="F8" i="14"/>
  <c r="E8" i="14"/>
  <c r="F24" i="2"/>
  <c r="F15" i="21" s="1"/>
  <c r="E38" i="2"/>
  <c r="F39" i="1"/>
  <c r="E39" i="1"/>
  <c r="E35" i="1"/>
  <c r="E6" i="1"/>
  <c r="C47" i="1"/>
  <c r="C58" i="2" l="1"/>
  <c r="C14" i="35" l="1"/>
  <c r="D3" i="35"/>
  <c r="E3" i="35" s="1"/>
  <c r="F3" i="35" s="1"/>
  <c r="G3" i="35" s="1"/>
  <c r="H3" i="35" s="1"/>
  <c r="I3" i="35" s="1"/>
  <c r="J3" i="35" s="1"/>
  <c r="K3" i="35" s="1"/>
  <c r="L3" i="35" s="1"/>
  <c r="G91" i="11" l="1"/>
  <c r="G93" i="11"/>
  <c r="G88" i="11"/>
  <c r="C20" i="26"/>
  <c r="C18" i="26"/>
  <c r="C15" i="26"/>
  <c r="D20" i="18"/>
  <c r="C19" i="26" s="1"/>
  <c r="H91" i="11" l="1"/>
  <c r="D29" i="29"/>
  <c r="E29" i="29"/>
  <c r="F29" i="29"/>
  <c r="C29" i="29"/>
  <c r="C64" i="26"/>
  <c r="C65" i="26" s="1"/>
  <c r="C66" i="26" s="1"/>
  <c r="C67" i="26" s="1"/>
  <c r="D3" i="32" l="1"/>
  <c r="E3" i="32" s="1"/>
  <c r="F3" i="32" s="1"/>
  <c r="G3" i="32" s="1"/>
  <c r="H3" i="32" s="1"/>
  <c r="I3" i="32" s="1"/>
  <c r="J3" i="32" s="1"/>
  <c r="K3" i="32" s="1"/>
  <c r="L3" i="32" s="1"/>
  <c r="M3" i="32" s="1"/>
  <c r="N3" i="32" s="1"/>
  <c r="O3" i="32" s="1"/>
  <c r="P3" i="32" s="1"/>
  <c r="C4" i="2" l="1"/>
  <c r="D4" i="2"/>
  <c r="E4" i="2"/>
  <c r="F4" i="2"/>
  <c r="E61" i="2"/>
  <c r="D61" i="2"/>
  <c r="F58" i="2"/>
  <c r="E58" i="2"/>
  <c r="D58" i="2"/>
  <c r="F57" i="2"/>
  <c r="E57" i="2"/>
  <c r="D57" i="2"/>
  <c r="C61" i="2" l="1"/>
  <c r="E32" i="26"/>
  <c r="C54" i="26" l="1"/>
  <c r="D3" i="26" l="1"/>
  <c r="E3" i="26" s="1"/>
  <c r="F3" i="26" s="1"/>
  <c r="G3" i="26" s="1"/>
  <c r="H3" i="26" s="1"/>
  <c r="I3" i="26" s="1"/>
  <c r="J3" i="26" s="1"/>
  <c r="K3" i="26" s="1"/>
  <c r="L3" i="26" s="1"/>
  <c r="D3" i="34"/>
  <c r="E3" i="34" s="1"/>
  <c r="F3" i="34" s="1"/>
  <c r="G3" i="34" s="1"/>
  <c r="H3" i="34" s="1"/>
  <c r="I3" i="34" s="1"/>
  <c r="J3" i="34" s="1"/>
  <c r="K3" i="34" s="1"/>
  <c r="L3" i="34" s="1"/>
  <c r="M3" i="34" s="1"/>
  <c r="N3" i="34" s="1"/>
  <c r="O3" i="34" s="1"/>
  <c r="P3" i="34" s="1"/>
  <c r="F18" i="28"/>
  <c r="E18" i="28"/>
  <c r="D18" i="28"/>
  <c r="C18" i="28"/>
  <c r="F32" i="29"/>
  <c r="E32" i="29"/>
  <c r="D32" i="29"/>
  <c r="F30" i="29"/>
  <c r="D30" i="29"/>
  <c r="E15" i="21"/>
  <c r="D15" i="21"/>
  <c r="F14" i="21"/>
  <c r="E14" i="21"/>
  <c r="D14" i="21"/>
  <c r="D13" i="21"/>
  <c r="C15" i="21"/>
  <c r="C14" i="21"/>
  <c r="C13" i="21"/>
  <c r="G15" i="21" l="1"/>
  <c r="F34" i="29"/>
  <c r="D34" i="29"/>
  <c r="G14" i="21"/>
  <c r="C16" i="21"/>
  <c r="D16" i="21"/>
  <c r="F16" i="21"/>
  <c r="D37" i="29" l="1"/>
  <c r="E37" i="29"/>
  <c r="F37" i="29"/>
  <c r="D38" i="29"/>
  <c r="E38" i="29"/>
  <c r="F38" i="29"/>
  <c r="D39" i="29"/>
  <c r="E39" i="29"/>
  <c r="F39" i="29"/>
  <c r="D40" i="29"/>
  <c r="E40" i="29"/>
  <c r="F40" i="29"/>
  <c r="D42" i="29"/>
  <c r="E42" i="29"/>
  <c r="F42" i="29"/>
  <c r="C42" i="29"/>
  <c r="C44" i="29" s="1"/>
  <c r="C40" i="29"/>
  <c r="C39" i="29"/>
  <c r="D40" i="34" s="1"/>
  <c r="C38" i="29"/>
  <c r="C37" i="29"/>
  <c r="C32" i="29"/>
  <c r="C30" i="29"/>
  <c r="D16" i="34" l="1"/>
  <c r="C48" i="26"/>
  <c r="E14" i="34"/>
  <c r="E44" i="29"/>
  <c r="D44" i="29"/>
  <c r="D13" i="32" s="1"/>
  <c r="C34" i="29"/>
  <c r="F44" i="29"/>
  <c r="D26" i="34"/>
  <c r="F15" i="34"/>
  <c r="F40" i="34"/>
  <c r="E43" i="34"/>
  <c r="D14" i="34"/>
  <c r="F43" i="34"/>
  <c r="G40" i="34"/>
  <c r="F16" i="34"/>
  <c r="E15" i="34"/>
  <c r="E40" i="34"/>
  <c r="D43" i="34"/>
  <c r="F13" i="34"/>
  <c r="D13" i="34"/>
  <c r="E16" i="34"/>
  <c r="D15" i="34"/>
  <c r="F14" i="34"/>
  <c r="E13" i="34"/>
  <c r="F23" i="29"/>
  <c r="E23" i="29"/>
  <c r="D23" i="29"/>
  <c r="D21" i="29"/>
  <c r="E21" i="29"/>
  <c r="F21" i="29"/>
  <c r="D22" i="29"/>
  <c r="E22" i="29"/>
  <c r="F22" i="29"/>
  <c r="C22" i="29"/>
  <c r="C21" i="29"/>
  <c r="F17" i="29"/>
  <c r="G17" i="29" s="1"/>
  <c r="H17" i="29" s="1"/>
  <c r="I17" i="29" s="1"/>
  <c r="J17" i="29" s="1"/>
  <c r="K17" i="29" s="1"/>
  <c r="L17" i="29" s="1"/>
  <c r="M17" i="29" s="1"/>
  <c r="N17" i="29" s="1"/>
  <c r="O17" i="29" s="1"/>
  <c r="P17" i="29" s="1"/>
  <c r="E17" i="29"/>
  <c r="D17" i="29"/>
  <c r="C17" i="29"/>
  <c r="F16" i="29"/>
  <c r="G16" i="29" s="1"/>
  <c r="H16" i="29" s="1"/>
  <c r="I16" i="29" s="1"/>
  <c r="J16" i="29" s="1"/>
  <c r="K16" i="29" s="1"/>
  <c r="L16" i="29" s="1"/>
  <c r="M16" i="29" s="1"/>
  <c r="N16" i="29" s="1"/>
  <c r="O16" i="29" s="1"/>
  <c r="P16" i="29" s="1"/>
  <c r="E16" i="29"/>
  <c r="D16" i="29"/>
  <c r="C16" i="29"/>
  <c r="F14" i="29"/>
  <c r="E14" i="29"/>
  <c r="D14" i="29"/>
  <c r="C14" i="29"/>
  <c r="F13" i="29"/>
  <c r="E13" i="29"/>
  <c r="D13" i="29"/>
  <c r="C13" i="29"/>
  <c r="F9" i="29"/>
  <c r="C51" i="26" s="1"/>
  <c r="E9" i="29"/>
  <c r="D9" i="29"/>
  <c r="F8" i="29"/>
  <c r="E8" i="29"/>
  <c r="D8" i="29"/>
  <c r="E7" i="29"/>
  <c r="D7" i="29"/>
  <c r="C9" i="29"/>
  <c r="C8" i="29"/>
  <c r="C7" i="29"/>
  <c r="E13" i="32" l="1"/>
  <c r="D21" i="32"/>
  <c r="D19" i="32"/>
  <c r="F13" i="32"/>
  <c r="E20" i="32"/>
  <c r="F20" i="32"/>
  <c r="E21" i="32"/>
  <c r="D20" i="32"/>
  <c r="D22" i="32" s="1"/>
  <c r="F19" i="34"/>
  <c r="F14" i="32"/>
  <c r="F20" i="34"/>
  <c r="F19" i="32"/>
  <c r="E14" i="32"/>
  <c r="E15" i="32" s="1"/>
  <c r="E19" i="32"/>
  <c r="C48" i="29"/>
  <c r="E19" i="34"/>
  <c r="D34" i="34"/>
  <c r="D32" i="34"/>
  <c r="E33" i="26"/>
  <c r="C49" i="26"/>
  <c r="E20" i="34"/>
  <c r="D19" i="34"/>
  <c r="E22" i="21"/>
  <c r="E21" i="34"/>
  <c r="F48" i="29"/>
  <c r="E34" i="34"/>
  <c r="F22" i="21"/>
  <c r="F21" i="34"/>
  <c r="D48" i="29"/>
  <c r="E32" i="34"/>
  <c r="D20" i="34"/>
  <c r="D22" i="21"/>
  <c r="G9" i="29"/>
  <c r="F34" i="34"/>
  <c r="C23" i="29"/>
  <c r="D21" i="34" s="1"/>
  <c r="F24" i="29"/>
  <c r="E24" i="29"/>
  <c r="D24" i="29"/>
  <c r="E10" i="29"/>
  <c r="D10" i="29"/>
  <c r="C10" i="29"/>
  <c r="D3" i="29"/>
  <c r="E3" i="29" s="1"/>
  <c r="F3" i="29" s="1"/>
  <c r="G3" i="29" s="1"/>
  <c r="H3" i="29" s="1"/>
  <c r="I3" i="29" s="1"/>
  <c r="J3" i="29" s="1"/>
  <c r="K3" i="29" s="1"/>
  <c r="L3" i="29" s="1"/>
  <c r="M3" i="29" s="1"/>
  <c r="N3" i="29" s="1"/>
  <c r="O3" i="29" s="1"/>
  <c r="P3" i="29" s="1"/>
  <c r="P83" i="11"/>
  <c r="O83" i="11"/>
  <c r="N83" i="11"/>
  <c r="M83" i="11"/>
  <c r="L83" i="11"/>
  <c r="K83" i="11"/>
  <c r="P81" i="11"/>
  <c r="O81" i="11"/>
  <c r="N81" i="11"/>
  <c r="M81" i="11"/>
  <c r="L81" i="11"/>
  <c r="K81" i="11"/>
  <c r="G17" i="20"/>
  <c r="F17" i="20"/>
  <c r="E17" i="20"/>
  <c r="D17" i="20"/>
  <c r="G13" i="20"/>
  <c r="F13" i="20"/>
  <c r="E13" i="20"/>
  <c r="D13" i="20"/>
  <c r="F15" i="32" l="1"/>
  <c r="E22" i="32"/>
  <c r="D14" i="32"/>
  <c r="D15" i="32" s="1"/>
  <c r="H17" i="20"/>
  <c r="H9" i="29"/>
  <c r="G34" i="34"/>
  <c r="C24" i="29"/>
  <c r="C22" i="21"/>
  <c r="F16" i="28"/>
  <c r="F22" i="34" s="1"/>
  <c r="E16" i="28"/>
  <c r="E22" i="34" s="1"/>
  <c r="F14" i="28"/>
  <c r="F9" i="34" s="1"/>
  <c r="F27" i="34" s="1"/>
  <c r="E14" i="28"/>
  <c r="E9" i="34" s="1"/>
  <c r="E27" i="34" s="1"/>
  <c r="D14" i="28"/>
  <c r="F13" i="28"/>
  <c r="F8" i="34" s="1"/>
  <c r="F31" i="34" s="1"/>
  <c r="E13" i="28"/>
  <c r="E8" i="34" s="1"/>
  <c r="E31" i="34" s="1"/>
  <c r="D13" i="28"/>
  <c r="D11" i="28"/>
  <c r="D7" i="32" s="1"/>
  <c r="F9" i="28"/>
  <c r="E9" i="28"/>
  <c r="D9" i="28"/>
  <c r="F7" i="28"/>
  <c r="E7" i="28"/>
  <c r="D7" i="28"/>
  <c r="F6" i="28"/>
  <c r="D6" i="28"/>
  <c r="D3" i="28"/>
  <c r="E3" i="28" s="1"/>
  <c r="F3" i="28" s="1"/>
  <c r="G3" i="28" s="1"/>
  <c r="H3" i="28" s="1"/>
  <c r="I3" i="28" s="1"/>
  <c r="J3" i="28" s="1"/>
  <c r="K3" i="28" s="1"/>
  <c r="L3" i="28" s="1"/>
  <c r="M3" i="28" s="1"/>
  <c r="N3" i="28" s="1"/>
  <c r="O3" i="28" s="1"/>
  <c r="P3" i="28" s="1"/>
  <c r="C14" i="28"/>
  <c r="C13" i="28"/>
  <c r="C11" i="28"/>
  <c r="C9" i="28"/>
  <c r="C7" i="28"/>
  <c r="C6" i="28"/>
  <c r="C41" i="29" s="1"/>
  <c r="E8" i="20"/>
  <c r="E14" i="20" s="1"/>
  <c r="G8" i="20"/>
  <c r="D8" i="20"/>
  <c r="D14" i="20" s="1"/>
  <c r="F47" i="1"/>
  <c r="G9" i="20" s="1"/>
  <c r="D47" i="1"/>
  <c r="E9" i="20" s="1"/>
  <c r="E10" i="20" s="1"/>
  <c r="D9" i="20"/>
  <c r="D10" i="20" s="1"/>
  <c r="C57" i="2"/>
  <c r="D46" i="1"/>
  <c r="F5" i="20"/>
  <c r="G5" i="20" s="1"/>
  <c r="F5" i="21"/>
  <c r="G5" i="21" s="1"/>
  <c r="S12" i="27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S7" i="27"/>
  <c r="T7" i="27" s="1"/>
  <c r="U7" i="27" s="1"/>
  <c r="V7" i="27" s="1"/>
  <c r="W7" i="27" s="1"/>
  <c r="X7" i="27" s="1"/>
  <c r="Y7" i="27" s="1"/>
  <c r="Z7" i="27" s="1"/>
  <c r="AA7" i="27" s="1"/>
  <c r="AB7" i="27" s="1"/>
  <c r="AC7" i="27" s="1"/>
  <c r="AD7" i="27" s="1"/>
  <c r="AE7" i="27" s="1"/>
  <c r="E11" i="20" l="1"/>
  <c r="D41" i="29"/>
  <c r="C15" i="29"/>
  <c r="F23" i="21"/>
  <c r="F41" i="29"/>
  <c r="G41" i="29" s="1"/>
  <c r="E15" i="29"/>
  <c r="G10" i="20"/>
  <c r="G11" i="20" s="1"/>
  <c r="G14" i="20"/>
  <c r="D8" i="28"/>
  <c r="D10" i="28" s="1"/>
  <c r="D12" i="28" s="1"/>
  <c r="D15" i="28" s="1"/>
  <c r="I17" i="20"/>
  <c r="J17" i="20" s="1"/>
  <c r="D11" i="20"/>
  <c r="C43" i="29"/>
  <c r="C33" i="29"/>
  <c r="G33" i="29" s="1"/>
  <c r="C31" i="29"/>
  <c r="D43" i="29"/>
  <c r="G43" i="29" s="1"/>
  <c r="D33" i="29"/>
  <c r="D31" i="29"/>
  <c r="C23" i="21"/>
  <c r="D8" i="34"/>
  <c r="D31" i="34" s="1"/>
  <c r="D23" i="21"/>
  <c r="F8" i="28"/>
  <c r="F10" i="28" s="1"/>
  <c r="F43" i="29"/>
  <c r="F31" i="29"/>
  <c r="F33" i="29"/>
  <c r="D7" i="34"/>
  <c r="D9" i="34"/>
  <c r="D27" i="34" s="1"/>
  <c r="I9" i="29"/>
  <c r="H34" i="34"/>
  <c r="C8" i="28"/>
  <c r="C10" i="28" s="1"/>
  <c r="C12" i="28" s="1"/>
  <c r="C18" i="29" l="1"/>
  <c r="C26" i="29" s="1"/>
  <c r="C50" i="29" s="1"/>
  <c r="G15" i="29"/>
  <c r="E18" i="29"/>
  <c r="D25" i="34"/>
  <c r="D29" i="34" s="1"/>
  <c r="D6" i="34"/>
  <c r="K17" i="20"/>
  <c r="J9" i="29"/>
  <c r="I34" i="34"/>
  <c r="C15" i="28"/>
  <c r="E26" i="29" l="1"/>
  <c r="E46" i="29"/>
  <c r="D10" i="32"/>
  <c r="L17" i="20"/>
  <c r="K9" i="29"/>
  <c r="J34" i="34"/>
  <c r="C46" i="29"/>
  <c r="M17" i="20" l="1"/>
  <c r="L9" i="29"/>
  <c r="K34" i="34"/>
  <c r="N17" i="20" l="1"/>
  <c r="M9" i="29"/>
  <c r="L34" i="34"/>
  <c r="O17" i="20" l="1"/>
  <c r="N9" i="29"/>
  <c r="M34" i="34"/>
  <c r="P17" i="20" l="1"/>
  <c r="O9" i="29"/>
  <c r="N34" i="34"/>
  <c r="Q17" i="20" l="1"/>
  <c r="P9" i="29"/>
  <c r="P34" i="34" s="1"/>
  <c r="O34" i="34"/>
  <c r="S2" i="27" l="1"/>
  <c r="T2" i="27" s="1"/>
  <c r="U2" i="27" s="1"/>
  <c r="V2" i="27" s="1"/>
  <c r="W2" i="27" s="1"/>
  <c r="X2" i="27" s="1"/>
  <c r="Y2" i="27" s="1"/>
  <c r="Z2" i="27" s="1"/>
  <c r="AA2" i="27" s="1"/>
  <c r="AB2" i="27" s="1"/>
  <c r="AC2" i="27" s="1"/>
  <c r="AD2" i="27" s="1"/>
  <c r="AE2" i="27" s="1"/>
  <c r="E16" i="14"/>
  <c r="D16" i="14"/>
  <c r="C3" i="18"/>
  <c r="J83" i="11" l="1"/>
  <c r="J81" i="11"/>
  <c r="I83" i="11"/>
  <c r="I81" i="11"/>
  <c r="H83" i="11"/>
  <c r="H81" i="11"/>
  <c r="G83" i="11"/>
  <c r="G81" i="11"/>
  <c r="D28" i="26" l="1"/>
  <c r="E28" i="26" s="1"/>
  <c r="D29" i="26" l="1"/>
  <c r="C3" i="25"/>
  <c r="D3" i="25" s="1"/>
  <c r="C4" i="25"/>
  <c r="D4" i="25" s="1"/>
  <c r="C5" i="25"/>
  <c r="D5" i="25" s="1"/>
  <c r="C6" i="25"/>
  <c r="D6" i="25" s="1"/>
  <c r="C7" i="25"/>
  <c r="D7" i="25" s="1"/>
  <c r="C8" i="25"/>
  <c r="D8" i="25"/>
  <c r="C9" i="25"/>
  <c r="D9" i="25" s="1"/>
  <c r="C10" i="25"/>
  <c r="D10" i="25" s="1"/>
  <c r="C11" i="25"/>
  <c r="D11" i="25"/>
  <c r="C12" i="25"/>
  <c r="D12" i="25" s="1"/>
  <c r="C13" i="25"/>
  <c r="D13" i="25"/>
  <c r="C14" i="25"/>
  <c r="D14" i="25" s="1"/>
  <c r="C15" i="25"/>
  <c r="D15" i="25"/>
  <c r="C16" i="25"/>
  <c r="D16" i="25" s="1"/>
  <c r="C17" i="25"/>
  <c r="D17" i="25" s="1"/>
  <c r="C18" i="25"/>
  <c r="D18" i="25"/>
  <c r="C19" i="25"/>
  <c r="D19" i="25" s="1"/>
  <c r="C20" i="25"/>
  <c r="D20" i="25" s="1"/>
  <c r="C21" i="25"/>
  <c r="D21" i="25"/>
  <c r="C22" i="25"/>
  <c r="D22" i="25" s="1"/>
  <c r="C23" i="25"/>
  <c r="D23" i="25"/>
  <c r="C24" i="25"/>
  <c r="D24" i="25" s="1"/>
  <c r="C25" i="25"/>
  <c r="D25" i="25" s="1"/>
  <c r="C26" i="25"/>
  <c r="D26" i="25" s="1"/>
  <c r="C27" i="25"/>
  <c r="D27" i="25"/>
  <c r="C28" i="25"/>
  <c r="D28" i="25" s="1"/>
  <c r="C29" i="25"/>
  <c r="D29" i="25"/>
  <c r="C30" i="25"/>
  <c r="D30" i="25" s="1"/>
  <c r="C31" i="25"/>
  <c r="D31" i="25"/>
  <c r="C32" i="25"/>
  <c r="D32" i="25" s="1"/>
  <c r="C33" i="25"/>
  <c r="D33" i="25" s="1"/>
  <c r="C34" i="25"/>
  <c r="D34" i="25" s="1"/>
  <c r="C35" i="25"/>
  <c r="D35" i="25" s="1"/>
  <c r="C36" i="25"/>
  <c r="D36" i="25" s="1"/>
  <c r="C37" i="25"/>
  <c r="D37" i="25"/>
  <c r="C38" i="25"/>
  <c r="D38" i="25" s="1"/>
  <c r="C39" i="25"/>
  <c r="D39" i="25" s="1"/>
  <c r="C40" i="25"/>
  <c r="D40" i="25" s="1"/>
  <c r="C41" i="25"/>
  <c r="D41" i="25"/>
  <c r="C42" i="25"/>
  <c r="D42" i="25"/>
  <c r="C43" i="25"/>
  <c r="D43" i="25"/>
  <c r="C44" i="25"/>
  <c r="D44" i="25" s="1"/>
  <c r="C45" i="25"/>
  <c r="D45" i="25" s="1"/>
  <c r="C46" i="25"/>
  <c r="D46" i="25"/>
  <c r="C47" i="25"/>
  <c r="D47" i="25" s="1"/>
  <c r="C48" i="25"/>
  <c r="D48" i="25" s="1"/>
  <c r="C49" i="25"/>
  <c r="D49" i="25" s="1"/>
  <c r="C50" i="25"/>
  <c r="D50" i="25" s="1"/>
  <c r="C51" i="25"/>
  <c r="D51" i="25" s="1"/>
  <c r="C52" i="25"/>
  <c r="D52" i="25"/>
  <c r="C53" i="25"/>
  <c r="D53" i="25" s="1"/>
  <c r="C54" i="25"/>
  <c r="D54" i="25" s="1"/>
  <c r="C55" i="25"/>
  <c r="D55" i="25" s="1"/>
  <c r="C56" i="25"/>
  <c r="D56" i="25" s="1"/>
  <c r="C57" i="25"/>
  <c r="D57" i="25" s="1"/>
  <c r="C58" i="25"/>
  <c r="D58" i="25"/>
  <c r="C59" i="25"/>
  <c r="D59" i="25" s="1"/>
  <c r="C60" i="25"/>
  <c r="D60" i="25" s="1"/>
  <c r="C61" i="25"/>
  <c r="D61" i="25" s="1"/>
  <c r="C62" i="25"/>
  <c r="D62" i="25" s="1"/>
  <c r="C63" i="25"/>
  <c r="D63" i="25" s="1"/>
  <c r="C64" i="25"/>
  <c r="D64" i="25" s="1"/>
  <c r="C65" i="25"/>
  <c r="D65" i="25" s="1"/>
  <c r="C66" i="25"/>
  <c r="D66" i="25" s="1"/>
  <c r="C67" i="25"/>
  <c r="D67" i="25" s="1"/>
  <c r="C68" i="25"/>
  <c r="D68" i="25" s="1"/>
  <c r="C69" i="25"/>
  <c r="D69" i="25" s="1"/>
  <c r="C70" i="25"/>
  <c r="D70" i="25" s="1"/>
  <c r="C71" i="25"/>
  <c r="D71" i="25" s="1"/>
  <c r="C72" i="25"/>
  <c r="D72" i="25" s="1"/>
  <c r="C73" i="25"/>
  <c r="D73" i="25" s="1"/>
  <c r="C74" i="25"/>
  <c r="D74" i="25" s="1"/>
  <c r="C75" i="25"/>
  <c r="D75" i="25" s="1"/>
  <c r="C76" i="25"/>
  <c r="D76" i="25" s="1"/>
  <c r="C77" i="25"/>
  <c r="D77" i="25" s="1"/>
  <c r="C78" i="25"/>
  <c r="D78" i="25" s="1"/>
  <c r="C79" i="25"/>
  <c r="D79" i="25" s="1"/>
  <c r="C80" i="25"/>
  <c r="D80" i="25" s="1"/>
  <c r="C81" i="25"/>
  <c r="D81" i="25" s="1"/>
  <c r="C82" i="25"/>
  <c r="D82" i="25" s="1"/>
  <c r="C83" i="25"/>
  <c r="D83" i="25" s="1"/>
  <c r="C84" i="25"/>
  <c r="D84" i="25" s="1"/>
  <c r="C85" i="25"/>
  <c r="D85" i="25" s="1"/>
  <c r="C86" i="25"/>
  <c r="D86" i="25" s="1"/>
  <c r="C87" i="25"/>
  <c r="D87" i="25" s="1"/>
  <c r="C88" i="25"/>
  <c r="D88" i="25" s="1"/>
  <c r="C89" i="25"/>
  <c r="D89" i="25" s="1"/>
  <c r="C90" i="25"/>
  <c r="D90" i="25" s="1"/>
  <c r="C91" i="25"/>
  <c r="D91" i="25" s="1"/>
  <c r="C92" i="25"/>
  <c r="D92" i="25" s="1"/>
  <c r="C93" i="25"/>
  <c r="D93" i="25" s="1"/>
  <c r="C94" i="25"/>
  <c r="D94" i="25" s="1"/>
  <c r="C95" i="25"/>
  <c r="D95" i="25" s="1"/>
  <c r="C96" i="25"/>
  <c r="D96" i="25" s="1"/>
  <c r="C97" i="25"/>
  <c r="D97" i="25" s="1"/>
  <c r="C98" i="25"/>
  <c r="D98" i="25" s="1"/>
  <c r="C99" i="25"/>
  <c r="D99" i="25" s="1"/>
  <c r="C100" i="25"/>
  <c r="D100" i="25" s="1"/>
  <c r="C101" i="25"/>
  <c r="D101" i="25" s="1"/>
  <c r="C102" i="25"/>
  <c r="D102" i="25" s="1"/>
  <c r="C103" i="25"/>
  <c r="D103" i="25" s="1"/>
  <c r="C104" i="25"/>
  <c r="D104" i="25" s="1"/>
  <c r="C105" i="25"/>
  <c r="D105" i="25" s="1"/>
  <c r="C106" i="25"/>
  <c r="D106" i="25" s="1"/>
  <c r="C107" i="25"/>
  <c r="D107" i="25" s="1"/>
  <c r="C108" i="25"/>
  <c r="D108" i="25"/>
  <c r="C109" i="25"/>
  <c r="D109" i="25" s="1"/>
  <c r="C110" i="25"/>
  <c r="D110" i="25" s="1"/>
  <c r="C111" i="25"/>
  <c r="D111" i="25" s="1"/>
  <c r="C112" i="25"/>
  <c r="D112" i="25" s="1"/>
  <c r="C113" i="25"/>
  <c r="D113" i="25" s="1"/>
  <c r="C114" i="25"/>
  <c r="D114" i="25"/>
  <c r="C115" i="25"/>
  <c r="D115" i="25" s="1"/>
  <c r="C116" i="25"/>
  <c r="D116" i="25" s="1"/>
  <c r="C117" i="25"/>
  <c r="D117" i="25" s="1"/>
  <c r="C118" i="25"/>
  <c r="D118" i="25" s="1"/>
  <c r="C119" i="25"/>
  <c r="D119" i="25" s="1"/>
  <c r="C120" i="25"/>
  <c r="D120" i="25"/>
  <c r="C121" i="25"/>
  <c r="D121" i="25" s="1"/>
  <c r="C122" i="25"/>
  <c r="D122" i="25" s="1"/>
  <c r="C123" i="25"/>
  <c r="D123" i="25" s="1"/>
  <c r="C124" i="25"/>
  <c r="D124" i="25" s="1"/>
  <c r="C125" i="25"/>
  <c r="D125" i="25" s="1"/>
  <c r="C126" i="25"/>
  <c r="D126" i="25" s="1"/>
  <c r="C127" i="25"/>
  <c r="D127" i="25" s="1"/>
  <c r="C128" i="25"/>
  <c r="D128" i="25" s="1"/>
  <c r="C129" i="25"/>
  <c r="D129" i="25" s="1"/>
  <c r="C130" i="25"/>
  <c r="D130" i="25" s="1"/>
  <c r="C131" i="25"/>
  <c r="D131" i="25"/>
  <c r="C132" i="25"/>
  <c r="D132" i="25" s="1"/>
  <c r="C133" i="25"/>
  <c r="D133" i="25"/>
  <c r="C134" i="25"/>
  <c r="D134" i="25" s="1"/>
  <c r="C135" i="25"/>
  <c r="D135" i="25" s="1"/>
  <c r="C136" i="25"/>
  <c r="D136" i="25"/>
  <c r="C137" i="25"/>
  <c r="D137" i="25" s="1"/>
  <c r="C138" i="25"/>
  <c r="D138" i="25" s="1"/>
  <c r="C139" i="25"/>
  <c r="D139" i="25" s="1"/>
  <c r="C140" i="25"/>
  <c r="D140" i="25" s="1"/>
  <c r="C141" i="25"/>
  <c r="D141" i="25" s="1"/>
  <c r="C142" i="25"/>
  <c r="D142" i="25" s="1"/>
  <c r="C143" i="25"/>
  <c r="D143" i="25" s="1"/>
  <c r="C144" i="25"/>
  <c r="D144" i="25" s="1"/>
  <c r="C145" i="25"/>
  <c r="D145" i="25" s="1"/>
  <c r="C146" i="25"/>
  <c r="D146" i="25" s="1"/>
  <c r="C147" i="25"/>
  <c r="D147" i="25" s="1"/>
  <c r="C148" i="25"/>
  <c r="D148" i="25" s="1"/>
  <c r="C149" i="25"/>
  <c r="D149" i="25" s="1"/>
  <c r="C150" i="25"/>
  <c r="D150" i="25" s="1"/>
  <c r="C151" i="25"/>
  <c r="D151" i="25"/>
  <c r="C152" i="25"/>
  <c r="D152" i="25" s="1"/>
  <c r="C153" i="25"/>
  <c r="D153" i="25" s="1"/>
  <c r="C154" i="25"/>
  <c r="D154" i="25"/>
  <c r="C155" i="25"/>
  <c r="D155" i="25" s="1"/>
  <c r="C156" i="25"/>
  <c r="D156" i="25" s="1"/>
  <c r="C157" i="25"/>
  <c r="D157" i="25" s="1"/>
  <c r="C158" i="25"/>
  <c r="D158" i="25" s="1"/>
  <c r="C159" i="25"/>
  <c r="D159" i="25" s="1"/>
  <c r="C160" i="25"/>
  <c r="D160" i="25" s="1"/>
  <c r="C161" i="25"/>
  <c r="D161" i="25" s="1"/>
  <c r="C162" i="25"/>
  <c r="D162" i="25" s="1"/>
  <c r="C163" i="25"/>
  <c r="D163" i="25" s="1"/>
  <c r="C164" i="25"/>
  <c r="D164" i="25" s="1"/>
  <c r="C165" i="25"/>
  <c r="D165" i="25" s="1"/>
  <c r="C166" i="25"/>
  <c r="D166" i="25" s="1"/>
  <c r="C167" i="25"/>
  <c r="D167" i="25" s="1"/>
  <c r="C168" i="25"/>
  <c r="D168" i="25" s="1"/>
  <c r="C169" i="25"/>
  <c r="D169" i="25" s="1"/>
  <c r="C170" i="25"/>
  <c r="D170" i="25" s="1"/>
  <c r="C171" i="25"/>
  <c r="D171" i="25" s="1"/>
  <c r="C172" i="25"/>
  <c r="D172" i="25" s="1"/>
  <c r="C173" i="25"/>
  <c r="D173" i="25" s="1"/>
  <c r="C174" i="25"/>
  <c r="D174" i="25" s="1"/>
  <c r="C175" i="25"/>
  <c r="D175" i="25" s="1"/>
  <c r="C176" i="25"/>
  <c r="D176" i="25" s="1"/>
  <c r="C177" i="25"/>
  <c r="D177" i="25" s="1"/>
  <c r="C178" i="25"/>
  <c r="D178" i="25" s="1"/>
  <c r="C179" i="25"/>
  <c r="D179" i="25" s="1"/>
  <c r="C180" i="25"/>
  <c r="D180" i="25" s="1"/>
  <c r="C181" i="25"/>
  <c r="D181" i="25" s="1"/>
  <c r="C182" i="25"/>
  <c r="D182" i="25"/>
  <c r="C183" i="25"/>
  <c r="D183" i="25" s="1"/>
  <c r="C184" i="25"/>
  <c r="D184" i="25" s="1"/>
  <c r="C185" i="25"/>
  <c r="D185" i="25" s="1"/>
  <c r="C186" i="25"/>
  <c r="D186" i="25" s="1"/>
  <c r="C187" i="25"/>
  <c r="D187" i="25" s="1"/>
  <c r="C188" i="25"/>
  <c r="D188" i="25" s="1"/>
  <c r="C189" i="25"/>
  <c r="D189" i="25" s="1"/>
  <c r="C190" i="25"/>
  <c r="D190" i="25" s="1"/>
  <c r="C191" i="25"/>
  <c r="D191" i="25" s="1"/>
  <c r="C192" i="25"/>
  <c r="D192" i="25" s="1"/>
  <c r="C193" i="25"/>
  <c r="D193" i="25" s="1"/>
  <c r="C194" i="25"/>
  <c r="D194" i="25" s="1"/>
  <c r="C195" i="25"/>
  <c r="D195" i="25" s="1"/>
  <c r="C196" i="25"/>
  <c r="D196" i="25" s="1"/>
  <c r="C197" i="25"/>
  <c r="D197" i="25" s="1"/>
  <c r="C198" i="25"/>
  <c r="D198" i="25" s="1"/>
  <c r="C199" i="25"/>
  <c r="D199" i="25" s="1"/>
  <c r="C200" i="25"/>
  <c r="D200" i="25" s="1"/>
  <c r="C201" i="25"/>
  <c r="D201" i="25" s="1"/>
  <c r="C202" i="25"/>
  <c r="D202" i="25"/>
  <c r="C203" i="25"/>
  <c r="D203" i="25" s="1"/>
  <c r="C204" i="25"/>
  <c r="D204" i="25" s="1"/>
  <c r="C205" i="25"/>
  <c r="D205" i="25" s="1"/>
  <c r="C206" i="25"/>
  <c r="D206" i="25" s="1"/>
  <c r="C207" i="25"/>
  <c r="D207" i="25" s="1"/>
  <c r="C208" i="25"/>
  <c r="D208" i="25" s="1"/>
  <c r="C209" i="25"/>
  <c r="D209" i="25" s="1"/>
  <c r="C210" i="25"/>
  <c r="D210" i="25" s="1"/>
  <c r="C211" i="25"/>
  <c r="D211" i="25" s="1"/>
  <c r="C212" i="25"/>
  <c r="D212" i="25"/>
  <c r="C213" i="25"/>
  <c r="D213" i="25" s="1"/>
  <c r="C214" i="25"/>
  <c r="D214" i="25" s="1"/>
  <c r="C215" i="25"/>
  <c r="D215" i="25" s="1"/>
  <c r="C216" i="25"/>
  <c r="D216" i="25" s="1"/>
  <c r="C217" i="25"/>
  <c r="D217" i="25" s="1"/>
  <c r="C218" i="25"/>
  <c r="D218" i="25"/>
  <c r="C219" i="25"/>
  <c r="D219" i="25" s="1"/>
  <c r="C220" i="25"/>
  <c r="D220" i="25" s="1"/>
  <c r="C221" i="25"/>
  <c r="D221" i="25" s="1"/>
  <c r="C222" i="25"/>
  <c r="D222" i="25" s="1"/>
  <c r="C223" i="25"/>
  <c r="D223" i="25" s="1"/>
  <c r="C224" i="25"/>
  <c r="D224" i="25" s="1"/>
  <c r="C225" i="25"/>
  <c r="D225" i="25" s="1"/>
  <c r="C226" i="25"/>
  <c r="D226" i="25" s="1"/>
  <c r="C227" i="25"/>
  <c r="D227" i="25" s="1"/>
  <c r="C228" i="25"/>
  <c r="D228" i="25" s="1"/>
  <c r="C229" i="25"/>
  <c r="D229" i="25" s="1"/>
  <c r="C230" i="25"/>
  <c r="D230" i="25" s="1"/>
  <c r="C231" i="25"/>
  <c r="D231" i="25" s="1"/>
  <c r="C232" i="25"/>
  <c r="D232" i="25" s="1"/>
  <c r="C233" i="25"/>
  <c r="D233" i="25" s="1"/>
  <c r="C234" i="25"/>
  <c r="D234" i="25" s="1"/>
  <c r="C235" i="25"/>
  <c r="D235" i="25" s="1"/>
  <c r="C236" i="25"/>
  <c r="D236" i="25" s="1"/>
  <c r="C237" i="25"/>
  <c r="D237" i="25" s="1"/>
  <c r="C238" i="25"/>
  <c r="D238" i="25" s="1"/>
  <c r="C239" i="25"/>
  <c r="D239" i="25" s="1"/>
  <c r="C240" i="25"/>
  <c r="D240" i="25" s="1"/>
  <c r="C241" i="25"/>
  <c r="D241" i="25" s="1"/>
  <c r="C242" i="25"/>
  <c r="D242" i="25" s="1"/>
  <c r="C243" i="25"/>
  <c r="D243" i="25" s="1"/>
  <c r="C244" i="25"/>
  <c r="D244" i="25" s="1"/>
  <c r="C245" i="25"/>
  <c r="D245" i="25" s="1"/>
  <c r="C246" i="25"/>
  <c r="D246" i="25" s="1"/>
  <c r="C247" i="25"/>
  <c r="D247" i="25" s="1"/>
  <c r="C248" i="25"/>
  <c r="D248" i="25" s="1"/>
  <c r="C249" i="25"/>
  <c r="D249" i="25" s="1"/>
  <c r="C250" i="25"/>
  <c r="D250" i="25" s="1"/>
  <c r="C251" i="25"/>
  <c r="D251" i="25" s="1"/>
  <c r="C252" i="25"/>
  <c r="D252" i="25" s="1"/>
  <c r="C253" i="25"/>
  <c r="D253" i="25" s="1"/>
  <c r="C254" i="25"/>
  <c r="D254" i="25" s="1"/>
  <c r="C255" i="25"/>
  <c r="D255" i="25" s="1"/>
  <c r="C256" i="25"/>
  <c r="D256" i="25"/>
  <c r="C257" i="25"/>
  <c r="D257" i="25" s="1"/>
  <c r="C258" i="25"/>
  <c r="D258" i="25" s="1"/>
  <c r="C259" i="25"/>
  <c r="D259" i="25" s="1"/>
  <c r="C260" i="25"/>
  <c r="D260" i="25" s="1"/>
  <c r="C261" i="25"/>
  <c r="D261" i="25" s="1"/>
  <c r="C262" i="25"/>
  <c r="D262" i="25" s="1"/>
  <c r="C263" i="25"/>
  <c r="D263" i="25" s="1"/>
  <c r="C264" i="25"/>
  <c r="D264" i="25" s="1"/>
  <c r="C265" i="25"/>
  <c r="D265" i="25" s="1"/>
  <c r="C266" i="25"/>
  <c r="D266" i="25"/>
  <c r="C267" i="25"/>
  <c r="D267" i="25" s="1"/>
  <c r="C268" i="25"/>
  <c r="D268" i="25" s="1"/>
  <c r="C269" i="25"/>
  <c r="D269" i="25" s="1"/>
  <c r="C270" i="25"/>
  <c r="D270" i="25" s="1"/>
  <c r="C271" i="25"/>
  <c r="D271" i="25" s="1"/>
  <c r="C272" i="25"/>
  <c r="D272" i="25" s="1"/>
  <c r="C273" i="25"/>
  <c r="D273" i="25" s="1"/>
  <c r="C274" i="25"/>
  <c r="D274" i="25" s="1"/>
  <c r="C275" i="25"/>
  <c r="D275" i="25" s="1"/>
  <c r="C276" i="25"/>
  <c r="D276" i="25" s="1"/>
  <c r="C277" i="25"/>
  <c r="D277" i="25" s="1"/>
  <c r="C278" i="25"/>
  <c r="D278" i="25" s="1"/>
  <c r="C279" i="25"/>
  <c r="D279" i="25" s="1"/>
  <c r="C280" i="25"/>
  <c r="D280" i="25" s="1"/>
  <c r="C281" i="25"/>
  <c r="D281" i="25" s="1"/>
  <c r="C282" i="25"/>
  <c r="D282" i="25" s="1"/>
  <c r="C283" i="25"/>
  <c r="D283" i="25" s="1"/>
  <c r="C284" i="25"/>
  <c r="D284" i="25" s="1"/>
  <c r="C285" i="25"/>
  <c r="D285" i="25" s="1"/>
  <c r="C286" i="25"/>
  <c r="D286" i="25" s="1"/>
  <c r="C287" i="25"/>
  <c r="D287" i="25" s="1"/>
  <c r="C288" i="25"/>
  <c r="D288" i="25" s="1"/>
  <c r="C289" i="25"/>
  <c r="D289" i="25" s="1"/>
  <c r="C290" i="25"/>
  <c r="D290" i="25" s="1"/>
  <c r="C291" i="25"/>
  <c r="D291" i="25" s="1"/>
  <c r="C292" i="25"/>
  <c r="D292" i="25" s="1"/>
  <c r="C293" i="25"/>
  <c r="D293" i="25" s="1"/>
  <c r="C294" i="25"/>
  <c r="D294" i="25" s="1"/>
  <c r="C295" i="25"/>
  <c r="D295" i="25" s="1"/>
  <c r="C296" i="25"/>
  <c r="D296" i="25" s="1"/>
  <c r="C297" i="25"/>
  <c r="D297" i="25" s="1"/>
  <c r="C298" i="25"/>
  <c r="D298" i="25" s="1"/>
  <c r="C299" i="25"/>
  <c r="D299" i="25" s="1"/>
  <c r="C300" i="25"/>
  <c r="D300" i="25" s="1"/>
  <c r="C301" i="25"/>
  <c r="D301" i="25" s="1"/>
  <c r="C302" i="25"/>
  <c r="D302" i="25"/>
  <c r="C303" i="25"/>
  <c r="D303" i="25" s="1"/>
  <c r="C304" i="25"/>
  <c r="D304" i="25" s="1"/>
  <c r="C305" i="25"/>
  <c r="D305" i="25" s="1"/>
  <c r="C306" i="25"/>
  <c r="D306" i="25" s="1"/>
  <c r="C307" i="25"/>
  <c r="D307" i="25" s="1"/>
  <c r="C308" i="25"/>
  <c r="D308" i="25" s="1"/>
  <c r="C309" i="25"/>
  <c r="D309" i="25" s="1"/>
  <c r="C310" i="25"/>
  <c r="D310" i="25" s="1"/>
  <c r="C311" i="25"/>
  <c r="D311" i="25" s="1"/>
  <c r="C312" i="25"/>
  <c r="D312" i="25" s="1"/>
  <c r="C313" i="25"/>
  <c r="D313" i="25" s="1"/>
  <c r="C314" i="25"/>
  <c r="D314" i="25" s="1"/>
  <c r="C315" i="25"/>
  <c r="D315" i="25" s="1"/>
  <c r="C316" i="25"/>
  <c r="D316" i="25" s="1"/>
  <c r="C317" i="25"/>
  <c r="D317" i="25" s="1"/>
  <c r="C318" i="25"/>
  <c r="D318" i="25" s="1"/>
  <c r="C319" i="25"/>
  <c r="D319" i="25" s="1"/>
  <c r="C320" i="25"/>
  <c r="D320" i="25" s="1"/>
  <c r="C321" i="25"/>
  <c r="D321" i="25" s="1"/>
  <c r="C322" i="25"/>
  <c r="D322" i="25" s="1"/>
  <c r="C323" i="25"/>
  <c r="D323" i="25" s="1"/>
  <c r="C324" i="25"/>
  <c r="D324" i="25" s="1"/>
  <c r="C325" i="25"/>
  <c r="D325" i="25" s="1"/>
  <c r="C326" i="25"/>
  <c r="D326" i="25" s="1"/>
  <c r="C327" i="25"/>
  <c r="D327" i="25" s="1"/>
  <c r="C328" i="25"/>
  <c r="D328" i="25" s="1"/>
  <c r="C329" i="25"/>
  <c r="D329" i="25" s="1"/>
  <c r="C330" i="25"/>
  <c r="D330" i="25"/>
  <c r="C331" i="25"/>
  <c r="D331" i="25" s="1"/>
  <c r="C332" i="25"/>
  <c r="D332" i="25" s="1"/>
  <c r="C333" i="25"/>
  <c r="D333" i="25" s="1"/>
  <c r="C334" i="25"/>
  <c r="D334" i="25" s="1"/>
  <c r="C335" i="25"/>
  <c r="D335" i="25" s="1"/>
  <c r="C336" i="25"/>
  <c r="D336" i="25"/>
  <c r="C337" i="25"/>
  <c r="D337" i="25" s="1"/>
  <c r="C338" i="25"/>
  <c r="D338" i="25" s="1"/>
  <c r="C339" i="25"/>
  <c r="D339" i="25" s="1"/>
  <c r="C340" i="25"/>
  <c r="D340" i="25" s="1"/>
  <c r="C341" i="25"/>
  <c r="D341" i="25" s="1"/>
  <c r="C342" i="25"/>
  <c r="D342" i="25" s="1"/>
  <c r="C343" i="25"/>
  <c r="D343" i="25" s="1"/>
  <c r="C344" i="25"/>
  <c r="D344" i="25" s="1"/>
  <c r="C345" i="25"/>
  <c r="D345" i="25" s="1"/>
  <c r="C346" i="25"/>
  <c r="D346" i="25" s="1"/>
  <c r="C347" i="25"/>
  <c r="D347" i="25" s="1"/>
  <c r="C348" i="25"/>
  <c r="D348" i="25" s="1"/>
  <c r="C349" i="25"/>
  <c r="D349" i="25" s="1"/>
  <c r="C350" i="25"/>
  <c r="D350" i="25" s="1"/>
  <c r="C351" i="25"/>
  <c r="D351" i="25" s="1"/>
  <c r="C352" i="25"/>
  <c r="D352" i="25" s="1"/>
  <c r="C353" i="25"/>
  <c r="D353" i="25" s="1"/>
  <c r="C354" i="25"/>
  <c r="D354" i="25" s="1"/>
  <c r="C355" i="25"/>
  <c r="D355" i="25" s="1"/>
  <c r="C356" i="25"/>
  <c r="D356" i="25" s="1"/>
  <c r="C357" i="25"/>
  <c r="D357" i="25" s="1"/>
  <c r="C358" i="25"/>
  <c r="D358" i="25" s="1"/>
  <c r="C359" i="25"/>
  <c r="D359" i="25" s="1"/>
  <c r="C360" i="25"/>
  <c r="D360" i="25" s="1"/>
  <c r="C361" i="25"/>
  <c r="D361" i="25" s="1"/>
  <c r="C362" i="25"/>
  <c r="D362" i="25"/>
  <c r="C363" i="25"/>
  <c r="D363" i="25" s="1"/>
  <c r="C364" i="25"/>
  <c r="D364" i="25" s="1"/>
  <c r="C365" i="25"/>
  <c r="D365" i="25" s="1"/>
  <c r="C366" i="25"/>
  <c r="D366" i="25"/>
  <c r="C367" i="25"/>
  <c r="D367" i="25" s="1"/>
  <c r="C368" i="25"/>
  <c r="D368" i="25" s="1"/>
  <c r="C369" i="25"/>
  <c r="D369" i="25" s="1"/>
  <c r="C370" i="25"/>
  <c r="D370" i="25" s="1"/>
  <c r="C371" i="25"/>
  <c r="D371" i="25" s="1"/>
  <c r="C372" i="25"/>
  <c r="D372" i="25"/>
  <c r="C373" i="25"/>
  <c r="D373" i="25" s="1"/>
  <c r="C374" i="25"/>
  <c r="D374" i="25" s="1"/>
  <c r="C375" i="25"/>
  <c r="D375" i="25" s="1"/>
  <c r="C376" i="25"/>
  <c r="D376" i="25" s="1"/>
  <c r="C377" i="25"/>
  <c r="D377" i="25" s="1"/>
  <c r="C378" i="25"/>
  <c r="D378" i="25" s="1"/>
  <c r="C379" i="25"/>
  <c r="D379" i="25" s="1"/>
  <c r="C380" i="25"/>
  <c r="D380" i="25" s="1"/>
  <c r="C381" i="25"/>
  <c r="D381" i="25" s="1"/>
  <c r="C382" i="25"/>
  <c r="D382" i="25"/>
  <c r="C383" i="25"/>
  <c r="D383" i="25" s="1"/>
  <c r="C384" i="25"/>
  <c r="D384" i="25" s="1"/>
  <c r="C385" i="25"/>
  <c r="D385" i="25" s="1"/>
  <c r="C386" i="25"/>
  <c r="D386" i="25" s="1"/>
  <c r="C387" i="25"/>
  <c r="D387" i="25" s="1"/>
  <c r="C388" i="25"/>
  <c r="D388" i="25"/>
  <c r="C389" i="25"/>
  <c r="D389" i="25" s="1"/>
  <c r="C390" i="25"/>
  <c r="D390" i="25" s="1"/>
  <c r="C391" i="25"/>
  <c r="D391" i="25" s="1"/>
  <c r="C392" i="25"/>
  <c r="D392" i="25" s="1"/>
  <c r="C393" i="25"/>
  <c r="D393" i="25" s="1"/>
  <c r="C394" i="25"/>
  <c r="D394" i="25" s="1"/>
  <c r="C395" i="25"/>
  <c r="D395" i="25" s="1"/>
  <c r="C396" i="25"/>
  <c r="D396" i="25"/>
  <c r="C397" i="25"/>
  <c r="D397" i="25" s="1"/>
  <c r="C398" i="25"/>
  <c r="D398" i="25" s="1"/>
  <c r="C399" i="25"/>
  <c r="D399" i="25" s="1"/>
  <c r="C400" i="25"/>
  <c r="D400" i="25" s="1"/>
  <c r="C401" i="25"/>
  <c r="D401" i="25"/>
  <c r="C402" i="25"/>
  <c r="D402" i="25"/>
  <c r="C403" i="25"/>
  <c r="D403" i="25" s="1"/>
  <c r="C404" i="25"/>
  <c r="D404" i="25" s="1"/>
  <c r="C405" i="25"/>
  <c r="D405" i="25"/>
  <c r="C406" i="25"/>
  <c r="D406" i="25"/>
  <c r="C407" i="25"/>
  <c r="D407" i="25" s="1"/>
  <c r="C408" i="25"/>
  <c r="D408" i="25" s="1"/>
  <c r="C409" i="25"/>
  <c r="D409" i="25" s="1"/>
  <c r="C410" i="25"/>
  <c r="D410" i="25" s="1"/>
  <c r="C411" i="25"/>
  <c r="D411" i="25"/>
  <c r="C412" i="25"/>
  <c r="D412" i="25" s="1"/>
  <c r="C413" i="25"/>
  <c r="D413" i="25" s="1"/>
  <c r="C414" i="25"/>
  <c r="D414" i="25"/>
  <c r="C415" i="25"/>
  <c r="D415" i="25" s="1"/>
  <c r="C416" i="25"/>
  <c r="D416" i="25" s="1"/>
  <c r="C417" i="25"/>
  <c r="D417" i="25" s="1"/>
  <c r="C418" i="25"/>
  <c r="D418" i="25" s="1"/>
  <c r="C419" i="25"/>
  <c r="D419" i="25" s="1"/>
  <c r="C420" i="25"/>
  <c r="D420" i="25" s="1"/>
  <c r="C421" i="25"/>
  <c r="D421" i="25"/>
  <c r="C422" i="25"/>
  <c r="D422" i="25" s="1"/>
  <c r="C423" i="25"/>
  <c r="D423" i="25" s="1"/>
  <c r="C424" i="25"/>
  <c r="D424" i="25" s="1"/>
  <c r="C425" i="25"/>
  <c r="D425" i="25" s="1"/>
  <c r="C426" i="25"/>
  <c r="D426" i="25" s="1"/>
  <c r="C427" i="25"/>
  <c r="D427" i="25" s="1"/>
  <c r="C428" i="25"/>
  <c r="D428" i="25" s="1"/>
  <c r="C429" i="25"/>
  <c r="D429" i="25" s="1"/>
  <c r="C430" i="25"/>
  <c r="D430" i="25"/>
  <c r="C431" i="25"/>
  <c r="D431" i="25" s="1"/>
  <c r="C432" i="25"/>
  <c r="D432" i="25" s="1"/>
  <c r="C433" i="25"/>
  <c r="D433" i="25"/>
  <c r="C434" i="25"/>
  <c r="D434" i="25" s="1"/>
  <c r="C435" i="25"/>
  <c r="D435" i="25" s="1"/>
  <c r="C436" i="25"/>
  <c r="D436" i="25" s="1"/>
  <c r="C437" i="25"/>
  <c r="D437" i="25" s="1"/>
  <c r="C438" i="25"/>
  <c r="D438" i="25" s="1"/>
  <c r="C439" i="25"/>
  <c r="D439" i="25" s="1"/>
  <c r="C440" i="25"/>
  <c r="D440" i="25" s="1"/>
  <c r="C441" i="25"/>
  <c r="D441" i="25" s="1"/>
  <c r="C442" i="25"/>
  <c r="D442" i="25" s="1"/>
  <c r="C443" i="25"/>
  <c r="D443" i="25" s="1"/>
  <c r="C444" i="25"/>
  <c r="D444" i="25" s="1"/>
  <c r="C445" i="25"/>
  <c r="D445" i="25" s="1"/>
  <c r="C446" i="25"/>
  <c r="D446" i="25" s="1"/>
  <c r="C447" i="25"/>
  <c r="D447" i="25"/>
  <c r="C448" i="25"/>
  <c r="D448" i="25" s="1"/>
  <c r="C449" i="25"/>
  <c r="D449" i="25" s="1"/>
  <c r="C450" i="25"/>
  <c r="D450" i="25" s="1"/>
  <c r="C451" i="25"/>
  <c r="D451" i="25"/>
  <c r="C452" i="25"/>
  <c r="D452" i="25" s="1"/>
  <c r="C453" i="25"/>
  <c r="D453" i="25" s="1"/>
  <c r="C454" i="25"/>
  <c r="D454" i="25" s="1"/>
  <c r="C455" i="25"/>
  <c r="D455" i="25" s="1"/>
  <c r="C456" i="25"/>
  <c r="D456" i="25" s="1"/>
  <c r="C457" i="25"/>
  <c r="D457" i="25" s="1"/>
  <c r="C458" i="25"/>
  <c r="D458" i="25" s="1"/>
  <c r="C459" i="25"/>
  <c r="D459" i="25" s="1"/>
  <c r="C460" i="25"/>
  <c r="D460" i="25" s="1"/>
  <c r="C461" i="25"/>
  <c r="D461" i="25" s="1"/>
  <c r="C462" i="25"/>
  <c r="D462" i="25" s="1"/>
  <c r="C463" i="25"/>
  <c r="D463" i="25"/>
  <c r="C464" i="25"/>
  <c r="D464" i="25" s="1"/>
  <c r="C465" i="25"/>
  <c r="D465" i="25" s="1"/>
  <c r="C466" i="25"/>
  <c r="D466" i="25"/>
  <c r="C467" i="25"/>
  <c r="D467" i="25" s="1"/>
  <c r="C468" i="25"/>
  <c r="D468" i="25" s="1"/>
  <c r="C469" i="25"/>
  <c r="D469" i="25"/>
  <c r="C470" i="25"/>
  <c r="D470" i="25" s="1"/>
  <c r="C471" i="25"/>
  <c r="D471" i="25" s="1"/>
  <c r="C472" i="25"/>
  <c r="D472" i="25" s="1"/>
  <c r="C473" i="25"/>
  <c r="D473" i="25" s="1"/>
  <c r="C474" i="25"/>
  <c r="D474" i="25" s="1"/>
  <c r="C475" i="25"/>
  <c r="D475" i="25" s="1"/>
  <c r="C476" i="25"/>
  <c r="D476" i="25" s="1"/>
  <c r="C477" i="25"/>
  <c r="D477" i="25" s="1"/>
  <c r="C478" i="25"/>
  <c r="D478" i="25" s="1"/>
  <c r="C479" i="25"/>
  <c r="D479" i="25" s="1"/>
  <c r="C480" i="25"/>
  <c r="D480" i="25" s="1"/>
  <c r="C481" i="25"/>
  <c r="D481" i="25" s="1"/>
  <c r="C482" i="25"/>
  <c r="D482" i="25" s="1"/>
  <c r="C483" i="25"/>
  <c r="D483" i="25" s="1"/>
  <c r="C484" i="25"/>
  <c r="D484" i="25" s="1"/>
  <c r="C485" i="25"/>
  <c r="D485" i="25" s="1"/>
  <c r="C486" i="25"/>
  <c r="D486" i="25"/>
  <c r="C487" i="25"/>
  <c r="D487" i="25" s="1"/>
  <c r="C488" i="25"/>
  <c r="D488" i="25" s="1"/>
  <c r="C489" i="25"/>
  <c r="D489" i="25" s="1"/>
  <c r="C490" i="25"/>
  <c r="D490" i="25" s="1"/>
  <c r="C491" i="25"/>
  <c r="D491" i="25" s="1"/>
  <c r="C492" i="25"/>
  <c r="D492" i="25" s="1"/>
  <c r="C493" i="25"/>
  <c r="D493" i="25" s="1"/>
  <c r="C494" i="25"/>
  <c r="D494" i="25" s="1"/>
  <c r="C495" i="25"/>
  <c r="D495" i="25" s="1"/>
  <c r="C496" i="25"/>
  <c r="D496" i="25" s="1"/>
  <c r="C497" i="25"/>
  <c r="D497" i="25" s="1"/>
  <c r="C498" i="25"/>
  <c r="D498" i="25" s="1"/>
  <c r="C499" i="25"/>
  <c r="D499" i="25" s="1"/>
  <c r="C500" i="25"/>
  <c r="D500" i="25" s="1"/>
  <c r="C501" i="25"/>
  <c r="D501" i="25" s="1"/>
  <c r="C502" i="25"/>
  <c r="D502" i="25" s="1"/>
  <c r="C503" i="25"/>
  <c r="D503" i="25" s="1"/>
  <c r="C504" i="25"/>
  <c r="D504" i="25" s="1"/>
  <c r="C505" i="25"/>
  <c r="D505" i="25" s="1"/>
  <c r="C506" i="25"/>
  <c r="D506" i="25" s="1"/>
  <c r="C507" i="25"/>
  <c r="D507" i="25" s="1"/>
  <c r="C508" i="25"/>
  <c r="D508" i="25" s="1"/>
  <c r="C509" i="25"/>
  <c r="D509" i="25" s="1"/>
  <c r="C510" i="25"/>
  <c r="D510" i="25"/>
  <c r="C511" i="25"/>
  <c r="D511" i="25" s="1"/>
  <c r="C512" i="25"/>
  <c r="D512" i="25" s="1"/>
  <c r="C513" i="25"/>
  <c r="D513" i="25" s="1"/>
  <c r="C514" i="25"/>
  <c r="D514" i="25" s="1"/>
  <c r="C515" i="25"/>
  <c r="D515" i="25" s="1"/>
  <c r="C516" i="25"/>
  <c r="D516" i="25" s="1"/>
  <c r="C517" i="25"/>
  <c r="D517" i="25" s="1"/>
  <c r="C518" i="25"/>
  <c r="D518" i="25" s="1"/>
  <c r="C519" i="25"/>
  <c r="D519" i="25" s="1"/>
  <c r="C520" i="25"/>
  <c r="D520" i="25" s="1"/>
  <c r="C521" i="25"/>
  <c r="D521" i="25" s="1"/>
  <c r="C522" i="25"/>
  <c r="D522" i="25" s="1"/>
  <c r="C523" i="25"/>
  <c r="D523" i="25" s="1"/>
  <c r="C524" i="25"/>
  <c r="D524" i="25" s="1"/>
  <c r="C525" i="25"/>
  <c r="D525" i="25" s="1"/>
  <c r="C526" i="25"/>
  <c r="D526" i="25" s="1"/>
  <c r="C527" i="25"/>
  <c r="D527" i="25" s="1"/>
  <c r="C528" i="25"/>
  <c r="D528" i="25" s="1"/>
  <c r="C529" i="25"/>
  <c r="D529" i="25" s="1"/>
  <c r="C530" i="25"/>
  <c r="D530" i="25"/>
  <c r="C531" i="25"/>
  <c r="D531" i="25" s="1"/>
  <c r="C532" i="25"/>
  <c r="D532" i="25" s="1"/>
  <c r="C533" i="25"/>
  <c r="D533" i="25" s="1"/>
  <c r="C534" i="25"/>
  <c r="D534" i="25" s="1"/>
  <c r="C535" i="25"/>
  <c r="D535" i="25" s="1"/>
  <c r="C536" i="25"/>
  <c r="D536" i="25" s="1"/>
  <c r="C537" i="25"/>
  <c r="D537" i="25" s="1"/>
  <c r="C538" i="25"/>
  <c r="D538" i="25" s="1"/>
  <c r="C539" i="25"/>
  <c r="D539" i="25"/>
  <c r="C540" i="25"/>
  <c r="D540" i="25" s="1"/>
  <c r="C541" i="25"/>
  <c r="D541" i="25" s="1"/>
  <c r="C542" i="25"/>
  <c r="D542" i="25" s="1"/>
  <c r="C543" i="25"/>
  <c r="D543" i="25" s="1"/>
  <c r="C544" i="25"/>
  <c r="D544" i="25" s="1"/>
  <c r="C545" i="25"/>
  <c r="D545" i="25" s="1"/>
  <c r="C546" i="25"/>
  <c r="D546" i="25" s="1"/>
  <c r="C547" i="25"/>
  <c r="D547" i="25" s="1"/>
  <c r="C548" i="25"/>
  <c r="D548" i="25" s="1"/>
  <c r="C549" i="25"/>
  <c r="D549" i="25" s="1"/>
  <c r="C550" i="25"/>
  <c r="D550" i="25" s="1"/>
  <c r="C551" i="25"/>
  <c r="D551" i="25" s="1"/>
  <c r="C552" i="25"/>
  <c r="D552" i="25" s="1"/>
  <c r="C553" i="25"/>
  <c r="D553" i="25" s="1"/>
  <c r="C554" i="25"/>
  <c r="D554" i="25" s="1"/>
  <c r="C555" i="25"/>
  <c r="D555" i="25" s="1"/>
  <c r="C556" i="25"/>
  <c r="D556" i="25" s="1"/>
  <c r="C557" i="25"/>
  <c r="D557" i="25" s="1"/>
  <c r="C558" i="25"/>
  <c r="D558" i="25" s="1"/>
  <c r="C559" i="25"/>
  <c r="D559" i="25" s="1"/>
  <c r="C560" i="25"/>
  <c r="D560" i="25" s="1"/>
  <c r="C561" i="25"/>
  <c r="D561" i="25"/>
  <c r="C562" i="25"/>
  <c r="D562" i="25" s="1"/>
  <c r="C563" i="25"/>
  <c r="D563" i="25" s="1"/>
  <c r="C564" i="25"/>
  <c r="D564" i="25" s="1"/>
  <c r="C565" i="25"/>
  <c r="D565" i="25" s="1"/>
  <c r="C566" i="25"/>
  <c r="D566" i="25" s="1"/>
  <c r="C567" i="25"/>
  <c r="D567" i="25" s="1"/>
  <c r="C568" i="25"/>
  <c r="D568" i="25" s="1"/>
  <c r="C569" i="25"/>
  <c r="D569" i="25" s="1"/>
  <c r="C570" i="25"/>
  <c r="D570" i="25"/>
  <c r="C571" i="25"/>
  <c r="D571" i="25" s="1"/>
  <c r="C572" i="25"/>
  <c r="D572" i="25" s="1"/>
  <c r="C573" i="25"/>
  <c r="D573" i="25" s="1"/>
  <c r="C574" i="25"/>
  <c r="D574" i="25" s="1"/>
  <c r="C575" i="25"/>
  <c r="D575" i="25"/>
  <c r="C576" i="25"/>
  <c r="D576" i="25" s="1"/>
  <c r="C577" i="25"/>
  <c r="D577" i="25" s="1"/>
  <c r="C578" i="25"/>
  <c r="D578" i="25" s="1"/>
  <c r="C579" i="25"/>
  <c r="D579" i="25"/>
  <c r="C580" i="25"/>
  <c r="D580" i="25" s="1"/>
  <c r="C581" i="25"/>
  <c r="D581" i="25"/>
  <c r="C582" i="25"/>
  <c r="D582" i="25" s="1"/>
  <c r="C583" i="25"/>
  <c r="D583" i="25" s="1"/>
  <c r="C584" i="25"/>
  <c r="D584" i="25" s="1"/>
  <c r="C585" i="25"/>
  <c r="D585" i="25" s="1"/>
  <c r="C586" i="25"/>
  <c r="D586" i="25" s="1"/>
  <c r="C587" i="25"/>
  <c r="D587" i="25" s="1"/>
  <c r="C588" i="25"/>
  <c r="D588" i="25" s="1"/>
  <c r="C589" i="25"/>
  <c r="D589" i="25" s="1"/>
  <c r="C590" i="25"/>
  <c r="D590" i="25" s="1"/>
  <c r="C591" i="25"/>
  <c r="D591" i="25"/>
  <c r="C592" i="25"/>
  <c r="D592" i="25" s="1"/>
  <c r="C593" i="25"/>
  <c r="D593" i="25" s="1"/>
  <c r="C594" i="25"/>
  <c r="D594" i="25"/>
  <c r="C595" i="25"/>
  <c r="D595" i="25" s="1"/>
  <c r="C596" i="25"/>
  <c r="D596" i="25" s="1"/>
  <c r="C597" i="25"/>
  <c r="D597" i="25" s="1"/>
  <c r="C598" i="25"/>
  <c r="D598" i="25" s="1"/>
  <c r="C599" i="25"/>
  <c r="D599" i="25" s="1"/>
  <c r="C600" i="25"/>
  <c r="D600" i="25" s="1"/>
  <c r="C601" i="25"/>
  <c r="D601" i="25"/>
  <c r="C602" i="25"/>
  <c r="D602" i="25" s="1"/>
  <c r="C603" i="25"/>
  <c r="D603" i="25" s="1"/>
  <c r="C604" i="25"/>
  <c r="D604" i="25" s="1"/>
  <c r="C605" i="25"/>
  <c r="D605" i="25" s="1"/>
  <c r="C606" i="25"/>
  <c r="D606" i="25" s="1"/>
  <c r="C607" i="25"/>
  <c r="D607" i="25"/>
  <c r="C608" i="25"/>
  <c r="D608" i="25" s="1"/>
  <c r="C609" i="25"/>
  <c r="D609" i="25" s="1"/>
  <c r="C610" i="25"/>
  <c r="D610" i="25"/>
  <c r="C611" i="25"/>
  <c r="D611" i="25" s="1"/>
  <c r="C612" i="25"/>
  <c r="D612" i="25" s="1"/>
  <c r="C613" i="25"/>
  <c r="D613" i="25" s="1"/>
  <c r="C614" i="25"/>
  <c r="D614" i="25" s="1"/>
  <c r="C615" i="25"/>
  <c r="D615" i="25" s="1"/>
  <c r="C616" i="25"/>
  <c r="D616" i="25" s="1"/>
  <c r="C617" i="25"/>
  <c r="D617" i="25"/>
  <c r="C618" i="25"/>
  <c r="D618" i="25" s="1"/>
  <c r="C619" i="25"/>
  <c r="D619" i="25" s="1"/>
  <c r="C620" i="25"/>
  <c r="D620" i="25" s="1"/>
  <c r="C621" i="25"/>
  <c r="D621" i="25" s="1"/>
  <c r="C622" i="25"/>
  <c r="D622" i="25" s="1"/>
  <c r="C623" i="25"/>
  <c r="D623" i="25" s="1"/>
  <c r="C624" i="25"/>
  <c r="D624" i="25" s="1"/>
  <c r="C625" i="25"/>
  <c r="D625" i="25" s="1"/>
  <c r="C626" i="25"/>
  <c r="D626" i="25"/>
  <c r="C627" i="25"/>
  <c r="D627" i="25" s="1"/>
  <c r="C628" i="25"/>
  <c r="D628" i="25" s="1"/>
  <c r="C629" i="25"/>
  <c r="D629" i="25" s="1"/>
  <c r="C630" i="25"/>
  <c r="D630" i="25" s="1"/>
  <c r="C631" i="25"/>
  <c r="D631" i="25" s="1"/>
  <c r="C632" i="25"/>
  <c r="D632" i="25"/>
  <c r="C633" i="25"/>
  <c r="D633" i="25" s="1"/>
  <c r="C634" i="25"/>
  <c r="D634" i="25" s="1"/>
  <c r="C635" i="25"/>
  <c r="D635" i="25" s="1"/>
  <c r="C636" i="25"/>
  <c r="D636" i="25" s="1"/>
  <c r="C637" i="25"/>
  <c r="D637" i="25" s="1"/>
  <c r="C638" i="25"/>
  <c r="D638" i="25" s="1"/>
  <c r="C639" i="25"/>
  <c r="D639" i="25" s="1"/>
  <c r="C640" i="25"/>
  <c r="D640" i="25" s="1"/>
  <c r="C641" i="25"/>
  <c r="D641" i="25"/>
  <c r="C642" i="25"/>
  <c r="D642" i="25" s="1"/>
  <c r="C643" i="25"/>
  <c r="D643" i="25" s="1"/>
  <c r="C644" i="25"/>
  <c r="D644" i="25" s="1"/>
  <c r="C645" i="25"/>
  <c r="D645" i="25" s="1"/>
  <c r="C646" i="25"/>
  <c r="D646" i="25" s="1"/>
  <c r="C647" i="25"/>
  <c r="D647" i="25" s="1"/>
  <c r="C648" i="25"/>
  <c r="D648" i="25" s="1"/>
  <c r="C649" i="25"/>
  <c r="D649" i="25"/>
  <c r="C650" i="25"/>
  <c r="D650" i="25" s="1"/>
  <c r="C651" i="25"/>
  <c r="D651" i="25" s="1"/>
  <c r="C652" i="25"/>
  <c r="D652" i="25" s="1"/>
  <c r="C653" i="25"/>
  <c r="D653" i="25" s="1"/>
  <c r="C654" i="25"/>
  <c r="D654" i="25" s="1"/>
  <c r="C655" i="25"/>
  <c r="D655" i="25" s="1"/>
  <c r="C656" i="25"/>
  <c r="D656" i="25" s="1"/>
  <c r="C657" i="25"/>
  <c r="D657" i="25" s="1"/>
  <c r="C658" i="25"/>
  <c r="D658" i="25"/>
  <c r="C659" i="25"/>
  <c r="D659" i="25" s="1"/>
  <c r="C660" i="25"/>
  <c r="D660" i="25" s="1"/>
  <c r="C661" i="25"/>
  <c r="D661" i="25" s="1"/>
  <c r="C662" i="25"/>
  <c r="D662" i="25" s="1"/>
  <c r="C663" i="25"/>
  <c r="D663" i="25" s="1"/>
  <c r="C664" i="25"/>
  <c r="D664" i="25"/>
  <c r="C665" i="25"/>
  <c r="D665" i="25" s="1"/>
  <c r="C666" i="25"/>
  <c r="D666" i="25" s="1"/>
  <c r="C667" i="25"/>
  <c r="D667" i="25" s="1"/>
  <c r="C668" i="25"/>
  <c r="D668" i="25" s="1"/>
  <c r="C669" i="25"/>
  <c r="D669" i="25" s="1"/>
  <c r="C670" i="25"/>
  <c r="D670" i="25"/>
  <c r="C671" i="25"/>
  <c r="D671" i="25" s="1"/>
  <c r="C672" i="25"/>
  <c r="D672" i="25"/>
  <c r="C673" i="25"/>
  <c r="D673" i="25" s="1"/>
  <c r="C674" i="25"/>
  <c r="D674" i="25" s="1"/>
  <c r="C675" i="25"/>
  <c r="D675" i="25" s="1"/>
  <c r="C676" i="25"/>
  <c r="D676" i="25" s="1"/>
  <c r="C677" i="25"/>
  <c r="D677" i="25" s="1"/>
  <c r="C678" i="25"/>
  <c r="D678" i="25" s="1"/>
  <c r="C679" i="25"/>
  <c r="D679" i="25" s="1"/>
  <c r="C680" i="25"/>
  <c r="D680" i="25" s="1"/>
  <c r="C681" i="25"/>
  <c r="D681" i="25"/>
  <c r="C682" i="25"/>
  <c r="D682" i="25" s="1"/>
  <c r="C683" i="25"/>
  <c r="D683" i="25" s="1"/>
  <c r="C684" i="25"/>
  <c r="D684" i="25" s="1"/>
  <c r="C685" i="25"/>
  <c r="D685" i="25" s="1"/>
  <c r="C686" i="25"/>
  <c r="D686" i="25"/>
  <c r="C687" i="25"/>
  <c r="D687" i="25" s="1"/>
  <c r="C688" i="25"/>
  <c r="D688" i="25" s="1"/>
  <c r="C689" i="25"/>
  <c r="D689" i="25"/>
  <c r="C690" i="25"/>
  <c r="D690" i="25" s="1"/>
  <c r="C691" i="25"/>
  <c r="D691" i="25" s="1"/>
  <c r="C692" i="25"/>
  <c r="D692" i="25" s="1"/>
  <c r="C693" i="25"/>
  <c r="D693" i="25" s="1"/>
  <c r="C694" i="25"/>
  <c r="D694" i="25" s="1"/>
  <c r="C695" i="25"/>
  <c r="D695" i="25" s="1"/>
  <c r="C696" i="25"/>
  <c r="D696" i="25"/>
  <c r="C697" i="25"/>
  <c r="D697" i="25" s="1"/>
  <c r="C698" i="25"/>
  <c r="D698" i="25"/>
  <c r="C699" i="25"/>
  <c r="D699" i="25" s="1"/>
  <c r="C700" i="25"/>
  <c r="D700" i="25" s="1"/>
  <c r="C701" i="25"/>
  <c r="D701" i="25" s="1"/>
  <c r="C702" i="25"/>
  <c r="D702" i="25" s="1"/>
  <c r="C703" i="25"/>
  <c r="D703" i="25" s="1"/>
  <c r="C704" i="25"/>
  <c r="D704" i="25"/>
  <c r="C705" i="25"/>
  <c r="D705" i="25" s="1"/>
  <c r="C706" i="25"/>
  <c r="D706" i="25" s="1"/>
  <c r="C707" i="25"/>
  <c r="D707" i="25" s="1"/>
  <c r="C708" i="25"/>
  <c r="D708" i="25" s="1"/>
  <c r="C709" i="25"/>
  <c r="D709" i="25" s="1"/>
  <c r="C710" i="25"/>
  <c r="D710" i="25" s="1"/>
  <c r="C711" i="25"/>
  <c r="D711" i="25" s="1"/>
  <c r="C712" i="25"/>
  <c r="D712" i="25" s="1"/>
  <c r="C713" i="25"/>
  <c r="D713" i="25"/>
  <c r="C714" i="25"/>
  <c r="D714" i="25" s="1"/>
  <c r="C715" i="25"/>
  <c r="D715" i="25" s="1"/>
  <c r="C716" i="25"/>
  <c r="D716" i="25" s="1"/>
  <c r="C717" i="25"/>
  <c r="D717" i="25" s="1"/>
  <c r="C718" i="25"/>
  <c r="D718" i="25"/>
  <c r="C719" i="25"/>
  <c r="D719" i="25" s="1"/>
  <c r="C720" i="25"/>
  <c r="D720" i="25" s="1"/>
  <c r="C721" i="25"/>
  <c r="D721" i="25"/>
  <c r="C722" i="25"/>
  <c r="D722" i="25" s="1"/>
  <c r="C723" i="25"/>
  <c r="D723" i="25" s="1"/>
  <c r="C724" i="25"/>
  <c r="D724" i="25" s="1"/>
  <c r="C725" i="25"/>
  <c r="D725" i="25" s="1"/>
  <c r="C726" i="25"/>
  <c r="D726" i="25" s="1"/>
  <c r="C727" i="25"/>
  <c r="D727" i="25" s="1"/>
  <c r="C728" i="25"/>
  <c r="D728" i="25" s="1"/>
  <c r="C729" i="25"/>
  <c r="D729" i="25" s="1"/>
  <c r="C730" i="25"/>
  <c r="D730" i="25"/>
  <c r="C731" i="25"/>
  <c r="D731" i="25" s="1"/>
  <c r="C732" i="25"/>
  <c r="D732" i="25"/>
  <c r="C733" i="25"/>
  <c r="D733" i="25" s="1"/>
  <c r="C734" i="25"/>
  <c r="D734" i="25" s="1"/>
  <c r="C735" i="25"/>
  <c r="D735" i="25" s="1"/>
  <c r="C736" i="25"/>
  <c r="D736" i="25" s="1"/>
  <c r="C737" i="25"/>
  <c r="D737" i="25"/>
  <c r="C738" i="25"/>
  <c r="D738" i="25" s="1"/>
  <c r="C739" i="25"/>
  <c r="D739" i="25" s="1"/>
  <c r="C740" i="25"/>
  <c r="D740" i="25" s="1"/>
  <c r="C741" i="25"/>
  <c r="D741" i="25"/>
  <c r="C742" i="25"/>
  <c r="D742" i="25" s="1"/>
  <c r="C743" i="25"/>
  <c r="D743" i="25" s="1"/>
  <c r="C744" i="25"/>
  <c r="D744" i="25"/>
  <c r="C745" i="25"/>
  <c r="D745" i="25" s="1"/>
  <c r="C746" i="25"/>
  <c r="D746" i="25"/>
  <c r="C747" i="25"/>
  <c r="D747" i="25" s="1"/>
  <c r="C748" i="25"/>
  <c r="D748" i="25"/>
  <c r="C749" i="25"/>
  <c r="D749" i="25" s="1"/>
  <c r="C750" i="25"/>
  <c r="D750" i="25" s="1"/>
  <c r="C751" i="25"/>
  <c r="D751" i="25" s="1"/>
  <c r="C752" i="25"/>
  <c r="D752" i="25" s="1"/>
  <c r="C753" i="25"/>
  <c r="D753" i="25" s="1"/>
  <c r="C754" i="25"/>
  <c r="D754" i="25"/>
  <c r="C755" i="25"/>
  <c r="D755" i="25" s="1"/>
  <c r="C756" i="25"/>
  <c r="D756" i="25" s="1"/>
  <c r="C757" i="25"/>
  <c r="D757" i="25"/>
  <c r="C758" i="25"/>
  <c r="D758" i="25" s="1"/>
  <c r="C759" i="25"/>
  <c r="D759" i="25" s="1"/>
  <c r="C760" i="25"/>
  <c r="D760" i="25"/>
  <c r="C761" i="25"/>
  <c r="D761" i="25" s="1"/>
  <c r="C762" i="25"/>
  <c r="D762" i="25"/>
  <c r="C763" i="25"/>
  <c r="D763" i="25" s="1"/>
  <c r="C764" i="25"/>
  <c r="D764" i="25" s="1"/>
  <c r="C765" i="25"/>
  <c r="D765" i="25" s="1"/>
  <c r="C766" i="25"/>
  <c r="D766" i="25" s="1"/>
  <c r="C767" i="25"/>
  <c r="D767" i="25" s="1"/>
  <c r="C768" i="25"/>
  <c r="D768" i="25"/>
  <c r="C769" i="25"/>
  <c r="D769" i="25" s="1"/>
  <c r="C770" i="25"/>
  <c r="D770" i="25" s="1"/>
  <c r="C771" i="25"/>
  <c r="D771" i="25" s="1"/>
  <c r="C772" i="25"/>
  <c r="D772" i="25" s="1"/>
  <c r="C773" i="25"/>
  <c r="D773" i="25"/>
  <c r="C774" i="25"/>
  <c r="D774" i="25" s="1"/>
  <c r="C775" i="25"/>
  <c r="D775" i="25" s="1"/>
  <c r="C776" i="25"/>
  <c r="D776" i="25"/>
  <c r="C777" i="25"/>
  <c r="D777" i="25" s="1"/>
  <c r="C778" i="25"/>
  <c r="D778" i="25"/>
  <c r="C779" i="25"/>
  <c r="D779" i="25" s="1"/>
  <c r="C780" i="25"/>
  <c r="D780" i="25" s="1"/>
  <c r="C781" i="25"/>
  <c r="D781" i="25" s="1"/>
  <c r="C782" i="25"/>
  <c r="D782" i="25" s="1"/>
  <c r="C783" i="25"/>
  <c r="D783" i="25" s="1"/>
  <c r="C784" i="25"/>
  <c r="D784" i="25" s="1"/>
  <c r="C785" i="25"/>
  <c r="D785" i="25" s="1"/>
  <c r="C786" i="25"/>
  <c r="D786" i="25"/>
  <c r="C787" i="25"/>
  <c r="D787" i="25" s="1"/>
  <c r="C788" i="25"/>
  <c r="D788" i="25" s="1"/>
  <c r="C789" i="25"/>
  <c r="D789" i="25"/>
  <c r="C790" i="25"/>
  <c r="D790" i="25" s="1"/>
  <c r="C791" i="25"/>
  <c r="D791" i="25" s="1"/>
  <c r="C792" i="25"/>
  <c r="D792" i="25"/>
  <c r="C793" i="25"/>
  <c r="D793" i="25" s="1"/>
  <c r="C794" i="25"/>
  <c r="D794" i="25" s="1"/>
  <c r="C795" i="25"/>
  <c r="D795" i="25" s="1"/>
  <c r="C796" i="25"/>
  <c r="D796" i="25" s="1"/>
  <c r="C797" i="25"/>
  <c r="D797" i="25" s="1"/>
  <c r="C798" i="25"/>
  <c r="D798" i="25"/>
  <c r="C799" i="25"/>
  <c r="D799" i="25" s="1"/>
  <c r="C800" i="25"/>
  <c r="D800" i="25"/>
  <c r="C801" i="25"/>
  <c r="D801" i="25" s="1"/>
  <c r="C802" i="25"/>
  <c r="D802" i="25" s="1"/>
  <c r="C803" i="25"/>
  <c r="D803" i="25" s="1"/>
  <c r="C804" i="25"/>
  <c r="D804" i="25" s="1"/>
  <c r="C805" i="25"/>
  <c r="D805" i="25" s="1"/>
  <c r="C806" i="25"/>
  <c r="D806" i="25" s="1"/>
  <c r="C807" i="25"/>
  <c r="D807" i="25" s="1"/>
  <c r="C808" i="25"/>
  <c r="D808" i="25" s="1"/>
  <c r="C809" i="25"/>
  <c r="D809" i="25"/>
  <c r="C810" i="25"/>
  <c r="D810" i="25" s="1"/>
  <c r="C811" i="25"/>
  <c r="D811" i="25" s="1"/>
  <c r="C812" i="25"/>
  <c r="D812" i="25" s="1"/>
  <c r="C813" i="25"/>
  <c r="D813" i="25" s="1"/>
  <c r="C814" i="25"/>
  <c r="D814" i="25"/>
  <c r="C815" i="25"/>
  <c r="D815" i="25" s="1"/>
  <c r="C816" i="25"/>
  <c r="D816" i="25" s="1"/>
  <c r="C817" i="25"/>
  <c r="D817" i="25"/>
  <c r="C818" i="25"/>
  <c r="D818" i="25" s="1"/>
  <c r="C819" i="25"/>
  <c r="D819" i="25" s="1"/>
  <c r="C820" i="25"/>
  <c r="D820" i="25" s="1"/>
  <c r="C821" i="25"/>
  <c r="D821" i="25" s="1"/>
  <c r="C822" i="25"/>
  <c r="D822" i="25" s="1"/>
  <c r="C823" i="25"/>
  <c r="D823" i="25" s="1"/>
  <c r="C824" i="25"/>
  <c r="D824" i="25" s="1"/>
  <c r="C825" i="25"/>
  <c r="D825" i="25" s="1"/>
  <c r="C826" i="25"/>
  <c r="D826" i="25" s="1"/>
  <c r="C827" i="25"/>
  <c r="D827" i="25" s="1"/>
  <c r="C828" i="25"/>
  <c r="D828" i="25"/>
  <c r="C829" i="25"/>
  <c r="D829" i="25" s="1"/>
  <c r="C830" i="25"/>
  <c r="D830" i="25"/>
  <c r="C831" i="25"/>
  <c r="D831" i="25" s="1"/>
  <c r="C832" i="25"/>
  <c r="D832" i="25" s="1"/>
  <c r="C833" i="25"/>
  <c r="D833" i="25"/>
  <c r="C834" i="25"/>
  <c r="D834" i="25" s="1"/>
  <c r="C835" i="25"/>
  <c r="D835" i="25" s="1"/>
  <c r="C836" i="25"/>
  <c r="D836" i="25" s="1"/>
  <c r="C837" i="25"/>
  <c r="D837" i="25" s="1"/>
  <c r="C838" i="25"/>
  <c r="D838" i="25" s="1"/>
  <c r="C839" i="25"/>
  <c r="D839" i="25" s="1"/>
  <c r="C840" i="25"/>
  <c r="D840" i="25" s="1"/>
  <c r="C841" i="25"/>
  <c r="D841" i="25"/>
  <c r="C842" i="25"/>
  <c r="D842" i="25" s="1"/>
  <c r="C843" i="25"/>
  <c r="D843" i="25" s="1"/>
  <c r="C844" i="25"/>
  <c r="D844" i="25" s="1"/>
  <c r="C845" i="25"/>
  <c r="D845" i="25" s="1"/>
  <c r="C846" i="25"/>
  <c r="D846" i="25" s="1"/>
  <c r="C847" i="25"/>
  <c r="D847" i="25" s="1"/>
  <c r="C848" i="25"/>
  <c r="D848" i="25" s="1"/>
  <c r="C849" i="25"/>
  <c r="D849" i="25" s="1"/>
  <c r="C850" i="25"/>
  <c r="D850" i="25"/>
  <c r="C851" i="25"/>
  <c r="D851" i="25" s="1"/>
  <c r="C852" i="25"/>
  <c r="D852" i="25" s="1"/>
  <c r="C853" i="25"/>
  <c r="D853" i="25" s="1"/>
  <c r="C854" i="25"/>
  <c r="D854" i="25" s="1"/>
  <c r="C855" i="25"/>
  <c r="D855" i="25" s="1"/>
  <c r="C856" i="25"/>
  <c r="D856" i="25"/>
  <c r="C857" i="25"/>
  <c r="D857" i="25" s="1"/>
  <c r="C858" i="25"/>
  <c r="D858" i="25" s="1"/>
  <c r="C859" i="25"/>
  <c r="D859" i="25" s="1"/>
  <c r="C860" i="25"/>
  <c r="D860" i="25" s="1"/>
  <c r="C861" i="25"/>
  <c r="D861" i="25" s="1"/>
  <c r="C862" i="25"/>
  <c r="D862" i="25" s="1"/>
  <c r="C863" i="25"/>
  <c r="D863" i="25" s="1"/>
  <c r="C864" i="25"/>
  <c r="D864" i="25" s="1"/>
  <c r="C865" i="25"/>
  <c r="D865" i="25"/>
  <c r="C866" i="25"/>
  <c r="D866" i="25" s="1"/>
  <c r="C867" i="25"/>
  <c r="D867" i="25" s="1"/>
  <c r="C868" i="25"/>
  <c r="D868" i="25" s="1"/>
  <c r="C869" i="25"/>
  <c r="D869" i="25" s="1"/>
  <c r="C870" i="25"/>
  <c r="D870" i="25" s="1"/>
  <c r="C871" i="25"/>
  <c r="D871" i="25" s="1"/>
  <c r="C872" i="25"/>
  <c r="D872" i="25" s="1"/>
  <c r="C873" i="25"/>
  <c r="D873" i="25"/>
  <c r="C874" i="25"/>
  <c r="D874" i="25" s="1"/>
  <c r="C875" i="25"/>
  <c r="D875" i="25" s="1"/>
  <c r="C876" i="25"/>
  <c r="D876" i="25" s="1"/>
  <c r="C877" i="25"/>
  <c r="D877" i="25" s="1"/>
  <c r="C878" i="25"/>
  <c r="D878" i="25" s="1"/>
  <c r="C879" i="25"/>
  <c r="D879" i="25" s="1"/>
  <c r="C880" i="25"/>
  <c r="D880" i="25" s="1"/>
  <c r="C881" i="25"/>
  <c r="D881" i="25" s="1"/>
  <c r="C882" i="25"/>
  <c r="D882" i="25"/>
  <c r="C883" i="25"/>
  <c r="D883" i="25" s="1"/>
  <c r="C884" i="25"/>
  <c r="D884" i="25" s="1"/>
  <c r="C885" i="25"/>
  <c r="D885" i="25"/>
  <c r="C886" i="25"/>
  <c r="D886" i="25" s="1"/>
  <c r="C887" i="25"/>
  <c r="D887" i="25" s="1"/>
  <c r="C888" i="25"/>
  <c r="D888" i="25"/>
  <c r="C889" i="25"/>
  <c r="D889" i="25" s="1"/>
  <c r="C890" i="25"/>
  <c r="D890" i="25"/>
  <c r="C891" i="25"/>
  <c r="D891" i="25" s="1"/>
  <c r="C892" i="25"/>
  <c r="D892" i="25" s="1"/>
  <c r="C893" i="25"/>
  <c r="D893" i="25" s="1"/>
  <c r="C894" i="25"/>
  <c r="D894" i="25" s="1"/>
  <c r="C895" i="25"/>
  <c r="D895" i="25" s="1"/>
  <c r="C896" i="25"/>
  <c r="D896" i="25"/>
  <c r="C897" i="25"/>
  <c r="D897" i="25" s="1"/>
  <c r="C898" i="25"/>
  <c r="D898" i="25" s="1"/>
  <c r="C899" i="25"/>
  <c r="D899" i="25" s="1"/>
  <c r="C900" i="25"/>
  <c r="D900" i="25" s="1"/>
  <c r="C901" i="25"/>
  <c r="D901" i="25" s="1"/>
  <c r="C902" i="25"/>
  <c r="D902" i="25" s="1"/>
  <c r="C903" i="25"/>
  <c r="D903" i="25" s="1"/>
  <c r="C904" i="25"/>
  <c r="D904" i="25" s="1"/>
  <c r="C905" i="25"/>
  <c r="D905" i="25" s="1"/>
  <c r="C906" i="25"/>
  <c r="D906" i="25" s="1"/>
  <c r="C907" i="25"/>
  <c r="D907" i="25" s="1"/>
  <c r="C908" i="25"/>
  <c r="D908" i="25" s="1"/>
  <c r="C909" i="25"/>
  <c r="D909" i="25" s="1"/>
  <c r="C910" i="25"/>
  <c r="D910" i="25" s="1"/>
  <c r="C911" i="25"/>
  <c r="D911" i="25" s="1"/>
  <c r="C912" i="25"/>
  <c r="D912" i="25" s="1"/>
  <c r="C913" i="25"/>
  <c r="D913" i="25"/>
  <c r="C914" i="25"/>
  <c r="D914" i="25" s="1"/>
  <c r="C915" i="25"/>
  <c r="D915" i="25"/>
  <c r="C916" i="25"/>
  <c r="D916" i="25" s="1"/>
  <c r="C917" i="25"/>
  <c r="D917" i="25" s="1"/>
  <c r="C918" i="25"/>
  <c r="D918" i="25" s="1"/>
  <c r="C919" i="25"/>
  <c r="D919" i="25" s="1"/>
  <c r="C920" i="25"/>
  <c r="D920" i="25" s="1"/>
  <c r="C921" i="25"/>
  <c r="D921" i="25" s="1"/>
  <c r="C922" i="25"/>
  <c r="D922" i="25" s="1"/>
  <c r="C923" i="25"/>
  <c r="D923" i="25" s="1"/>
  <c r="C924" i="25"/>
  <c r="D924" i="25" s="1"/>
  <c r="C925" i="25"/>
  <c r="D925" i="25"/>
  <c r="C926" i="25"/>
  <c r="D926" i="25" s="1"/>
  <c r="C927" i="25"/>
  <c r="D927" i="25" s="1"/>
  <c r="C928" i="25"/>
  <c r="D928" i="25" s="1"/>
  <c r="C929" i="25"/>
  <c r="D929" i="25" s="1"/>
  <c r="C930" i="25"/>
  <c r="D930" i="25" s="1"/>
  <c r="C931" i="25"/>
  <c r="D931" i="25" s="1"/>
  <c r="C932" i="25"/>
  <c r="D932" i="25" s="1"/>
  <c r="C933" i="25"/>
  <c r="D933" i="25" s="1"/>
  <c r="C934" i="25"/>
  <c r="D934" i="25" s="1"/>
  <c r="C935" i="25"/>
  <c r="D935" i="25" s="1"/>
  <c r="C936" i="25"/>
  <c r="D936" i="25" s="1"/>
  <c r="C937" i="25"/>
  <c r="D937" i="25" s="1"/>
  <c r="C938" i="25"/>
  <c r="D938" i="25" s="1"/>
  <c r="C939" i="25"/>
  <c r="D939" i="25" s="1"/>
  <c r="C940" i="25"/>
  <c r="D940" i="25" s="1"/>
  <c r="C941" i="25"/>
  <c r="D941" i="25"/>
  <c r="C942" i="25"/>
  <c r="D942" i="25" s="1"/>
  <c r="C943" i="25"/>
  <c r="D943" i="25" s="1"/>
  <c r="C944" i="25"/>
  <c r="D944" i="25" s="1"/>
  <c r="C945" i="25"/>
  <c r="D945" i="25"/>
  <c r="C946" i="25"/>
  <c r="D946" i="25" s="1"/>
  <c r="C947" i="25"/>
  <c r="D947" i="25"/>
  <c r="C948" i="25"/>
  <c r="D948" i="25" s="1"/>
  <c r="C949" i="25"/>
  <c r="D949" i="25" s="1"/>
  <c r="C950" i="25"/>
  <c r="D950" i="25" s="1"/>
  <c r="C951" i="25"/>
  <c r="D951" i="25" s="1"/>
  <c r="C952" i="25"/>
  <c r="D952" i="25" s="1"/>
  <c r="C953" i="25"/>
  <c r="D953" i="25" s="1"/>
  <c r="C954" i="25"/>
  <c r="D954" i="25" s="1"/>
  <c r="C955" i="25"/>
  <c r="D955" i="25" s="1"/>
  <c r="C956" i="25"/>
  <c r="D956" i="25" s="1"/>
  <c r="C957" i="25"/>
  <c r="D957" i="25" s="1"/>
  <c r="C958" i="25"/>
  <c r="D958" i="25" s="1"/>
  <c r="C959" i="25"/>
  <c r="D959" i="25" s="1"/>
  <c r="C960" i="25"/>
  <c r="D960" i="25" s="1"/>
  <c r="C961" i="25"/>
  <c r="D961" i="25" s="1"/>
  <c r="C962" i="25"/>
  <c r="D962" i="25" s="1"/>
  <c r="C963" i="25"/>
  <c r="D963" i="25" s="1"/>
  <c r="C964" i="25"/>
  <c r="D964" i="25" s="1"/>
  <c r="C965" i="25"/>
  <c r="D965" i="25"/>
  <c r="C966" i="25"/>
  <c r="D966" i="25" s="1"/>
  <c r="C967" i="25"/>
  <c r="D967" i="25" s="1"/>
  <c r="C968" i="25"/>
  <c r="D968" i="25" s="1"/>
  <c r="C969" i="25"/>
  <c r="D969" i="25" s="1"/>
  <c r="C970" i="25"/>
  <c r="D970" i="25" s="1"/>
  <c r="C971" i="25"/>
  <c r="D971" i="25"/>
  <c r="C972" i="25"/>
  <c r="D972" i="25" s="1"/>
  <c r="C973" i="25"/>
  <c r="D973" i="25" s="1"/>
  <c r="C974" i="25"/>
  <c r="D974" i="25" s="1"/>
  <c r="C975" i="25"/>
  <c r="D975" i="25" s="1"/>
  <c r="C976" i="25"/>
  <c r="D976" i="25" s="1"/>
  <c r="C977" i="25"/>
  <c r="D977" i="25" s="1"/>
  <c r="C978" i="25"/>
  <c r="D978" i="25" s="1"/>
  <c r="C979" i="25"/>
  <c r="D979" i="25" s="1"/>
  <c r="C980" i="25"/>
  <c r="D980" i="25" s="1"/>
  <c r="C981" i="25"/>
  <c r="D981" i="25"/>
  <c r="C982" i="25"/>
  <c r="D982" i="25" s="1"/>
  <c r="C983" i="25"/>
  <c r="D983" i="25" s="1"/>
  <c r="C984" i="25"/>
  <c r="D984" i="25" s="1"/>
  <c r="C985" i="25"/>
  <c r="D985" i="25" s="1"/>
  <c r="C986" i="25"/>
  <c r="D986" i="25" s="1"/>
  <c r="C987" i="25"/>
  <c r="D987" i="25" s="1"/>
  <c r="C988" i="25"/>
  <c r="D988" i="25" s="1"/>
  <c r="D3" i="24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D12" i="24"/>
  <c r="E12" i="24"/>
  <c r="D13" i="24"/>
  <c r="E13" i="24"/>
  <c r="D14" i="24"/>
  <c r="E14" i="24"/>
  <c r="D15" i="24"/>
  <c r="E15" i="24"/>
  <c r="D16" i="24"/>
  <c r="E16" i="24"/>
  <c r="D17" i="24"/>
  <c r="E17" i="24"/>
  <c r="D18" i="24"/>
  <c r="E18" i="24"/>
  <c r="D19" i="24"/>
  <c r="E19" i="24"/>
  <c r="D20" i="24"/>
  <c r="E20" i="24"/>
  <c r="D21" i="24"/>
  <c r="E21" i="24"/>
  <c r="D22" i="24"/>
  <c r="E22" i="24"/>
  <c r="D23" i="24"/>
  <c r="E23" i="24"/>
  <c r="D24" i="24"/>
  <c r="E24" i="24"/>
  <c r="D25" i="24"/>
  <c r="E25" i="24"/>
  <c r="D26" i="24"/>
  <c r="E26" i="24"/>
  <c r="D27" i="24"/>
  <c r="E27" i="24"/>
  <c r="D28" i="24"/>
  <c r="E28" i="24"/>
  <c r="D29" i="24"/>
  <c r="E29" i="24"/>
  <c r="D30" i="24"/>
  <c r="E30" i="24"/>
  <c r="D31" i="24"/>
  <c r="E31" i="24"/>
  <c r="D32" i="24"/>
  <c r="E32" i="24"/>
  <c r="D33" i="24"/>
  <c r="E33" i="24"/>
  <c r="D34" i="24"/>
  <c r="E34" i="24"/>
  <c r="D35" i="24"/>
  <c r="E35" i="24"/>
  <c r="D36" i="24"/>
  <c r="E36" i="24"/>
  <c r="D37" i="24"/>
  <c r="E37" i="24"/>
  <c r="D38" i="24"/>
  <c r="E38" i="24"/>
  <c r="D39" i="24"/>
  <c r="E39" i="24"/>
  <c r="D40" i="24"/>
  <c r="E40" i="24"/>
  <c r="D41" i="24"/>
  <c r="E41" i="24"/>
  <c r="D42" i="24"/>
  <c r="E42" i="24"/>
  <c r="D43" i="24"/>
  <c r="E43" i="24"/>
  <c r="D44" i="24"/>
  <c r="E44" i="24"/>
  <c r="D45" i="24"/>
  <c r="E45" i="24"/>
  <c r="D46" i="24"/>
  <c r="E46" i="24"/>
  <c r="D47" i="24"/>
  <c r="E47" i="24"/>
  <c r="D48" i="24"/>
  <c r="E48" i="24"/>
  <c r="D49" i="24"/>
  <c r="E49" i="24"/>
  <c r="D50" i="24"/>
  <c r="E50" i="24"/>
  <c r="D51" i="24"/>
  <c r="E51" i="24"/>
  <c r="D52" i="24"/>
  <c r="E52" i="24"/>
  <c r="D53" i="24"/>
  <c r="E53" i="24"/>
  <c r="D54" i="24"/>
  <c r="E54" i="24"/>
  <c r="D55" i="24"/>
  <c r="E55" i="24"/>
  <c r="D56" i="24"/>
  <c r="E56" i="24"/>
  <c r="D57" i="24"/>
  <c r="E57" i="24"/>
  <c r="D58" i="24"/>
  <c r="E58" i="24"/>
  <c r="D59" i="24"/>
  <c r="E59" i="24"/>
  <c r="D60" i="24"/>
  <c r="E60" i="24"/>
  <c r="D61" i="24"/>
  <c r="E61" i="24"/>
  <c r="D62" i="24"/>
  <c r="E62" i="24"/>
  <c r="D63" i="24"/>
  <c r="E63" i="24"/>
  <c r="D64" i="24"/>
  <c r="E64" i="24"/>
  <c r="D65" i="24"/>
  <c r="E65" i="24"/>
  <c r="D66" i="24"/>
  <c r="E66" i="24"/>
  <c r="D67" i="24"/>
  <c r="E67" i="24"/>
  <c r="D68" i="24"/>
  <c r="E68" i="24"/>
  <c r="D69" i="24"/>
  <c r="E69" i="24"/>
  <c r="D70" i="24"/>
  <c r="E70" i="24"/>
  <c r="D71" i="24"/>
  <c r="E71" i="24"/>
  <c r="D72" i="24"/>
  <c r="E72" i="24"/>
  <c r="D73" i="24"/>
  <c r="E73" i="24"/>
  <c r="D74" i="24"/>
  <c r="E74" i="24"/>
  <c r="D75" i="24"/>
  <c r="E75" i="24"/>
  <c r="D76" i="24"/>
  <c r="E76" i="24"/>
  <c r="D77" i="24"/>
  <c r="E77" i="24"/>
  <c r="D78" i="24"/>
  <c r="E78" i="24"/>
  <c r="D79" i="24"/>
  <c r="E79" i="24"/>
  <c r="D80" i="24"/>
  <c r="E80" i="24"/>
  <c r="D81" i="24"/>
  <c r="E81" i="24"/>
  <c r="D82" i="24"/>
  <c r="E82" i="24"/>
  <c r="D83" i="24"/>
  <c r="E83" i="24"/>
  <c r="D84" i="24"/>
  <c r="E84" i="24"/>
  <c r="D85" i="24"/>
  <c r="E85" i="24"/>
  <c r="D86" i="24"/>
  <c r="E86" i="24"/>
  <c r="D87" i="24"/>
  <c r="E87" i="24"/>
  <c r="D88" i="24"/>
  <c r="E88" i="24"/>
  <c r="D89" i="24"/>
  <c r="E89" i="24"/>
  <c r="D90" i="24"/>
  <c r="E90" i="24"/>
  <c r="D91" i="24"/>
  <c r="E91" i="24"/>
  <c r="D92" i="24"/>
  <c r="E92" i="24"/>
  <c r="D93" i="24"/>
  <c r="E93" i="24"/>
  <c r="D94" i="24"/>
  <c r="E94" i="24"/>
  <c r="D95" i="24"/>
  <c r="E95" i="24"/>
  <c r="D96" i="24"/>
  <c r="E96" i="24"/>
  <c r="D97" i="24"/>
  <c r="E97" i="24"/>
  <c r="D98" i="24"/>
  <c r="E98" i="24"/>
  <c r="D99" i="24"/>
  <c r="E99" i="24"/>
  <c r="D100" i="24"/>
  <c r="E100" i="24"/>
  <c r="D101" i="24"/>
  <c r="E101" i="24"/>
  <c r="D102" i="24"/>
  <c r="E102" i="24"/>
  <c r="D103" i="24"/>
  <c r="E103" i="24"/>
  <c r="D104" i="24"/>
  <c r="E104" i="24"/>
  <c r="D105" i="24"/>
  <c r="E105" i="24"/>
  <c r="D106" i="24"/>
  <c r="E106" i="24"/>
  <c r="D107" i="24"/>
  <c r="E107" i="24"/>
  <c r="D108" i="24"/>
  <c r="E108" i="24"/>
  <c r="D109" i="24"/>
  <c r="E109" i="24"/>
  <c r="D110" i="24"/>
  <c r="E110" i="24"/>
  <c r="D111" i="24"/>
  <c r="E111" i="24"/>
  <c r="D112" i="24"/>
  <c r="E112" i="24"/>
  <c r="D113" i="24"/>
  <c r="E113" i="24"/>
  <c r="D114" i="24"/>
  <c r="E114" i="24"/>
  <c r="D115" i="24"/>
  <c r="E115" i="24"/>
  <c r="D116" i="24"/>
  <c r="E116" i="24"/>
  <c r="D117" i="24"/>
  <c r="E117" i="24"/>
  <c r="D118" i="24"/>
  <c r="E118" i="24"/>
  <c r="D119" i="24"/>
  <c r="E119" i="24"/>
  <c r="D120" i="24"/>
  <c r="E120" i="24"/>
  <c r="D121" i="24"/>
  <c r="E121" i="24"/>
  <c r="D122" i="24"/>
  <c r="E122" i="24"/>
  <c r="D123" i="24"/>
  <c r="E123" i="24"/>
  <c r="D124" i="24"/>
  <c r="E124" i="24"/>
  <c r="D125" i="24"/>
  <c r="E125" i="24"/>
  <c r="D126" i="24"/>
  <c r="E126" i="24"/>
  <c r="D127" i="24"/>
  <c r="E127" i="24"/>
  <c r="D128" i="24"/>
  <c r="E128" i="24"/>
  <c r="D129" i="24"/>
  <c r="E129" i="24"/>
  <c r="D130" i="24"/>
  <c r="E130" i="24"/>
  <c r="D131" i="24"/>
  <c r="E131" i="24"/>
  <c r="D132" i="24"/>
  <c r="E132" i="24"/>
  <c r="D133" i="24"/>
  <c r="E133" i="24"/>
  <c r="D134" i="24"/>
  <c r="E134" i="24"/>
  <c r="D135" i="24"/>
  <c r="E135" i="24"/>
  <c r="D136" i="24"/>
  <c r="E136" i="24"/>
  <c r="D137" i="24"/>
  <c r="E137" i="24"/>
  <c r="D138" i="24"/>
  <c r="E138" i="24"/>
  <c r="D139" i="24"/>
  <c r="E139" i="24"/>
  <c r="D140" i="24"/>
  <c r="E140" i="24"/>
  <c r="D141" i="24"/>
  <c r="E141" i="24"/>
  <c r="D142" i="24"/>
  <c r="E142" i="24"/>
  <c r="D143" i="24"/>
  <c r="E143" i="24"/>
  <c r="D144" i="24"/>
  <c r="E144" i="24"/>
  <c r="D145" i="24"/>
  <c r="E145" i="24"/>
  <c r="D146" i="24"/>
  <c r="E146" i="24"/>
  <c r="D147" i="24"/>
  <c r="E147" i="24"/>
  <c r="D148" i="24"/>
  <c r="E148" i="24"/>
  <c r="D149" i="24"/>
  <c r="E149" i="24"/>
  <c r="D150" i="24"/>
  <c r="E150" i="24"/>
  <c r="D151" i="24"/>
  <c r="E151" i="24"/>
  <c r="D152" i="24"/>
  <c r="E152" i="24"/>
  <c r="D153" i="24"/>
  <c r="E153" i="24"/>
  <c r="D154" i="24"/>
  <c r="E154" i="24"/>
  <c r="D155" i="24"/>
  <c r="E155" i="24"/>
  <c r="D156" i="24"/>
  <c r="E156" i="24"/>
  <c r="D157" i="24"/>
  <c r="E157" i="24"/>
  <c r="D158" i="24"/>
  <c r="E158" i="24"/>
  <c r="D159" i="24"/>
  <c r="E159" i="24"/>
  <c r="D160" i="24"/>
  <c r="E160" i="24"/>
  <c r="D161" i="24"/>
  <c r="E161" i="24"/>
  <c r="D162" i="24"/>
  <c r="E162" i="24"/>
  <c r="D163" i="24"/>
  <c r="E163" i="24"/>
  <c r="D164" i="24"/>
  <c r="E164" i="24"/>
  <c r="D165" i="24"/>
  <c r="E165" i="24"/>
  <c r="D166" i="24"/>
  <c r="E166" i="24"/>
  <c r="D167" i="24"/>
  <c r="E167" i="24"/>
  <c r="D168" i="24"/>
  <c r="E168" i="24"/>
  <c r="D169" i="24"/>
  <c r="E169" i="24"/>
  <c r="D170" i="24"/>
  <c r="E170" i="24"/>
  <c r="D171" i="24"/>
  <c r="E171" i="24"/>
  <c r="D172" i="24"/>
  <c r="E172" i="24"/>
  <c r="D173" i="24"/>
  <c r="E173" i="24"/>
  <c r="D174" i="24"/>
  <c r="E174" i="24"/>
  <c r="D175" i="24"/>
  <c r="E175" i="24"/>
  <c r="D176" i="24"/>
  <c r="E176" i="24"/>
  <c r="D177" i="24"/>
  <c r="E177" i="24"/>
  <c r="D178" i="24"/>
  <c r="E178" i="24"/>
  <c r="D179" i="24"/>
  <c r="E179" i="24"/>
  <c r="D180" i="24"/>
  <c r="E180" i="24"/>
  <c r="D181" i="24"/>
  <c r="E181" i="24"/>
  <c r="D182" i="24"/>
  <c r="E182" i="24"/>
  <c r="D183" i="24"/>
  <c r="E183" i="24"/>
  <c r="D184" i="24"/>
  <c r="E184" i="24"/>
  <c r="D185" i="24"/>
  <c r="E185" i="24"/>
  <c r="D186" i="24"/>
  <c r="E186" i="24"/>
  <c r="D187" i="24"/>
  <c r="E187" i="24"/>
  <c r="D188" i="24"/>
  <c r="E188" i="24"/>
  <c r="D189" i="24"/>
  <c r="E189" i="24"/>
  <c r="D190" i="24"/>
  <c r="E190" i="24"/>
  <c r="D191" i="24"/>
  <c r="E191" i="24"/>
  <c r="D192" i="24"/>
  <c r="E192" i="24"/>
  <c r="D193" i="24"/>
  <c r="E193" i="24"/>
  <c r="D194" i="24"/>
  <c r="E194" i="24"/>
  <c r="D195" i="24"/>
  <c r="E195" i="24"/>
  <c r="D196" i="24"/>
  <c r="E196" i="24"/>
  <c r="D197" i="24"/>
  <c r="E197" i="24"/>
  <c r="D198" i="24"/>
  <c r="E198" i="24"/>
  <c r="D199" i="24"/>
  <c r="E199" i="24"/>
  <c r="D200" i="24"/>
  <c r="E200" i="24"/>
  <c r="D201" i="24"/>
  <c r="E201" i="24"/>
  <c r="D202" i="24"/>
  <c r="E202" i="24"/>
  <c r="D203" i="24"/>
  <c r="E203" i="24"/>
  <c r="D204" i="24"/>
  <c r="E204" i="24"/>
  <c r="D205" i="24"/>
  <c r="E205" i="24"/>
  <c r="D206" i="24"/>
  <c r="E206" i="24"/>
  <c r="D207" i="24"/>
  <c r="E207" i="24"/>
  <c r="D208" i="24"/>
  <c r="E208" i="24"/>
  <c r="D209" i="24"/>
  <c r="E209" i="24"/>
  <c r="D210" i="24"/>
  <c r="E210" i="24"/>
  <c r="D211" i="24"/>
  <c r="E211" i="24"/>
  <c r="D212" i="24"/>
  <c r="E212" i="24"/>
  <c r="D213" i="24"/>
  <c r="E213" i="24"/>
  <c r="D214" i="24"/>
  <c r="E214" i="24"/>
  <c r="D215" i="24"/>
  <c r="E215" i="24"/>
  <c r="D216" i="24"/>
  <c r="E216" i="24"/>
  <c r="D217" i="24"/>
  <c r="E217" i="24"/>
  <c r="D218" i="24"/>
  <c r="E218" i="24"/>
  <c r="D219" i="24"/>
  <c r="E219" i="24"/>
  <c r="D220" i="24"/>
  <c r="E220" i="24"/>
  <c r="D221" i="24"/>
  <c r="E221" i="24"/>
  <c r="D222" i="24"/>
  <c r="E222" i="24"/>
  <c r="D223" i="24"/>
  <c r="E223" i="24"/>
  <c r="D224" i="24"/>
  <c r="E224" i="24"/>
  <c r="D225" i="24"/>
  <c r="E225" i="24"/>
  <c r="D226" i="24"/>
  <c r="E226" i="24"/>
  <c r="D227" i="24"/>
  <c r="E227" i="24"/>
  <c r="D228" i="24"/>
  <c r="E228" i="24"/>
  <c r="D229" i="24"/>
  <c r="E229" i="24"/>
  <c r="D230" i="24"/>
  <c r="E230" i="24"/>
  <c r="D231" i="24"/>
  <c r="E231" i="24"/>
  <c r="D232" i="24"/>
  <c r="E232" i="24"/>
  <c r="D233" i="24"/>
  <c r="E233" i="24"/>
  <c r="D234" i="24"/>
  <c r="E234" i="24"/>
  <c r="D235" i="24"/>
  <c r="E235" i="24"/>
  <c r="D236" i="24"/>
  <c r="E236" i="24"/>
  <c r="D237" i="24"/>
  <c r="E237" i="24"/>
  <c r="D238" i="24"/>
  <c r="E238" i="24"/>
  <c r="D239" i="24"/>
  <c r="E239" i="24"/>
  <c r="D240" i="24"/>
  <c r="E240" i="24"/>
  <c r="D241" i="24"/>
  <c r="E241" i="24"/>
  <c r="D242" i="24"/>
  <c r="E242" i="24"/>
  <c r="D243" i="24"/>
  <c r="E243" i="24"/>
  <c r="D244" i="24"/>
  <c r="E244" i="24"/>
  <c r="D245" i="24"/>
  <c r="E245" i="24"/>
  <c r="D246" i="24"/>
  <c r="E246" i="24"/>
  <c r="D247" i="24"/>
  <c r="E247" i="24"/>
  <c r="G249" i="24" l="1"/>
  <c r="C37" i="26" s="1"/>
  <c r="I250" i="24"/>
  <c r="I249" i="24"/>
  <c r="D990" i="25"/>
  <c r="C38" i="26" s="1"/>
  <c r="C39" i="26" s="1"/>
  <c r="C29" i="26" l="1"/>
  <c r="E29" i="26" s="1"/>
  <c r="E30" i="26" s="1"/>
  <c r="I252" i="24"/>
  <c r="E30" i="29"/>
  <c r="F62" i="26" l="1"/>
  <c r="E34" i="29"/>
  <c r="E48" i="29" s="1"/>
  <c r="E50" i="29" s="1"/>
  <c r="F26" i="34"/>
  <c r="E26" i="34"/>
  <c r="E29" i="11"/>
  <c r="E13" i="21" l="1"/>
  <c r="E6" i="28"/>
  <c r="F8" i="20"/>
  <c r="F46" i="1"/>
  <c r="E47" i="1"/>
  <c r="F9" i="20" s="1"/>
  <c r="E46" i="1"/>
  <c r="G7" i="22"/>
  <c r="G55" i="14" s="1"/>
  <c r="F7" i="22"/>
  <c r="F55" i="14" s="1"/>
  <c r="E7" i="22"/>
  <c r="E55" i="14" s="1"/>
  <c r="D7" i="22"/>
  <c r="D55" i="14" s="1"/>
  <c r="H55" i="14" l="1"/>
  <c r="I55" i="14" s="1"/>
  <c r="J55" i="14" s="1"/>
  <c r="K55" i="14" s="1"/>
  <c r="L55" i="14" s="1"/>
  <c r="M55" i="14" s="1"/>
  <c r="N55" i="14" s="1"/>
  <c r="O55" i="14" s="1"/>
  <c r="P55" i="14" s="1"/>
  <c r="Q55" i="14" s="1"/>
  <c r="E41" i="29"/>
  <c r="H41" i="29" s="1"/>
  <c r="I41" i="29" s="1"/>
  <c r="J41" i="29" s="1"/>
  <c r="K41" i="29" s="1"/>
  <c r="L41" i="29" s="1"/>
  <c r="M41" i="29" s="1"/>
  <c r="N41" i="29" s="1"/>
  <c r="O41" i="29" s="1"/>
  <c r="P41" i="29" s="1"/>
  <c r="D15" i="29"/>
  <c r="F14" i="20"/>
  <c r="H14" i="20" s="1"/>
  <c r="I14" i="20" s="1"/>
  <c r="J14" i="20" s="1"/>
  <c r="K14" i="20" s="1"/>
  <c r="L14" i="20" s="1"/>
  <c r="M14" i="20" s="1"/>
  <c r="N14" i="20" s="1"/>
  <c r="O14" i="20" s="1"/>
  <c r="P14" i="20" s="1"/>
  <c r="Q14" i="20" s="1"/>
  <c r="E43" i="29"/>
  <c r="H43" i="29" s="1"/>
  <c r="I43" i="29" s="1"/>
  <c r="J43" i="29" s="1"/>
  <c r="K43" i="29" s="1"/>
  <c r="L43" i="29" s="1"/>
  <c r="M43" i="29" s="1"/>
  <c r="N43" i="29" s="1"/>
  <c r="O43" i="29" s="1"/>
  <c r="P43" i="29" s="1"/>
  <c r="E33" i="29"/>
  <c r="H33" i="29" s="1"/>
  <c r="I33" i="29" s="1"/>
  <c r="J33" i="29" s="1"/>
  <c r="K33" i="29" s="1"/>
  <c r="L33" i="29" s="1"/>
  <c r="M33" i="29" s="1"/>
  <c r="N33" i="29" s="1"/>
  <c r="O33" i="29" s="1"/>
  <c r="P33" i="29" s="1"/>
  <c r="E31" i="29"/>
  <c r="G31" i="29" s="1"/>
  <c r="H31" i="29" s="1"/>
  <c r="I31" i="29" s="1"/>
  <c r="J31" i="29" s="1"/>
  <c r="K31" i="29" s="1"/>
  <c r="L31" i="29" s="1"/>
  <c r="M31" i="29" s="1"/>
  <c r="N31" i="29" s="1"/>
  <c r="O31" i="29" s="1"/>
  <c r="P31" i="29" s="1"/>
  <c r="E8" i="28"/>
  <c r="E10" i="28" s="1"/>
  <c r="E23" i="21"/>
  <c r="G23" i="21" s="1"/>
  <c r="H23" i="21" s="1"/>
  <c r="I23" i="21" s="1"/>
  <c r="J23" i="21" s="1"/>
  <c r="K23" i="21" s="1"/>
  <c r="L23" i="21" s="1"/>
  <c r="M23" i="21" s="1"/>
  <c r="N23" i="21" s="1"/>
  <c r="O23" i="21" s="1"/>
  <c r="P23" i="21" s="1"/>
  <c r="F10" i="20"/>
  <c r="F11" i="20" s="1"/>
  <c r="H9" i="20"/>
  <c r="G13" i="21"/>
  <c r="E16" i="21"/>
  <c r="D23" i="22"/>
  <c r="E23" i="22"/>
  <c r="D27" i="22"/>
  <c r="E27" i="22"/>
  <c r="F27" i="22"/>
  <c r="G27" i="22"/>
  <c r="D31" i="22"/>
  <c r="E31" i="22"/>
  <c r="F31" i="22"/>
  <c r="G31" i="22"/>
  <c r="F35" i="22"/>
  <c r="G35" i="22"/>
  <c r="D12" i="22"/>
  <c r="E12" i="22"/>
  <c r="F12" i="22"/>
  <c r="G12" i="22"/>
  <c r="D13" i="22"/>
  <c r="E13" i="22"/>
  <c r="F13" i="22"/>
  <c r="G13" i="22"/>
  <c r="D14" i="22"/>
  <c r="E14" i="22"/>
  <c r="F14" i="22"/>
  <c r="G14" i="22"/>
  <c r="D15" i="22"/>
  <c r="E15" i="22"/>
  <c r="F15" i="22"/>
  <c r="G15" i="22"/>
  <c r="D16" i="22"/>
  <c r="E16" i="22"/>
  <c r="F16" i="22"/>
  <c r="G16" i="22"/>
  <c r="D17" i="22"/>
  <c r="E17" i="22"/>
  <c r="F17" i="22"/>
  <c r="G17" i="22"/>
  <c r="G42" i="22"/>
  <c r="F42" i="22"/>
  <c r="E42" i="22"/>
  <c r="D42" i="22"/>
  <c r="D41" i="22"/>
  <c r="E3" i="22"/>
  <c r="E41" i="22" s="1"/>
  <c r="F9" i="21"/>
  <c r="F20" i="21"/>
  <c r="F21" i="21" s="1"/>
  <c r="F18" i="21"/>
  <c r="F19" i="21" s="1"/>
  <c r="F8" i="21"/>
  <c r="F7" i="21"/>
  <c r="E9" i="21"/>
  <c r="D9" i="21"/>
  <c r="C9" i="21"/>
  <c r="E20" i="21"/>
  <c r="E21" i="21" s="1"/>
  <c r="D20" i="21"/>
  <c r="D21" i="21" s="1"/>
  <c r="C20" i="21"/>
  <c r="C21" i="21" s="1"/>
  <c r="E18" i="21"/>
  <c r="E19" i="21" s="1"/>
  <c r="D18" i="21"/>
  <c r="D19" i="21" s="1"/>
  <c r="C18" i="21"/>
  <c r="C19" i="21" s="1"/>
  <c r="E8" i="21"/>
  <c r="D8" i="21"/>
  <c r="C8" i="21"/>
  <c r="E7" i="21"/>
  <c r="D7" i="21"/>
  <c r="C7" i="21"/>
  <c r="D19" i="22" l="1"/>
  <c r="D8" i="32"/>
  <c r="D18" i="29"/>
  <c r="E8" i="32"/>
  <c r="I9" i="20"/>
  <c r="J9" i="20" s="1"/>
  <c r="C10" i="21"/>
  <c r="G21" i="21"/>
  <c r="G19" i="21"/>
  <c r="F10" i="21"/>
  <c r="D10" i="21"/>
  <c r="E10" i="21"/>
  <c r="E19" i="22"/>
  <c r="F3" i="22"/>
  <c r="F19" i="22"/>
  <c r="G19" i="22"/>
  <c r="D46" i="29" l="1"/>
  <c r="D26" i="29"/>
  <c r="D50" i="29" s="1"/>
  <c r="D35" i="34"/>
  <c r="E35" i="34"/>
  <c r="I10" i="20"/>
  <c r="K9" i="20"/>
  <c r="J10" i="20"/>
  <c r="H21" i="21"/>
  <c r="I21" i="21" s="1"/>
  <c r="H19" i="21"/>
  <c r="I19" i="21" s="1"/>
  <c r="G3" i="22"/>
  <c r="F41" i="22"/>
  <c r="D45" i="14"/>
  <c r="D47" i="14" s="1"/>
  <c r="E45" i="14"/>
  <c r="F45" i="14"/>
  <c r="G45" i="14"/>
  <c r="G36" i="14"/>
  <c r="F36" i="14"/>
  <c r="E36" i="14"/>
  <c r="D36" i="14"/>
  <c r="G35" i="14"/>
  <c r="F35" i="14"/>
  <c r="E27" i="14"/>
  <c r="G19" i="14"/>
  <c r="E20" i="14"/>
  <c r="F20" i="14"/>
  <c r="G20" i="14"/>
  <c r="E21" i="14"/>
  <c r="G27" i="14"/>
  <c r="F27" i="14"/>
  <c r="G26" i="14"/>
  <c r="F26" i="14"/>
  <c r="E26" i="14"/>
  <c r="D26" i="14"/>
  <c r="D11" i="14"/>
  <c r="E11" i="14"/>
  <c r="G8" i="14"/>
  <c r="H8" i="14" s="1"/>
  <c r="G16" i="14"/>
  <c r="F16" i="14"/>
  <c r="E35" i="14"/>
  <c r="D35" i="14"/>
  <c r="G5" i="14"/>
  <c r="H5" i="14" s="1"/>
  <c r="F72" i="11"/>
  <c r="G72" i="11" s="1"/>
  <c r="E71" i="11"/>
  <c r="F64" i="11"/>
  <c r="F63" i="11"/>
  <c r="F60" i="11"/>
  <c r="F59" i="11"/>
  <c r="E64" i="11"/>
  <c r="E63" i="11"/>
  <c r="E62" i="11"/>
  <c r="E60" i="11"/>
  <c r="E59" i="11"/>
  <c r="E58" i="11"/>
  <c r="F54" i="11"/>
  <c r="F53" i="11"/>
  <c r="F50" i="11"/>
  <c r="F49" i="11"/>
  <c r="E54" i="11"/>
  <c r="E53" i="11"/>
  <c r="E52" i="11"/>
  <c r="E50" i="11"/>
  <c r="E49" i="11"/>
  <c r="E48" i="11"/>
  <c r="F44" i="11"/>
  <c r="F43" i="11"/>
  <c r="F40" i="11"/>
  <c r="F39" i="11"/>
  <c r="E44" i="11"/>
  <c r="E43" i="11"/>
  <c r="E42" i="11"/>
  <c r="E40" i="11"/>
  <c r="E39" i="11"/>
  <c r="E38" i="11"/>
  <c r="F34" i="11"/>
  <c r="F33" i="11"/>
  <c r="F30" i="11"/>
  <c r="F29" i="11"/>
  <c r="E34" i="11"/>
  <c r="E33" i="11"/>
  <c r="E30" i="11"/>
  <c r="F23" i="11"/>
  <c r="F20" i="11"/>
  <c r="E23" i="11"/>
  <c r="E20" i="11"/>
  <c r="E32" i="11"/>
  <c r="E28" i="11"/>
  <c r="F24" i="11"/>
  <c r="E22" i="11"/>
  <c r="E18" i="11"/>
  <c r="E15" i="11"/>
  <c r="F12" i="11"/>
  <c r="F15" i="11" s="1"/>
  <c r="E9" i="11"/>
  <c r="B7" i="13"/>
  <c r="B10" i="13" s="1"/>
  <c r="C7" i="13"/>
  <c r="C10" i="13" s="1"/>
  <c r="D7" i="13"/>
  <c r="E7" i="13"/>
  <c r="E10" i="13" s="1"/>
  <c r="F7" i="13"/>
  <c r="F10" i="13" s="1"/>
  <c r="G7" i="13"/>
  <c r="G10" i="13" s="1"/>
  <c r="H7" i="13"/>
  <c r="I7" i="13"/>
  <c r="I10" i="13" s="1"/>
  <c r="D10" i="13"/>
  <c r="H10" i="13"/>
  <c r="B16" i="13"/>
  <c r="C16" i="13"/>
  <c r="C19" i="13" s="1"/>
  <c r="D16" i="13"/>
  <c r="D19" i="13" s="1"/>
  <c r="E16" i="13"/>
  <c r="E19" i="13" s="1"/>
  <c r="F16" i="13"/>
  <c r="F19" i="13" s="1"/>
  <c r="G16" i="13"/>
  <c r="H16" i="13"/>
  <c r="H19" i="13" s="1"/>
  <c r="I16" i="13"/>
  <c r="I19" i="13" s="1"/>
  <c r="B19" i="13"/>
  <c r="G19" i="13"/>
  <c r="B22" i="13"/>
  <c r="C22" i="13"/>
  <c r="D22" i="13"/>
  <c r="E22" i="13"/>
  <c r="F22" i="13"/>
  <c r="G22" i="13"/>
  <c r="H22" i="13"/>
  <c r="I22" i="13"/>
  <c r="B23" i="13"/>
  <c r="C23" i="13"/>
  <c r="C26" i="13" s="1"/>
  <c r="C30" i="13" s="1"/>
  <c r="D23" i="13"/>
  <c r="E19" i="11" s="1"/>
  <c r="E23" i="13"/>
  <c r="F23" i="13"/>
  <c r="G23" i="13"/>
  <c r="H23" i="13"/>
  <c r="I23" i="13"/>
  <c r="B24" i="13"/>
  <c r="C24" i="13"/>
  <c r="D24" i="13"/>
  <c r="E24" i="13"/>
  <c r="F24" i="13"/>
  <c r="G24" i="13"/>
  <c r="H24" i="13"/>
  <c r="I24" i="13"/>
  <c r="B25" i="13"/>
  <c r="C25" i="13"/>
  <c r="D25" i="13"/>
  <c r="E24" i="11" s="1"/>
  <c r="E25" i="13"/>
  <c r="F25" i="13"/>
  <c r="G25" i="13"/>
  <c r="H25" i="13"/>
  <c r="H26" i="13" s="1"/>
  <c r="I25" i="13"/>
  <c r="B26" i="13"/>
  <c r="D26" i="13"/>
  <c r="I26" i="13"/>
  <c r="B27" i="13"/>
  <c r="C27" i="13"/>
  <c r="D27" i="13"/>
  <c r="F19" i="11" s="1"/>
  <c r="E27" i="13"/>
  <c r="F27" i="13"/>
  <c r="G27" i="13"/>
  <c r="H27" i="13"/>
  <c r="I27" i="13"/>
  <c r="B28" i="13"/>
  <c r="C28" i="13"/>
  <c r="D28" i="13"/>
  <c r="E28" i="13"/>
  <c r="F28" i="13"/>
  <c r="G28" i="13"/>
  <c r="H28" i="13"/>
  <c r="I28" i="13"/>
  <c r="B29" i="13"/>
  <c r="C29" i="13"/>
  <c r="D29" i="13"/>
  <c r="E29" i="13"/>
  <c r="F29" i="13"/>
  <c r="G29" i="13"/>
  <c r="H29" i="13"/>
  <c r="I29" i="13"/>
  <c r="B30" i="13"/>
  <c r="D30" i="13"/>
  <c r="G33" i="12"/>
  <c r="F33" i="12"/>
  <c r="D33" i="12"/>
  <c r="C33" i="12"/>
  <c r="B33" i="12"/>
  <c r="E22" i="12"/>
  <c r="H22" i="12" s="1"/>
  <c r="E11" i="12"/>
  <c r="H11" i="12" s="1"/>
  <c r="G32" i="12"/>
  <c r="F32" i="12"/>
  <c r="D32" i="12"/>
  <c r="C32" i="12"/>
  <c r="B32" i="12"/>
  <c r="E21" i="12"/>
  <c r="H21" i="12" s="1"/>
  <c r="E10" i="12"/>
  <c r="H10" i="12" s="1"/>
  <c r="G31" i="12"/>
  <c r="F31" i="12"/>
  <c r="D31" i="12"/>
  <c r="C31" i="12"/>
  <c r="B31" i="12"/>
  <c r="E20" i="12"/>
  <c r="H20" i="12" s="1"/>
  <c r="E9" i="12"/>
  <c r="H9" i="12" s="1"/>
  <c r="G30" i="12"/>
  <c r="F30" i="12"/>
  <c r="D30" i="12"/>
  <c r="C30" i="12"/>
  <c r="B30" i="12"/>
  <c r="E19" i="12"/>
  <c r="H19" i="12" s="1"/>
  <c r="E8" i="12"/>
  <c r="H8" i="12" s="1"/>
  <c r="G29" i="12"/>
  <c r="F29" i="12"/>
  <c r="D29" i="12"/>
  <c r="C29" i="12"/>
  <c r="B29" i="12"/>
  <c r="E18" i="12"/>
  <c r="H18" i="12" s="1"/>
  <c r="E7" i="12"/>
  <c r="H7" i="12" s="1"/>
  <c r="G28" i="12"/>
  <c r="F28" i="12"/>
  <c r="D28" i="12"/>
  <c r="C28" i="12"/>
  <c r="B28" i="12"/>
  <c r="E17" i="12"/>
  <c r="H17" i="12" s="1"/>
  <c r="E6" i="12"/>
  <c r="H6" i="12" s="1"/>
  <c r="G27" i="12"/>
  <c r="F27" i="12"/>
  <c r="D27" i="12"/>
  <c r="C27" i="12"/>
  <c r="B27" i="12"/>
  <c r="E16" i="12"/>
  <c r="H16" i="12" s="1"/>
  <c r="E5" i="12"/>
  <c r="H5" i="12" s="1"/>
  <c r="G26" i="12"/>
  <c r="F26" i="12"/>
  <c r="D26" i="12"/>
  <c r="C26" i="12"/>
  <c r="B26" i="12"/>
  <c r="E15" i="12"/>
  <c r="H15" i="12" s="1"/>
  <c r="E4" i="12"/>
  <c r="H4" i="12" s="1"/>
  <c r="I30" i="13" l="1"/>
  <c r="E26" i="13"/>
  <c r="E30" i="13" s="1"/>
  <c r="E28" i="12"/>
  <c r="G47" i="14"/>
  <c r="G26" i="13"/>
  <c r="G30" i="13" s="1"/>
  <c r="I31" i="14"/>
  <c r="H32" i="14"/>
  <c r="F26" i="13"/>
  <c r="F30" i="13" s="1"/>
  <c r="H30" i="13"/>
  <c r="H30" i="14"/>
  <c r="K10" i="20"/>
  <c r="L9" i="20"/>
  <c r="J21" i="21"/>
  <c r="J19" i="21"/>
  <c r="E80" i="11"/>
  <c r="F11" i="14"/>
  <c r="G21" i="14"/>
  <c r="E79" i="11"/>
  <c r="F80" i="11"/>
  <c r="F83" i="11"/>
  <c r="E83" i="11"/>
  <c r="E31" i="11"/>
  <c r="E35" i="11" s="1"/>
  <c r="F81" i="11"/>
  <c r="E81" i="11"/>
  <c r="S18" i="11"/>
  <c r="S19" i="11" s="1"/>
  <c r="G41" i="22"/>
  <c r="F46" i="14"/>
  <c r="E76" i="11"/>
  <c r="F76" i="11"/>
  <c r="E82" i="11"/>
  <c r="F22" i="11"/>
  <c r="F37" i="14"/>
  <c r="E47" i="14"/>
  <c r="E48" i="14" s="1"/>
  <c r="E46" i="14"/>
  <c r="G37" i="14"/>
  <c r="E37" i="14"/>
  <c r="G46" i="14"/>
  <c r="D37" i="14"/>
  <c r="F47" i="14"/>
  <c r="F21" i="14"/>
  <c r="E19" i="14"/>
  <c r="G11" i="14"/>
  <c r="F19" i="14"/>
  <c r="E75" i="11"/>
  <c r="F68" i="11"/>
  <c r="F71" i="11" s="1"/>
  <c r="G68" i="11" s="1"/>
  <c r="F62" i="11"/>
  <c r="E41" i="11"/>
  <c r="E45" i="11" s="1"/>
  <c r="F32" i="11"/>
  <c r="G32" i="11" s="1"/>
  <c r="F42" i="11"/>
  <c r="G42" i="11" s="1"/>
  <c r="E61" i="11"/>
  <c r="E51" i="11"/>
  <c r="E55" i="11" s="1"/>
  <c r="F52" i="11"/>
  <c r="G52" i="11" s="1"/>
  <c r="E21" i="11"/>
  <c r="E25" i="11" s="1"/>
  <c r="G12" i="11"/>
  <c r="F6" i="11"/>
  <c r="H28" i="12"/>
  <c r="E32" i="12"/>
  <c r="H32" i="12" s="1"/>
  <c r="E27" i="12"/>
  <c r="H27" i="12" s="1"/>
  <c r="E26" i="12"/>
  <c r="H26" i="12" s="1"/>
  <c r="E29" i="12"/>
  <c r="H29" i="12" s="1"/>
  <c r="E33" i="12"/>
  <c r="H33" i="12" s="1"/>
  <c r="E30" i="12"/>
  <c r="H30" i="12" s="1"/>
  <c r="E31" i="12"/>
  <c r="H31" i="12" s="1"/>
  <c r="E99" i="11" l="1"/>
  <c r="H41" i="14"/>
  <c r="H40" i="14"/>
  <c r="H42" i="14"/>
  <c r="M9" i="20"/>
  <c r="L10" i="20"/>
  <c r="K19" i="21"/>
  <c r="K21" i="21"/>
  <c r="F84" i="11"/>
  <c r="E11" i="28"/>
  <c r="E7" i="32" s="1"/>
  <c r="G100" i="11"/>
  <c r="F11" i="28"/>
  <c r="F7" i="32" s="1"/>
  <c r="F99" i="11"/>
  <c r="E84" i="11"/>
  <c r="F48" i="14"/>
  <c r="H52" i="14" s="1"/>
  <c r="G22" i="11"/>
  <c r="F82" i="11"/>
  <c r="G48" i="14"/>
  <c r="G62" i="11"/>
  <c r="F75" i="11"/>
  <c r="G74" i="11" s="1"/>
  <c r="G71" i="11"/>
  <c r="F28" i="11"/>
  <c r="F31" i="11" s="1"/>
  <c r="F38" i="11"/>
  <c r="F41" i="11" s="1"/>
  <c r="F58" i="11"/>
  <c r="F61" i="11" s="1"/>
  <c r="G58" i="11" s="1"/>
  <c r="E65" i="11"/>
  <c r="G6" i="11"/>
  <c r="F9" i="11"/>
  <c r="F18" i="11"/>
  <c r="F21" i="11" s="1"/>
  <c r="F48" i="11"/>
  <c r="F51" i="11" s="1"/>
  <c r="H12" i="11"/>
  <c r="H15" i="11" s="1"/>
  <c r="G15" i="11"/>
  <c r="C3" i="2"/>
  <c r="D3" i="14" s="1"/>
  <c r="H51" i="14" l="1"/>
  <c r="H53" i="14"/>
  <c r="D3" i="20"/>
  <c r="E3" i="14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I42" i="14"/>
  <c r="J42" i="14" s="1"/>
  <c r="K42" i="14" s="1"/>
  <c r="L42" i="14" s="1"/>
  <c r="M42" i="14" s="1"/>
  <c r="N42" i="14" s="1"/>
  <c r="O42" i="14" s="1"/>
  <c r="P42" i="14" s="1"/>
  <c r="Q42" i="14" s="1"/>
  <c r="E12" i="28"/>
  <c r="E15" i="28" s="1"/>
  <c r="E7" i="34"/>
  <c r="M10" i="20"/>
  <c r="N9" i="20"/>
  <c r="F12" i="28"/>
  <c r="F15" i="28" s="1"/>
  <c r="F7" i="34"/>
  <c r="L21" i="21"/>
  <c r="L19" i="21"/>
  <c r="F23" i="22"/>
  <c r="I40" i="14"/>
  <c r="J40" i="14" s="1"/>
  <c r="K40" i="14" s="1"/>
  <c r="L40" i="14" s="1"/>
  <c r="M40" i="14" s="1"/>
  <c r="I41" i="14"/>
  <c r="G82" i="11"/>
  <c r="E85" i="11"/>
  <c r="F79" i="11"/>
  <c r="G23" i="22"/>
  <c r="H72" i="11"/>
  <c r="F55" i="11"/>
  <c r="G48" i="11"/>
  <c r="G51" i="11" s="1"/>
  <c r="F45" i="11"/>
  <c r="G44" i="11" s="1"/>
  <c r="G38" i="11"/>
  <c r="G41" i="11" s="1"/>
  <c r="F35" i="11"/>
  <c r="G34" i="11" s="1"/>
  <c r="G28" i="11"/>
  <c r="H68" i="11"/>
  <c r="H71" i="11" s="1"/>
  <c r="G75" i="11"/>
  <c r="F25" i="11"/>
  <c r="G24" i="11" s="1"/>
  <c r="G18" i="11"/>
  <c r="F65" i="11"/>
  <c r="G64" i="11" s="1"/>
  <c r="H62" i="11" s="1"/>
  <c r="G61" i="11"/>
  <c r="I12" i="11"/>
  <c r="J12" i="11" s="1"/>
  <c r="K12" i="11" s="1"/>
  <c r="G9" i="11"/>
  <c r="H6" i="11"/>
  <c r="D3" i="1"/>
  <c r="C3" i="21" l="1"/>
  <c r="E3" i="20"/>
  <c r="F3" i="20" s="1"/>
  <c r="G3" i="20" s="1"/>
  <c r="H3" i="20" s="1"/>
  <c r="I3" i="20" s="1"/>
  <c r="J3" i="20" s="1"/>
  <c r="K3" i="20" s="1"/>
  <c r="L3" i="20" s="1"/>
  <c r="M3" i="20" s="1"/>
  <c r="N3" i="20" s="1"/>
  <c r="O3" i="20" s="1"/>
  <c r="P3" i="20" s="1"/>
  <c r="Q3" i="20" s="1"/>
  <c r="I51" i="14"/>
  <c r="J51" i="14" s="1"/>
  <c r="K51" i="14" s="1"/>
  <c r="L51" i="14" s="1"/>
  <c r="M51" i="14" s="1"/>
  <c r="N51" i="14" s="1"/>
  <c r="O51" i="14" s="1"/>
  <c r="P51" i="14" s="1"/>
  <c r="Q51" i="14" s="1"/>
  <c r="I53" i="14"/>
  <c r="J53" i="14" s="1"/>
  <c r="K53" i="14" s="1"/>
  <c r="L53" i="14" s="1"/>
  <c r="M53" i="14" s="1"/>
  <c r="N53" i="14" s="1"/>
  <c r="O53" i="14" s="1"/>
  <c r="P53" i="14" s="1"/>
  <c r="Q53" i="14" s="1"/>
  <c r="F25" i="34"/>
  <c r="F29" i="34" s="1"/>
  <c r="E25" i="34"/>
  <c r="O9" i="20"/>
  <c r="N10" i="20"/>
  <c r="E17" i="28"/>
  <c r="E6" i="34"/>
  <c r="F17" i="28"/>
  <c r="F6" i="34"/>
  <c r="L12" i="11"/>
  <c r="K15" i="11"/>
  <c r="M19" i="21"/>
  <c r="M21" i="21"/>
  <c r="J41" i="14"/>
  <c r="I52" i="14"/>
  <c r="N40" i="14"/>
  <c r="G79" i="11"/>
  <c r="F85" i="11"/>
  <c r="H74" i="11"/>
  <c r="I72" i="11" s="1"/>
  <c r="E97" i="11"/>
  <c r="E3" i="1"/>
  <c r="D3" i="2"/>
  <c r="I15" i="11"/>
  <c r="H22" i="11"/>
  <c r="H48" i="11"/>
  <c r="H51" i="11" s="1"/>
  <c r="H58" i="11"/>
  <c r="H61" i="11" s="1"/>
  <c r="G65" i="11"/>
  <c r="H64" i="11" s="1"/>
  <c r="I62" i="11" s="1"/>
  <c r="H32" i="11"/>
  <c r="G54" i="11"/>
  <c r="G76" i="11" s="1"/>
  <c r="I68" i="11"/>
  <c r="I71" i="11" s="1"/>
  <c r="H38" i="11"/>
  <c r="H41" i="11" s="1"/>
  <c r="G45" i="11"/>
  <c r="H44" i="11" s="1"/>
  <c r="H42" i="11"/>
  <c r="J15" i="11"/>
  <c r="I6" i="11"/>
  <c r="H9" i="11"/>
  <c r="C3" i="11" l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D3" i="21"/>
  <c r="E3" i="21" s="1"/>
  <c r="F3" i="21" s="1"/>
  <c r="G3" i="21" s="1"/>
  <c r="H3" i="21" s="1"/>
  <c r="I3" i="21" s="1"/>
  <c r="J3" i="21" s="1"/>
  <c r="K3" i="21" s="1"/>
  <c r="L3" i="21" s="1"/>
  <c r="M3" i="21" s="1"/>
  <c r="N3" i="21" s="1"/>
  <c r="O3" i="21" s="1"/>
  <c r="P3" i="21" s="1"/>
  <c r="E10" i="32"/>
  <c r="F10" i="32"/>
  <c r="K41" i="14"/>
  <c r="E29" i="34"/>
  <c r="E33" i="34"/>
  <c r="E9" i="32" s="1"/>
  <c r="E6" i="32"/>
  <c r="F33" i="34"/>
  <c r="F9" i="32" s="1"/>
  <c r="F6" i="32"/>
  <c r="E23" i="34"/>
  <c r="F23" i="34"/>
  <c r="P9" i="20"/>
  <c r="O10" i="20"/>
  <c r="M12" i="11"/>
  <c r="L15" i="11"/>
  <c r="N21" i="21"/>
  <c r="N19" i="21"/>
  <c r="G84" i="11"/>
  <c r="G11" i="28"/>
  <c r="J52" i="14"/>
  <c r="K52" i="14" s="1"/>
  <c r="L52" i="14" s="1"/>
  <c r="M52" i="14" s="1"/>
  <c r="N52" i="14" s="1"/>
  <c r="O52" i="14" s="1"/>
  <c r="P52" i="14" s="1"/>
  <c r="Q52" i="14" s="1"/>
  <c r="O40" i="14"/>
  <c r="H75" i="11"/>
  <c r="F97" i="11"/>
  <c r="F3" i="1"/>
  <c r="E3" i="2"/>
  <c r="H52" i="11"/>
  <c r="I38" i="11"/>
  <c r="I41" i="11" s="1"/>
  <c r="H45" i="11"/>
  <c r="I44" i="11" s="1"/>
  <c r="G55" i="11"/>
  <c r="I42" i="11"/>
  <c r="I48" i="11"/>
  <c r="I51" i="11" s="1"/>
  <c r="J68" i="11"/>
  <c r="J71" i="11" s="1"/>
  <c r="K68" i="11" s="1"/>
  <c r="K71" i="11" s="1"/>
  <c r="I58" i="11"/>
  <c r="I61" i="11" s="1"/>
  <c r="H65" i="11"/>
  <c r="I64" i="11" s="1"/>
  <c r="J62" i="11" s="1"/>
  <c r="J6" i="11"/>
  <c r="K6" i="11" s="1"/>
  <c r="L41" i="14" l="1"/>
  <c r="G7" i="32"/>
  <c r="C8" i="26"/>
  <c r="G7" i="34"/>
  <c r="E37" i="34"/>
  <c r="E39" i="34" s="1"/>
  <c r="E41" i="34" s="1"/>
  <c r="E44" i="34" s="1"/>
  <c r="E11" i="32"/>
  <c r="E17" i="32" s="1"/>
  <c r="P10" i="20"/>
  <c r="Q9" i="20"/>
  <c r="Q10" i="20" s="1"/>
  <c r="M15" i="11"/>
  <c r="N12" i="11"/>
  <c r="L6" i="11"/>
  <c r="K9" i="11"/>
  <c r="I74" i="11"/>
  <c r="I75" i="11" s="1"/>
  <c r="O19" i="21"/>
  <c r="O21" i="21"/>
  <c r="L68" i="11"/>
  <c r="L71" i="11" s="1"/>
  <c r="H48" i="14" a="1"/>
  <c r="P40" i="14"/>
  <c r="H82" i="11"/>
  <c r="F3" i="2"/>
  <c r="H100" i="11"/>
  <c r="J42" i="11"/>
  <c r="J38" i="11"/>
  <c r="J41" i="11" s="1"/>
  <c r="K38" i="11" s="1"/>
  <c r="K41" i="11" s="1"/>
  <c r="I45" i="11"/>
  <c r="J44" i="11" s="1"/>
  <c r="J58" i="11"/>
  <c r="J61" i="11" s="1"/>
  <c r="K58" i="11" s="1"/>
  <c r="K61" i="11" s="1"/>
  <c r="I65" i="11"/>
  <c r="J64" i="11" s="1"/>
  <c r="K62" i="11" s="1"/>
  <c r="H54" i="11"/>
  <c r="I52" i="11" s="1"/>
  <c r="J48" i="11"/>
  <c r="J51" i="11" s="1"/>
  <c r="K48" i="11" s="1"/>
  <c r="K51" i="11" s="1"/>
  <c r="I9" i="11"/>
  <c r="J9" i="11"/>
  <c r="M41" i="14" l="1"/>
  <c r="J74" i="11"/>
  <c r="M6" i="11"/>
  <c r="L9" i="11"/>
  <c r="K42" i="11"/>
  <c r="N15" i="11"/>
  <c r="O12" i="11"/>
  <c r="J72" i="11"/>
  <c r="P21" i="21"/>
  <c r="P19" i="21"/>
  <c r="L48" i="11"/>
  <c r="L51" i="11" s="1"/>
  <c r="L38" i="11"/>
  <c r="L41" i="11" s="1"/>
  <c r="L58" i="11"/>
  <c r="L61" i="11" s="1"/>
  <c r="M68" i="11"/>
  <c r="M71" i="11" s="1"/>
  <c r="H48" i="14"/>
  <c r="H47" i="14" s="1"/>
  <c r="O48" i="14"/>
  <c r="Q48" i="14"/>
  <c r="L48" i="14"/>
  <c r="K48" i="14"/>
  <c r="M48" i="14"/>
  <c r="J48" i="14"/>
  <c r="N48" i="14"/>
  <c r="I48" i="14"/>
  <c r="P48" i="14"/>
  <c r="Q40" i="14"/>
  <c r="J65" i="11"/>
  <c r="K64" i="11" s="1"/>
  <c r="J45" i="11"/>
  <c r="K44" i="11" s="1"/>
  <c r="H55" i="11"/>
  <c r="I54" i="11" s="1"/>
  <c r="J52" i="11" s="1"/>
  <c r="F19" i="1"/>
  <c r="F8" i="2"/>
  <c r="F61" i="2" s="1"/>
  <c r="E53" i="2"/>
  <c r="E19" i="1"/>
  <c r="C53" i="2"/>
  <c r="D53" i="2"/>
  <c r="C19" i="1"/>
  <c r="D19" i="1"/>
  <c r="C9" i="1"/>
  <c r="D9" i="22" s="1"/>
  <c r="E52" i="1" l="1"/>
  <c r="D52" i="1"/>
  <c r="C52" i="1"/>
  <c r="C21" i="1"/>
  <c r="C25" i="1" s="1"/>
  <c r="C29" i="1" s="1"/>
  <c r="N41" i="14"/>
  <c r="K72" i="11"/>
  <c r="F7" i="29"/>
  <c r="D16" i="28"/>
  <c r="D35" i="22"/>
  <c r="C16" i="28"/>
  <c r="C17" i="28" s="1"/>
  <c r="K45" i="11"/>
  <c r="L44" i="11" s="1"/>
  <c r="O15" i="11"/>
  <c r="P12" i="11"/>
  <c r="P15" i="11" s="1"/>
  <c r="M9" i="11"/>
  <c r="N6" i="11"/>
  <c r="J75" i="11"/>
  <c r="M48" i="11"/>
  <c r="M51" i="11" s="1"/>
  <c r="L42" i="11"/>
  <c r="N68" i="11"/>
  <c r="N71" i="11" s="1"/>
  <c r="M38" i="11"/>
  <c r="M41" i="11" s="1"/>
  <c r="M58" i="11"/>
  <c r="M61" i="11" s="1"/>
  <c r="L62" i="11"/>
  <c r="K65" i="11"/>
  <c r="L64" i="11" s="1"/>
  <c r="D89" i="22"/>
  <c r="D87" i="22"/>
  <c r="D85" i="22"/>
  <c r="D83" i="22"/>
  <c r="D78" i="22"/>
  <c r="D76" i="22"/>
  <c r="D73" i="22"/>
  <c r="D71" i="22"/>
  <c r="D90" i="22"/>
  <c r="D88" i="22"/>
  <c r="D86" i="22"/>
  <c r="D84" i="22"/>
  <c r="D79" i="22"/>
  <c r="D77" i="22"/>
  <c r="D74" i="22"/>
  <c r="D72" i="22"/>
  <c r="E89" i="22"/>
  <c r="E87" i="22"/>
  <c r="E85" i="22"/>
  <c r="E83" i="22"/>
  <c r="E78" i="22"/>
  <c r="E76" i="22"/>
  <c r="E73" i="22"/>
  <c r="E71" i="22"/>
  <c r="E90" i="22"/>
  <c r="E88" i="22"/>
  <c r="E86" i="22"/>
  <c r="E84" i="22"/>
  <c r="E79" i="22"/>
  <c r="E77" i="22"/>
  <c r="E74" i="22"/>
  <c r="E72" i="22"/>
  <c r="I47" i="14"/>
  <c r="J47" i="14" s="1"/>
  <c r="K47" i="14" s="1"/>
  <c r="L47" i="14" s="1"/>
  <c r="M47" i="14" s="1"/>
  <c r="E35" i="22"/>
  <c r="D21" i="22"/>
  <c r="F90" i="22"/>
  <c r="F88" i="22"/>
  <c r="F85" i="22"/>
  <c r="F84" i="22"/>
  <c r="F78" i="22"/>
  <c r="F77" i="22"/>
  <c r="F74" i="22"/>
  <c r="F71" i="22"/>
  <c r="F89" i="22"/>
  <c r="F87" i="22"/>
  <c r="F86" i="22"/>
  <c r="F83" i="22"/>
  <c r="F79" i="22"/>
  <c r="F76" i="22"/>
  <c r="F73" i="22"/>
  <c r="F72" i="22"/>
  <c r="I55" i="11"/>
  <c r="J54" i="11" s="1"/>
  <c r="K52" i="11" s="1"/>
  <c r="C28" i="2"/>
  <c r="C60" i="2" s="1"/>
  <c r="C53" i="1" s="1"/>
  <c r="D21" i="1"/>
  <c r="D25" i="1" s="1"/>
  <c r="D29" i="1" s="1"/>
  <c r="D9" i="1"/>
  <c r="E9" i="22" s="1"/>
  <c r="E9" i="1"/>
  <c r="F9" i="22" s="1"/>
  <c r="E21" i="1"/>
  <c r="E25" i="1" s="1"/>
  <c r="E29" i="1" s="1"/>
  <c r="C54" i="2" l="1"/>
  <c r="E48" i="1"/>
  <c r="D48" i="1"/>
  <c r="C33" i="1"/>
  <c r="D25" i="22"/>
  <c r="C48" i="1"/>
  <c r="O41" i="14"/>
  <c r="F21" i="32"/>
  <c r="F22" i="32" s="1"/>
  <c r="M42" i="11"/>
  <c r="D91" i="22"/>
  <c r="F32" i="34"/>
  <c r="F10" i="29"/>
  <c r="D22" i="34"/>
  <c r="D23" i="34" s="1"/>
  <c r="D17" i="28"/>
  <c r="D6" i="32" s="1"/>
  <c r="K74" i="11"/>
  <c r="O6" i="11"/>
  <c r="N9" i="11"/>
  <c r="L65" i="11"/>
  <c r="M64" i="11" s="1"/>
  <c r="M62" i="11"/>
  <c r="L45" i="11"/>
  <c r="M44" i="11" s="1"/>
  <c r="N38" i="11"/>
  <c r="N41" i="11" s="1"/>
  <c r="N58" i="11"/>
  <c r="N61" i="11" s="1"/>
  <c r="O68" i="11"/>
  <c r="O71" i="11" s="1"/>
  <c r="N48" i="11"/>
  <c r="N51" i="11" s="1"/>
  <c r="E91" i="22"/>
  <c r="E21" i="22"/>
  <c r="N47" i="14"/>
  <c r="D64" i="22"/>
  <c r="D60" i="22"/>
  <c r="D54" i="22"/>
  <c r="D47" i="22"/>
  <c r="D63" i="22"/>
  <c r="D57" i="22"/>
  <c r="D53" i="22"/>
  <c r="D46" i="22"/>
  <c r="D62" i="22"/>
  <c r="D56" i="22"/>
  <c r="D51" i="22"/>
  <c r="D61" i="22"/>
  <c r="D55" i="22"/>
  <c r="D50" i="22"/>
  <c r="D65" i="22"/>
  <c r="F91" i="22"/>
  <c r="F21" i="22"/>
  <c r="J55" i="11"/>
  <c r="K54" i="11" s="1"/>
  <c r="D19" i="20" l="1"/>
  <c r="C37" i="1"/>
  <c r="C41" i="1" s="1"/>
  <c r="C49" i="1"/>
  <c r="C62" i="2"/>
  <c r="D29" i="22"/>
  <c r="D49" i="1"/>
  <c r="D62" i="2"/>
  <c r="P41" i="14"/>
  <c r="E49" i="1"/>
  <c r="E62" i="2"/>
  <c r="D33" i="34"/>
  <c r="D9" i="32" s="1"/>
  <c r="L72" i="11"/>
  <c r="K75" i="11"/>
  <c r="P6" i="11"/>
  <c r="P9" i="11" s="1"/>
  <c r="O9" i="11"/>
  <c r="M45" i="11"/>
  <c r="N44" i="11" s="1"/>
  <c r="N42" i="11"/>
  <c r="O48" i="11"/>
  <c r="O51" i="11" s="1"/>
  <c r="L52" i="11"/>
  <c r="K55" i="11"/>
  <c r="L54" i="11" s="1"/>
  <c r="O38" i="11"/>
  <c r="O41" i="11" s="1"/>
  <c r="O58" i="11"/>
  <c r="O61" i="11" s="1"/>
  <c r="N62" i="11"/>
  <c r="P68" i="11"/>
  <c r="P71" i="11" s="1"/>
  <c r="M65" i="11"/>
  <c r="N64" i="11" s="1"/>
  <c r="O47" i="14"/>
  <c r="D66" i="22"/>
  <c r="E25" i="22"/>
  <c r="D33" i="1"/>
  <c r="E29" i="22"/>
  <c r="D33" i="22"/>
  <c r="F25" i="22"/>
  <c r="E33" i="1"/>
  <c r="E37" i="1" s="1"/>
  <c r="E41" i="1" s="1"/>
  <c r="F29" i="22"/>
  <c r="E19" i="20" l="1"/>
  <c r="D37" i="1"/>
  <c r="D41" i="1" s="1"/>
  <c r="Q41" i="14"/>
  <c r="L74" i="11"/>
  <c r="L75" i="11" s="1"/>
  <c r="D37" i="34"/>
  <c r="D39" i="34" s="1"/>
  <c r="D41" i="34" s="1"/>
  <c r="D44" i="34" s="1"/>
  <c r="D11" i="32"/>
  <c r="D17" i="32" s="1"/>
  <c r="C50" i="1"/>
  <c r="C54" i="1" s="1"/>
  <c r="C20" i="28"/>
  <c r="C21" i="28" s="1"/>
  <c r="C51" i="1"/>
  <c r="N65" i="11"/>
  <c r="O64" i="11" s="1"/>
  <c r="P58" i="11"/>
  <c r="P61" i="11" s="1"/>
  <c r="O42" i="11"/>
  <c r="N45" i="11"/>
  <c r="O44" i="11" s="1"/>
  <c r="M52" i="11"/>
  <c r="L55" i="11"/>
  <c r="M54" i="11" s="1"/>
  <c r="P48" i="11"/>
  <c r="P51" i="11" s="1"/>
  <c r="O62" i="11"/>
  <c r="P38" i="11"/>
  <c r="P41" i="11" s="1"/>
  <c r="F19" i="20"/>
  <c r="P47" i="14"/>
  <c r="E33" i="22"/>
  <c r="D37" i="22"/>
  <c r="E20" i="28"/>
  <c r="E21" i="28" s="1"/>
  <c r="F33" i="22"/>
  <c r="F9" i="1"/>
  <c r="G9" i="22" s="1"/>
  <c r="F21" i="1"/>
  <c r="F25" i="1" s="1"/>
  <c r="F29" i="1" s="1"/>
  <c r="M72" i="11" l="1"/>
  <c r="F48" i="1"/>
  <c r="H37" i="14" a="1"/>
  <c r="M74" i="11"/>
  <c r="M75" i="11" s="1"/>
  <c r="D50" i="1"/>
  <c r="D20" i="28"/>
  <c r="D21" i="28" s="1"/>
  <c r="D51" i="1"/>
  <c r="P42" i="11"/>
  <c r="O65" i="11"/>
  <c r="P64" i="11" s="1"/>
  <c r="O45" i="11"/>
  <c r="P44" i="11" s="1"/>
  <c r="P62" i="11"/>
  <c r="N52" i="11"/>
  <c r="M55" i="11"/>
  <c r="N54" i="11" s="1"/>
  <c r="E50" i="1"/>
  <c r="E51" i="1"/>
  <c r="G21" i="22"/>
  <c r="Q47" i="14"/>
  <c r="E37" i="22"/>
  <c r="F37" i="22"/>
  <c r="N72" i="11" l="1"/>
  <c r="P37" i="14"/>
  <c r="M37" i="14"/>
  <c r="O37" i="14"/>
  <c r="Q37" i="14"/>
  <c r="J37" i="14"/>
  <c r="L37" i="14"/>
  <c r="K37" i="14"/>
  <c r="N37" i="14"/>
  <c r="H37" i="14"/>
  <c r="I37" i="14"/>
  <c r="N74" i="11"/>
  <c r="O72" i="11" s="1"/>
  <c r="P45" i="11"/>
  <c r="F49" i="1"/>
  <c r="F62" i="2"/>
  <c r="P65" i="11"/>
  <c r="O52" i="11"/>
  <c r="N55" i="11"/>
  <c r="O54" i="11" s="1"/>
  <c r="G25" i="22"/>
  <c r="F33" i="1"/>
  <c r="F37" i="1" s="1"/>
  <c r="F41" i="1" s="1"/>
  <c r="G29" i="22"/>
  <c r="N75" i="11" l="1"/>
  <c r="O74" i="11" s="1"/>
  <c r="P52" i="11"/>
  <c r="O55" i="11"/>
  <c r="P54" i="11" s="1"/>
  <c r="G19" i="20"/>
  <c r="D28" i="2"/>
  <c r="F20" i="28"/>
  <c r="F21" i="28" s="1"/>
  <c r="G33" i="22"/>
  <c r="D60" i="2" l="1"/>
  <c r="D53" i="1" s="1"/>
  <c r="D54" i="1" s="1"/>
  <c r="D54" i="2"/>
  <c r="O75" i="11"/>
  <c r="P74" i="11" s="1"/>
  <c r="P72" i="11"/>
  <c r="H19" i="20"/>
  <c r="I19" i="20" s="1"/>
  <c r="J19" i="20" s="1"/>
  <c r="P55" i="11"/>
  <c r="F50" i="1"/>
  <c r="E57" i="22"/>
  <c r="E64" i="22"/>
  <c r="E60" i="22"/>
  <c r="E50" i="22"/>
  <c r="E56" i="22"/>
  <c r="E62" i="22"/>
  <c r="E65" i="22"/>
  <c r="E53" i="22"/>
  <c r="E51" i="22"/>
  <c r="E63" i="22"/>
  <c r="E55" i="22"/>
  <c r="E54" i="22"/>
  <c r="E46" i="22"/>
  <c r="E61" i="22"/>
  <c r="E47" i="22"/>
  <c r="E28" i="2"/>
  <c r="G37" i="22"/>
  <c r="E60" i="2" l="1"/>
  <c r="E53" i="1" s="1"/>
  <c r="E54" i="1" s="1"/>
  <c r="E54" i="2"/>
  <c r="P75" i="11"/>
  <c r="F47" i="22"/>
  <c r="K19" i="20"/>
  <c r="F28" i="2"/>
  <c r="E66" i="22"/>
  <c r="F60" i="22"/>
  <c r="F53" i="22"/>
  <c r="F50" i="22"/>
  <c r="F51" i="22"/>
  <c r="F64" i="22"/>
  <c r="F54" i="22"/>
  <c r="F65" i="22"/>
  <c r="F63" i="22"/>
  <c r="F46" i="22"/>
  <c r="F61" i="22"/>
  <c r="F62" i="22"/>
  <c r="F57" i="22"/>
  <c r="F55" i="22"/>
  <c r="F56" i="22"/>
  <c r="G55" i="22" l="1"/>
  <c r="F60" i="2"/>
  <c r="F53" i="1" s="1"/>
  <c r="L19" i="20"/>
  <c r="G54" i="22"/>
  <c r="G61" i="22"/>
  <c r="G46" i="22"/>
  <c r="G64" i="22"/>
  <c r="G62" i="22"/>
  <c r="G65" i="22"/>
  <c r="G53" i="22"/>
  <c r="G47" i="22"/>
  <c r="G50" i="22"/>
  <c r="G57" i="22"/>
  <c r="G51" i="22"/>
  <c r="G60" i="22"/>
  <c r="G63" i="22"/>
  <c r="G56" i="22"/>
  <c r="F66" i="22"/>
  <c r="F53" i="2"/>
  <c r="F52" i="1" s="1"/>
  <c r="F54" i="2" l="1"/>
  <c r="F54" i="1"/>
  <c r="H15" i="29"/>
  <c r="M19" i="20"/>
  <c r="F51" i="1"/>
  <c r="G66" i="22"/>
  <c r="G90" i="22"/>
  <c r="G86" i="22"/>
  <c r="G79" i="22"/>
  <c r="G74" i="22"/>
  <c r="G87" i="22"/>
  <c r="G83" i="22"/>
  <c r="G76" i="22"/>
  <c r="G71" i="22"/>
  <c r="G88" i="22"/>
  <c r="G84" i="22"/>
  <c r="G77" i="22"/>
  <c r="G72" i="22"/>
  <c r="G89" i="22"/>
  <c r="G85" i="22"/>
  <c r="G78" i="22"/>
  <c r="G73" i="22"/>
  <c r="I15" i="29" l="1"/>
  <c r="N19" i="20"/>
  <c r="G91" i="22"/>
  <c r="J15" i="29" l="1"/>
  <c r="O19" i="20"/>
  <c r="K15" i="29" l="1"/>
  <c r="P19" i="20"/>
  <c r="L15" i="29" l="1"/>
  <c r="Q19" i="20"/>
  <c r="M15" i="29" l="1"/>
  <c r="N15" i="29" l="1"/>
  <c r="O15" i="29" l="1"/>
  <c r="P15" i="29" l="1"/>
  <c r="H10" i="20" l="1"/>
  <c r="H13" i="21" l="1"/>
  <c r="I13" i="21" l="1"/>
  <c r="J13" i="21" l="1"/>
  <c r="K13" i="21" l="1"/>
  <c r="L13" i="21" l="1"/>
  <c r="M13" i="21" l="1"/>
  <c r="N13" i="21" l="1"/>
  <c r="O13" i="21" l="1"/>
  <c r="P13" i="21" l="1"/>
  <c r="H14" i="21"/>
  <c r="I14" i="21" l="1"/>
  <c r="J14" i="21" l="1"/>
  <c r="K14" i="21" l="1"/>
  <c r="L14" i="21" l="1"/>
  <c r="M14" i="21" l="1"/>
  <c r="N14" i="21" l="1"/>
  <c r="O14" i="21" l="1"/>
  <c r="P14" i="21" l="1"/>
  <c r="G16" i="21"/>
  <c r="H15" i="21"/>
  <c r="H16" i="21" l="1"/>
  <c r="I15" i="21"/>
  <c r="J15" i="21" l="1"/>
  <c r="I16" i="21"/>
  <c r="K15" i="21" l="1"/>
  <c r="J16" i="21"/>
  <c r="L15" i="21" l="1"/>
  <c r="K16" i="21"/>
  <c r="L16" i="21" l="1"/>
  <c r="M15" i="21"/>
  <c r="N15" i="21" l="1"/>
  <c r="M16" i="21"/>
  <c r="N16" i="21" l="1"/>
  <c r="O15" i="21"/>
  <c r="O16" i="21" l="1"/>
  <c r="P15" i="21"/>
  <c r="P16" i="21" l="1"/>
  <c r="G99" i="11" l="1"/>
  <c r="G101" i="11" s="1"/>
  <c r="G19" i="11" l="1"/>
  <c r="G29" i="11" s="1"/>
  <c r="G31" i="11" s="1"/>
  <c r="G35" i="11" s="1"/>
  <c r="H34" i="11" s="1"/>
  <c r="G89" i="11"/>
  <c r="G21" i="11" l="1"/>
  <c r="G25" i="11" s="1"/>
  <c r="H24" i="11" s="1"/>
  <c r="H88" i="11"/>
  <c r="G94" i="11"/>
  <c r="H93" i="11" s="1"/>
  <c r="I91" i="11" s="1"/>
  <c r="G80" i="11"/>
  <c r="H28" i="11"/>
  <c r="H18" i="11"/>
  <c r="I32" i="11"/>
  <c r="G85" i="11" l="1"/>
  <c r="G29" i="29" s="1"/>
  <c r="I22" i="11"/>
  <c r="H76" i="11"/>
  <c r="H79" i="11"/>
  <c r="H84" i="11" l="1"/>
  <c r="I100" i="11"/>
  <c r="H11" i="28"/>
  <c r="I82" i="11"/>
  <c r="G25" i="34"/>
  <c r="C9" i="26" l="1"/>
  <c r="H7" i="32"/>
  <c r="D8" i="26"/>
  <c r="H7" i="34"/>
  <c r="J31" i="14" l="1"/>
  <c r="K31" i="14" s="1"/>
  <c r="L31" i="14" s="1"/>
  <c r="M31" i="14" s="1"/>
  <c r="N31" i="14" s="1"/>
  <c r="O31" i="14" s="1"/>
  <c r="P31" i="14" s="1"/>
  <c r="Q31" i="14" s="1"/>
  <c r="H27" i="14" l="1" a="1"/>
  <c r="H27" i="14"/>
  <c r="H26" i="14"/>
  <c r="H16" i="14"/>
  <c r="H45" i="14"/>
  <c r="G6" i="28"/>
  <c r="H8" i="20"/>
  <c r="H11" i="20"/>
  <c r="G7" i="28"/>
  <c r="G8" i="28"/>
  <c r="H13" i="20"/>
  <c r="G9" i="28"/>
  <c r="G12" i="28"/>
  <c r="C6" i="26"/>
  <c r="C7" i="26"/>
  <c r="G42" i="29"/>
  <c r="G16" i="34"/>
  <c r="G9" i="21"/>
  <c r="G21" i="29"/>
  <c r="G19" i="34"/>
  <c r="G20" i="21"/>
  <c r="G22" i="29"/>
  <c r="G20" i="34"/>
  <c r="G22" i="21"/>
  <c r="G23" i="29"/>
  <c r="G21" i="34"/>
  <c r="G7" i="21"/>
  <c r="G37" i="29"/>
  <c r="G13" i="34"/>
  <c r="G8" i="21"/>
  <c r="G38" i="29"/>
  <c r="G14" i="34"/>
  <c r="C10" i="26"/>
  <c r="C11" i="26"/>
  <c r="I30" i="14"/>
  <c r="I27" i="14"/>
  <c r="I26" i="14"/>
  <c r="I16" i="14"/>
  <c r="I45" i="14"/>
  <c r="H6" i="28"/>
  <c r="I8" i="20"/>
  <c r="I11" i="20"/>
  <c r="H7" i="28"/>
  <c r="H8" i="28"/>
  <c r="I13" i="20"/>
  <c r="H9" i="28"/>
  <c r="H12" i="28"/>
  <c r="D6" i="26"/>
  <c r="D7" i="26"/>
  <c r="I9" i="14"/>
  <c r="H99" i="11"/>
  <c r="H101" i="11"/>
  <c r="H19" i="11"/>
  <c r="H29" i="11"/>
  <c r="H80" i="11"/>
  <c r="H85" i="11"/>
  <c r="H29" i="29"/>
  <c r="H25" i="34"/>
  <c r="D9" i="26"/>
  <c r="H42" i="29"/>
  <c r="H16" i="34"/>
  <c r="H9" i="21"/>
  <c r="H21" i="29"/>
  <c r="H19" i="34"/>
  <c r="H20" i="21"/>
  <c r="H22" i="29"/>
  <c r="H20" i="34"/>
  <c r="H22" i="21"/>
  <c r="H23" i="29"/>
  <c r="H21" i="34"/>
  <c r="H7" i="21"/>
  <c r="H37" i="29"/>
  <c r="H13" i="34"/>
  <c r="H8" i="21"/>
  <c r="H38" i="29"/>
  <c r="H14" i="34"/>
  <c r="D10" i="26"/>
  <c r="D11" i="26"/>
  <c r="J30" i="14"/>
  <c r="J27" i="14"/>
  <c r="J26" i="14"/>
  <c r="J16" i="14"/>
  <c r="J45" i="14"/>
  <c r="I6" i="28"/>
  <c r="J8" i="20"/>
  <c r="J11" i="20"/>
  <c r="I7" i="28"/>
  <c r="I8" i="28"/>
  <c r="J13" i="20"/>
  <c r="I9" i="28"/>
  <c r="I12" i="28"/>
  <c r="E6" i="26"/>
  <c r="E7" i="26"/>
  <c r="H21" i="11"/>
  <c r="H25" i="11"/>
  <c r="I24" i="11"/>
  <c r="H31" i="11"/>
  <c r="H35" i="11"/>
  <c r="I34" i="11"/>
  <c r="I76" i="11"/>
  <c r="I11" i="28"/>
  <c r="E8" i="26"/>
  <c r="I18" i="11"/>
  <c r="I28" i="11"/>
  <c r="I79" i="11"/>
  <c r="I84" i="11"/>
  <c r="I8" i="14"/>
  <c r="J9" i="14"/>
  <c r="I99" i="11"/>
  <c r="I101" i="11"/>
  <c r="I19" i="11"/>
  <c r="I29" i="11"/>
  <c r="I80" i="11"/>
  <c r="I85" i="11"/>
  <c r="I29" i="29"/>
  <c r="I7" i="34"/>
  <c r="I25" i="34"/>
  <c r="E9" i="26"/>
  <c r="I42" i="29"/>
  <c r="I16" i="34"/>
  <c r="I9" i="21"/>
  <c r="I21" i="29"/>
  <c r="I19" i="34"/>
  <c r="I20" i="21"/>
  <c r="I22" i="29"/>
  <c r="I20" i="34"/>
  <c r="I22" i="21"/>
  <c r="I23" i="29"/>
  <c r="I21" i="34"/>
  <c r="I7" i="21"/>
  <c r="I37" i="29"/>
  <c r="I13" i="34"/>
  <c r="I8" i="21"/>
  <c r="I38" i="29"/>
  <c r="I14" i="34"/>
  <c r="E10" i="26"/>
  <c r="E11" i="26"/>
  <c r="K30" i="14"/>
  <c r="K27" i="14"/>
  <c r="K26" i="14"/>
  <c r="K16" i="14"/>
  <c r="K45" i="14"/>
  <c r="J6" i="28"/>
  <c r="K8" i="20"/>
  <c r="K11" i="20"/>
  <c r="J7" i="28"/>
  <c r="J8" i="28"/>
  <c r="K13" i="20"/>
  <c r="J9" i="28"/>
  <c r="J12" i="28"/>
  <c r="F6" i="26"/>
  <c r="F7" i="26"/>
  <c r="I21" i="11"/>
  <c r="I25" i="11"/>
  <c r="J24" i="11"/>
  <c r="I31" i="11"/>
  <c r="I35" i="11"/>
  <c r="J34" i="11"/>
  <c r="J76" i="11"/>
  <c r="J11" i="28"/>
  <c r="F8" i="26"/>
  <c r="J18" i="11"/>
  <c r="J28" i="11"/>
  <c r="J79" i="11"/>
  <c r="J22" i="11"/>
  <c r="J32" i="11"/>
  <c r="J82" i="11"/>
  <c r="J84" i="11"/>
  <c r="J8" i="14"/>
  <c r="K9" i="14"/>
  <c r="J99" i="11"/>
  <c r="J100" i="11"/>
  <c r="J101" i="11"/>
  <c r="J19" i="11"/>
  <c r="J29" i="11"/>
  <c r="J80" i="11"/>
  <c r="J85" i="11"/>
  <c r="J29" i="29"/>
  <c r="J7" i="34"/>
  <c r="J25" i="34"/>
  <c r="F9" i="26"/>
  <c r="J42" i="29"/>
  <c r="J16" i="34"/>
  <c r="J9" i="21"/>
  <c r="J21" i="29"/>
  <c r="J19" i="34"/>
  <c r="J20" i="21"/>
  <c r="J22" i="29"/>
  <c r="J20" i="34"/>
  <c r="J22" i="21"/>
  <c r="J23" i="29"/>
  <c r="J21" i="34"/>
  <c r="J7" i="21"/>
  <c r="J37" i="29"/>
  <c r="J13" i="34"/>
  <c r="J8" i="21"/>
  <c r="J38" i="29"/>
  <c r="J14" i="34"/>
  <c r="F10" i="26"/>
  <c r="F11" i="26"/>
  <c r="L30" i="14"/>
  <c r="L27" i="14"/>
  <c r="L26" i="14"/>
  <c r="L16" i="14"/>
  <c r="L45" i="14"/>
  <c r="K6" i="28"/>
  <c r="L8" i="20"/>
  <c r="L11" i="20"/>
  <c r="K7" i="28"/>
  <c r="K8" i="28"/>
  <c r="L13" i="20"/>
  <c r="K9" i="28"/>
  <c r="K12" i="28"/>
  <c r="G6" i="26"/>
  <c r="G7" i="26"/>
  <c r="J21" i="11"/>
  <c r="J25" i="11"/>
  <c r="K24" i="11"/>
  <c r="J31" i="11"/>
  <c r="J35" i="11"/>
  <c r="K34" i="11"/>
  <c r="K76" i="11"/>
  <c r="K11" i="28"/>
  <c r="G8" i="26"/>
  <c r="K18" i="11"/>
  <c r="K28" i="11"/>
  <c r="K79" i="11"/>
  <c r="K22" i="11"/>
  <c r="K32" i="11"/>
  <c r="K82" i="11"/>
  <c r="K84" i="11"/>
  <c r="K8" i="14"/>
  <c r="L9" i="14"/>
  <c r="K99" i="11"/>
  <c r="K100" i="11"/>
  <c r="K101" i="11"/>
  <c r="K19" i="11"/>
  <c r="K29" i="11"/>
  <c r="K80" i="11"/>
  <c r="K85" i="11"/>
  <c r="K29" i="29"/>
  <c r="K7" i="34"/>
  <c r="K25" i="34"/>
  <c r="G9" i="26"/>
  <c r="K42" i="29"/>
  <c r="K16" i="34"/>
  <c r="K9" i="21"/>
  <c r="K21" i="29"/>
  <c r="K19" i="34"/>
  <c r="K20" i="21"/>
  <c r="K22" i="29"/>
  <c r="K20" i="34"/>
  <c r="K22" i="21"/>
  <c r="K23" i="29"/>
  <c r="K21" i="34"/>
  <c r="K7" i="21"/>
  <c r="K37" i="29"/>
  <c r="K13" i="34"/>
  <c r="K8" i="21"/>
  <c r="K38" i="29"/>
  <c r="K14" i="34"/>
  <c r="G10" i="26"/>
  <c r="G11" i="26"/>
  <c r="M30" i="14"/>
  <c r="M27" i="14"/>
  <c r="M26" i="14"/>
  <c r="M16" i="14"/>
  <c r="M45" i="14"/>
  <c r="L6" i="28"/>
  <c r="M8" i="20"/>
  <c r="M11" i="20"/>
  <c r="L7" i="28"/>
  <c r="L8" i="28"/>
  <c r="M13" i="20"/>
  <c r="L9" i="28"/>
  <c r="L12" i="28"/>
  <c r="H6" i="26"/>
  <c r="H7" i="26"/>
  <c r="K21" i="11"/>
  <c r="K25" i="11"/>
  <c r="L24" i="11"/>
  <c r="K31" i="11"/>
  <c r="K35" i="11"/>
  <c r="L34" i="11"/>
  <c r="L76" i="11"/>
  <c r="L11" i="28"/>
  <c r="H8" i="26"/>
  <c r="L18" i="11"/>
  <c r="L28" i="11"/>
  <c r="L79" i="11"/>
  <c r="L22" i="11"/>
  <c r="L32" i="11"/>
  <c r="L82" i="11"/>
  <c r="L84" i="11"/>
  <c r="L8" i="14"/>
  <c r="M9" i="14"/>
  <c r="L99" i="11"/>
  <c r="L100" i="11"/>
  <c r="L101" i="11"/>
  <c r="L19" i="11"/>
  <c r="L29" i="11"/>
  <c r="L80" i="11"/>
  <c r="L85" i="11"/>
  <c r="L29" i="29"/>
  <c r="L7" i="34"/>
  <c r="L25" i="34"/>
  <c r="H9" i="26"/>
  <c r="L42" i="29"/>
  <c r="L16" i="34"/>
  <c r="L9" i="21"/>
  <c r="L21" i="29"/>
  <c r="L19" i="34"/>
  <c r="L20" i="21"/>
  <c r="L22" i="29"/>
  <c r="L20" i="34"/>
  <c r="L22" i="21"/>
  <c r="L23" i="29"/>
  <c r="L21" i="34"/>
  <c r="L7" i="21"/>
  <c r="L37" i="29"/>
  <c r="L13" i="34"/>
  <c r="L8" i="21"/>
  <c r="L38" i="29"/>
  <c r="L14" i="34"/>
  <c r="H10" i="26"/>
  <c r="H11" i="26"/>
  <c r="N30" i="14"/>
  <c r="N27" i="14"/>
  <c r="N26" i="14"/>
  <c r="N16" i="14"/>
  <c r="N45" i="14"/>
  <c r="M6" i="28"/>
  <c r="N8" i="20"/>
  <c r="N11" i="20"/>
  <c r="M7" i="28"/>
  <c r="M8" i="28"/>
  <c r="N13" i="20"/>
  <c r="M9" i="28"/>
  <c r="M12" i="28"/>
  <c r="I6" i="26"/>
  <c r="I7" i="26"/>
  <c r="L21" i="11"/>
  <c r="L25" i="11"/>
  <c r="M24" i="11"/>
  <c r="L31" i="11"/>
  <c r="L35" i="11"/>
  <c r="M34" i="11"/>
  <c r="M76" i="11"/>
  <c r="M11" i="28"/>
  <c r="I8" i="26"/>
  <c r="M18" i="11"/>
  <c r="M28" i="11"/>
  <c r="M79" i="11"/>
  <c r="M22" i="11"/>
  <c r="M32" i="11"/>
  <c r="M82" i="11"/>
  <c r="M84" i="11"/>
  <c r="M8" i="14"/>
  <c r="N9" i="14"/>
  <c r="M99" i="11"/>
  <c r="M100" i="11"/>
  <c r="M101" i="11"/>
  <c r="M19" i="11"/>
  <c r="M29" i="11"/>
  <c r="M80" i="11"/>
  <c r="M85" i="11"/>
  <c r="M29" i="29"/>
  <c r="M7" i="34"/>
  <c r="M25" i="34"/>
  <c r="I9" i="26"/>
  <c r="M42" i="29"/>
  <c r="M16" i="34"/>
  <c r="M9" i="21"/>
  <c r="M21" i="29"/>
  <c r="M19" i="34"/>
  <c r="M20" i="21"/>
  <c r="M22" i="29"/>
  <c r="M20" i="34"/>
  <c r="M22" i="21"/>
  <c r="M23" i="29"/>
  <c r="M21" i="34"/>
  <c r="M7" i="21"/>
  <c r="M37" i="29"/>
  <c r="M13" i="34"/>
  <c r="M8" i="21"/>
  <c r="M38" i="29"/>
  <c r="M14" i="34"/>
  <c r="I10" i="26"/>
  <c r="I11" i="26"/>
  <c r="O30" i="14"/>
  <c r="O27" i="14"/>
  <c r="O26" i="14"/>
  <c r="O16" i="14"/>
  <c r="O45" i="14"/>
  <c r="N6" i="28"/>
  <c r="O8" i="20"/>
  <c r="O11" i="20"/>
  <c r="N7" i="28"/>
  <c r="N8" i="28"/>
  <c r="O13" i="20"/>
  <c r="N9" i="28"/>
  <c r="N12" i="28"/>
  <c r="J6" i="26"/>
  <c r="J7" i="26"/>
  <c r="M21" i="11"/>
  <c r="M25" i="11"/>
  <c r="N24" i="11"/>
  <c r="M31" i="11"/>
  <c r="M35" i="11"/>
  <c r="N34" i="11"/>
  <c r="N76" i="11"/>
  <c r="N11" i="28"/>
  <c r="J8" i="26"/>
  <c r="N18" i="11"/>
  <c r="N28" i="11"/>
  <c r="N79" i="11"/>
  <c r="N22" i="11"/>
  <c r="N32" i="11"/>
  <c r="N82" i="11"/>
  <c r="N84" i="11"/>
  <c r="N8" i="14"/>
  <c r="O9" i="14"/>
  <c r="N99" i="11"/>
  <c r="N100" i="11"/>
  <c r="N101" i="11"/>
  <c r="N19" i="11"/>
  <c r="N29" i="11"/>
  <c r="N80" i="11"/>
  <c r="N85" i="11"/>
  <c r="N29" i="29"/>
  <c r="N7" i="34"/>
  <c r="N25" i="34"/>
  <c r="J9" i="26"/>
  <c r="N42" i="29"/>
  <c r="N16" i="34"/>
  <c r="N9" i="21"/>
  <c r="N21" i="29"/>
  <c r="N19" i="34"/>
  <c r="N20" i="21"/>
  <c r="N22" i="29"/>
  <c r="N20" i="34"/>
  <c r="N22" i="21"/>
  <c r="N23" i="29"/>
  <c r="N21" i="34"/>
  <c r="N7" i="21"/>
  <c r="N37" i="29"/>
  <c r="N13" i="34"/>
  <c r="N8" i="21"/>
  <c r="N38" i="29"/>
  <c r="N14" i="34"/>
  <c r="J10" i="26"/>
  <c r="J11" i="26"/>
  <c r="P30" i="14"/>
  <c r="P27" i="14"/>
  <c r="P26" i="14"/>
  <c r="P16" i="14"/>
  <c r="P45" i="14"/>
  <c r="O6" i="28"/>
  <c r="P8" i="20"/>
  <c r="P11" i="20"/>
  <c r="O7" i="28"/>
  <c r="O8" i="28"/>
  <c r="P13" i="20"/>
  <c r="O9" i="28"/>
  <c r="O12" i="28"/>
  <c r="K6" i="26"/>
  <c r="K7" i="26"/>
  <c r="N21" i="11"/>
  <c r="N25" i="11"/>
  <c r="O24" i="11"/>
  <c r="N31" i="11"/>
  <c r="N35" i="11"/>
  <c r="O34" i="11"/>
  <c r="O76" i="11"/>
  <c r="O11" i="28"/>
  <c r="K8" i="26"/>
  <c r="O18" i="11"/>
  <c r="O28" i="11"/>
  <c r="O79" i="11"/>
  <c r="O22" i="11"/>
  <c r="O32" i="11"/>
  <c r="O82" i="11"/>
  <c r="O84" i="11"/>
  <c r="O8" i="14"/>
  <c r="P9" i="14"/>
  <c r="O99" i="11"/>
  <c r="O100" i="11"/>
  <c r="O101" i="11"/>
  <c r="O19" i="11"/>
  <c r="O29" i="11"/>
  <c r="O80" i="11"/>
  <c r="O85" i="11"/>
  <c r="O29" i="29"/>
  <c r="O7" i="34"/>
  <c r="O25" i="34"/>
  <c r="K9" i="26"/>
  <c r="O42" i="29"/>
  <c r="O16" i="34"/>
  <c r="O9" i="21"/>
  <c r="O21" i="29"/>
  <c r="O19" i="34"/>
  <c r="O20" i="21"/>
  <c r="O22" i="29"/>
  <c r="O20" i="34"/>
  <c r="O22" i="21"/>
  <c r="O23" i="29"/>
  <c r="O21" i="34"/>
  <c r="O7" i="21"/>
  <c r="O37" i="29"/>
  <c r="O13" i="34"/>
  <c r="O8" i="21"/>
  <c r="O38" i="29"/>
  <c r="O14" i="34"/>
  <c r="K10" i="26"/>
  <c r="K11" i="26"/>
  <c r="Q30" i="14"/>
  <c r="Q27" i="14"/>
  <c r="Q26" i="14"/>
  <c r="Q16" i="14"/>
  <c r="Q45" i="14"/>
  <c r="P6" i="28"/>
  <c r="Q8" i="20"/>
  <c r="Q11" i="20"/>
  <c r="P7" i="28"/>
  <c r="P8" i="28"/>
  <c r="Q13" i="20"/>
  <c r="P9" i="28"/>
  <c r="P12" i="28"/>
  <c r="L6" i="26"/>
  <c r="L7" i="26"/>
  <c r="O21" i="11"/>
  <c r="O25" i="11"/>
  <c r="P24" i="11"/>
  <c r="O31" i="11"/>
  <c r="O35" i="11"/>
  <c r="P34" i="11"/>
  <c r="P76" i="11"/>
  <c r="P11" i="28"/>
  <c r="L8" i="26"/>
  <c r="P18" i="11"/>
  <c r="P28" i="11"/>
  <c r="P79" i="11"/>
  <c r="P22" i="11"/>
  <c r="P32" i="11"/>
  <c r="P82" i="11"/>
  <c r="P84" i="11"/>
  <c r="P8" i="14"/>
  <c r="Q9" i="14"/>
  <c r="P99" i="11"/>
  <c r="P100" i="11"/>
  <c r="P101" i="11"/>
  <c r="P19" i="11"/>
  <c r="P29" i="11"/>
  <c r="P80" i="11"/>
  <c r="P85" i="11"/>
  <c r="P29" i="29"/>
  <c r="P7" i="34"/>
  <c r="P25" i="34"/>
  <c r="L9" i="26"/>
  <c r="P42" i="29"/>
  <c r="P16" i="34"/>
  <c r="P9" i="21"/>
  <c r="P21" i="29"/>
  <c r="P19" i="34"/>
  <c r="P20" i="21"/>
  <c r="P22" i="29"/>
  <c r="P20" i="34"/>
  <c r="P22" i="21"/>
  <c r="P23" i="29"/>
  <c r="P21" i="34"/>
  <c r="P7" i="21"/>
  <c r="P37" i="29"/>
  <c r="P13" i="34"/>
  <c r="P8" i="21"/>
  <c r="P38" i="29"/>
  <c r="P14" i="34"/>
  <c r="L10" i="26"/>
  <c r="L11" i="26"/>
  <c r="C45" i="26"/>
  <c r="C42" i="26"/>
  <c r="C46" i="26" s="1"/>
  <c r="H30" i="29"/>
  <c r="H32" i="29"/>
  <c r="H34" i="29"/>
  <c r="L6" i="35"/>
  <c r="L7" i="35"/>
  <c r="L10" i="35"/>
  <c r="P13" i="28"/>
  <c r="P15" i="28"/>
  <c r="P16" i="28"/>
  <c r="P17" i="28"/>
  <c r="P6" i="32"/>
  <c r="P7" i="32"/>
  <c r="P14" i="29"/>
  <c r="O14" i="29"/>
  <c r="P8" i="32"/>
  <c r="C6" i="35"/>
  <c r="C7" i="35"/>
  <c r="C10" i="35"/>
  <c r="G13" i="28"/>
  <c r="G15" i="28"/>
  <c r="G16" i="28"/>
  <c r="G17" i="28"/>
  <c r="G18" i="28"/>
  <c r="G8" i="29"/>
  <c r="D6" i="35"/>
  <c r="D7" i="35"/>
  <c r="D10" i="35"/>
  <c r="H13" i="28"/>
  <c r="H15" i="28"/>
  <c r="H16" i="28"/>
  <c r="H17" i="28"/>
  <c r="H18" i="28"/>
  <c r="H8" i="29"/>
  <c r="E6" i="35"/>
  <c r="E7" i="35"/>
  <c r="E10" i="35"/>
  <c r="I13" i="28"/>
  <c r="I15" i="28"/>
  <c r="I16" i="28"/>
  <c r="I17" i="28"/>
  <c r="I18" i="28"/>
  <c r="I8" i="29"/>
  <c r="F6" i="35"/>
  <c r="F7" i="35"/>
  <c r="F10" i="35"/>
  <c r="J13" i="28"/>
  <c r="J15" i="28"/>
  <c r="J16" i="28"/>
  <c r="J17" i="28"/>
  <c r="J18" i="28"/>
  <c r="J8" i="29"/>
  <c r="G6" i="35"/>
  <c r="G7" i="35"/>
  <c r="G10" i="35"/>
  <c r="K13" i="28"/>
  <c r="K15" i="28"/>
  <c r="K16" i="28"/>
  <c r="K17" i="28"/>
  <c r="K18" i="28"/>
  <c r="K8" i="29"/>
  <c r="H6" i="35"/>
  <c r="H7" i="35"/>
  <c r="H10" i="35"/>
  <c r="L13" i="28"/>
  <c r="L15" i="28"/>
  <c r="L16" i="28"/>
  <c r="L17" i="28"/>
  <c r="L18" i="28"/>
  <c r="L8" i="29"/>
  <c r="I6" i="35"/>
  <c r="I7" i="35"/>
  <c r="I10" i="35"/>
  <c r="M13" i="28"/>
  <c r="M15" i="28"/>
  <c r="M16" i="28"/>
  <c r="M17" i="28"/>
  <c r="M18" i="28"/>
  <c r="M8" i="29"/>
  <c r="J6" i="35"/>
  <c r="J7" i="35"/>
  <c r="J10" i="35"/>
  <c r="N13" i="28"/>
  <c r="N15" i="28"/>
  <c r="N16" i="28"/>
  <c r="N17" i="28"/>
  <c r="N18" i="28"/>
  <c r="N8" i="29"/>
  <c r="K6" i="35"/>
  <c r="K7" i="35"/>
  <c r="K10" i="35"/>
  <c r="O13" i="28"/>
  <c r="O15" i="28"/>
  <c r="O16" i="28"/>
  <c r="O17" i="28"/>
  <c r="O18" i="28"/>
  <c r="O8" i="29"/>
  <c r="P18" i="28"/>
  <c r="P8" i="29"/>
  <c r="P33" i="34"/>
  <c r="P9" i="32"/>
  <c r="P30" i="29"/>
  <c r="P32" i="29"/>
  <c r="O30" i="29"/>
  <c r="O32" i="29"/>
  <c r="P26" i="34"/>
  <c r="P10" i="32"/>
  <c r="P11" i="32"/>
  <c r="P6" i="34"/>
  <c r="P8" i="34"/>
  <c r="P14" i="28"/>
  <c r="P9" i="34"/>
  <c r="P40" i="29"/>
  <c r="O40" i="29"/>
  <c r="P15" i="34"/>
  <c r="P22" i="34"/>
  <c r="P23" i="34"/>
  <c r="P27" i="34"/>
  <c r="P29" i="34"/>
  <c r="P31" i="34"/>
  <c r="C8" i="35"/>
  <c r="G7" i="29"/>
  <c r="D8" i="35"/>
  <c r="H7" i="29"/>
  <c r="E8" i="35"/>
  <c r="I7" i="29"/>
  <c r="F8" i="35"/>
  <c r="J7" i="29"/>
  <c r="G8" i="35"/>
  <c r="K7" i="29"/>
  <c r="H8" i="35"/>
  <c r="L7" i="29"/>
  <c r="I8" i="35"/>
  <c r="M7" i="29"/>
  <c r="J8" i="35"/>
  <c r="N7" i="29"/>
  <c r="K8" i="35"/>
  <c r="O7" i="29"/>
  <c r="L8" i="35"/>
  <c r="P7" i="29"/>
  <c r="P32" i="34"/>
  <c r="G13" i="29"/>
  <c r="H13" i="29"/>
  <c r="I13" i="29"/>
  <c r="J13" i="29"/>
  <c r="K13" i="29"/>
  <c r="L13" i="29"/>
  <c r="M13" i="29"/>
  <c r="N13" i="29"/>
  <c r="O13" i="29"/>
  <c r="P13" i="29"/>
  <c r="P18" i="29"/>
  <c r="O18" i="29"/>
  <c r="P35" i="34"/>
  <c r="P37" i="34"/>
  <c r="P39" i="34"/>
  <c r="O6" i="34"/>
  <c r="O8" i="34"/>
  <c r="O14" i="28"/>
  <c r="O9" i="34"/>
  <c r="N40" i="29"/>
  <c r="O15" i="34"/>
  <c r="O22" i="34"/>
  <c r="O23" i="34"/>
  <c r="N30" i="29"/>
  <c r="N32" i="29"/>
  <c r="O26" i="34"/>
  <c r="O27" i="34"/>
  <c r="O29" i="34"/>
  <c r="O31" i="34"/>
  <c r="O32" i="34"/>
  <c r="O33" i="34"/>
  <c r="N14" i="29"/>
  <c r="N18" i="29"/>
  <c r="O35" i="34"/>
  <c r="O37" i="34"/>
  <c r="O39" i="34"/>
  <c r="N6" i="34"/>
  <c r="N8" i="34"/>
  <c r="N14" i="28"/>
  <c r="N9" i="34"/>
  <c r="M40" i="29"/>
  <c r="N15" i="34"/>
  <c r="N22" i="34"/>
  <c r="N23" i="34"/>
  <c r="M30" i="29"/>
  <c r="M32" i="29"/>
  <c r="N26" i="34"/>
  <c r="N27" i="34"/>
  <c r="N29" i="34"/>
  <c r="N31" i="34"/>
  <c r="N32" i="34"/>
  <c r="N33" i="34"/>
  <c r="M14" i="29"/>
  <c r="M18" i="29"/>
  <c r="N35" i="34"/>
  <c r="N37" i="34"/>
  <c r="N39" i="34"/>
  <c r="M6" i="34"/>
  <c r="M8" i="34"/>
  <c r="M14" i="28"/>
  <c r="M9" i="34"/>
  <c r="L40" i="29"/>
  <c r="M15" i="34"/>
  <c r="M22" i="34"/>
  <c r="M23" i="34"/>
  <c r="L30" i="29"/>
  <c r="L32" i="29"/>
  <c r="M26" i="34"/>
  <c r="M27" i="34"/>
  <c r="M29" i="34"/>
  <c r="M31" i="34"/>
  <c r="M32" i="34"/>
  <c r="M33" i="34"/>
  <c r="L14" i="29"/>
  <c r="L18" i="29"/>
  <c r="M35" i="34"/>
  <c r="M37" i="34"/>
  <c r="M39" i="34"/>
  <c r="L6" i="34"/>
  <c r="L8" i="34"/>
  <c r="L14" i="28"/>
  <c r="L9" i="34"/>
  <c r="K40" i="29"/>
  <c r="L15" i="34"/>
  <c r="L22" i="34"/>
  <c r="L23" i="34"/>
  <c r="K30" i="29"/>
  <c r="K32" i="29"/>
  <c r="L26" i="34"/>
  <c r="L27" i="34"/>
  <c r="L29" i="34"/>
  <c r="L31" i="34"/>
  <c r="L32" i="34"/>
  <c r="L33" i="34"/>
  <c r="K14" i="29"/>
  <c r="K18" i="29"/>
  <c r="L35" i="34"/>
  <c r="L37" i="34"/>
  <c r="L39" i="34"/>
  <c r="K6" i="34"/>
  <c r="K8" i="34"/>
  <c r="K14" i="28"/>
  <c r="K9" i="34"/>
  <c r="J40" i="29"/>
  <c r="K15" i="34"/>
  <c r="K22" i="34"/>
  <c r="K23" i="34"/>
  <c r="J30" i="29"/>
  <c r="J32" i="29"/>
  <c r="K26" i="34"/>
  <c r="K27" i="34"/>
  <c r="K29" i="34"/>
  <c r="K31" i="34"/>
  <c r="K32" i="34"/>
  <c r="K33" i="34"/>
  <c r="J14" i="29"/>
  <c r="J18" i="29"/>
  <c r="K35" i="34"/>
  <c r="K37" i="34"/>
  <c r="K39" i="34"/>
  <c r="J6" i="34"/>
  <c r="J8" i="34"/>
  <c r="J14" i="28"/>
  <c r="J9" i="34"/>
  <c r="I40" i="29"/>
  <c r="J15" i="34"/>
  <c r="J22" i="34"/>
  <c r="J23" i="34"/>
  <c r="I30" i="29"/>
  <c r="I32" i="29"/>
  <c r="J26" i="34"/>
  <c r="J27" i="34"/>
  <c r="J29" i="34"/>
  <c r="J31" i="34"/>
  <c r="J32" i="34"/>
  <c r="J33" i="34"/>
  <c r="I14" i="29"/>
  <c r="I18" i="29"/>
  <c r="J35" i="34"/>
  <c r="J37" i="34"/>
  <c r="J39" i="34"/>
  <c r="I6" i="34"/>
  <c r="I8" i="34"/>
  <c r="I14" i="28"/>
  <c r="I9" i="34"/>
  <c r="H40" i="29"/>
  <c r="I15" i="34"/>
  <c r="I22" i="34"/>
  <c r="I23" i="34"/>
  <c r="I26" i="34"/>
  <c r="I27" i="34"/>
  <c r="I29" i="34"/>
  <c r="I31" i="34"/>
  <c r="I32" i="34"/>
  <c r="I33" i="34"/>
  <c r="H14" i="29"/>
  <c r="H18" i="29"/>
  <c r="I35" i="34"/>
  <c r="I37" i="34"/>
  <c r="I39" i="34"/>
  <c r="H6" i="34"/>
  <c r="H8" i="34"/>
  <c r="H14" i="28"/>
  <c r="H9" i="34"/>
  <c r="G40" i="29"/>
  <c r="H15" i="34"/>
  <c r="H22" i="34"/>
  <c r="H23" i="34"/>
  <c r="G30" i="29"/>
  <c r="G32" i="29"/>
  <c r="H26" i="34"/>
  <c r="H27" i="34"/>
  <c r="H29" i="34"/>
  <c r="H31" i="34"/>
  <c r="H32" i="34"/>
  <c r="H33" i="34"/>
  <c r="G14" i="29"/>
  <c r="G18" i="29"/>
  <c r="H35" i="34"/>
  <c r="H37" i="34"/>
  <c r="H39" i="34"/>
  <c r="G6" i="34"/>
  <c r="G8" i="34"/>
  <c r="G14" i="28"/>
  <c r="G9" i="34"/>
  <c r="G15" i="34"/>
  <c r="G22" i="34"/>
  <c r="G23" i="34"/>
  <c r="G26" i="34"/>
  <c r="G27" i="34"/>
  <c r="G29" i="34"/>
  <c r="G31" i="34"/>
  <c r="G32" i="34"/>
  <c r="G33" i="34"/>
  <c r="F15" i="29"/>
  <c r="F18" i="29"/>
  <c r="G35" i="34"/>
  <c r="G37" i="34"/>
  <c r="G39" i="34"/>
  <c r="G41" i="34"/>
  <c r="G39" i="29"/>
  <c r="H40" i="34"/>
  <c r="H41" i="34"/>
  <c r="H39" i="29"/>
  <c r="I40" i="34"/>
  <c r="I41" i="34"/>
  <c r="I39" i="29"/>
  <c r="J40" i="34"/>
  <c r="J41" i="34"/>
  <c r="J39" i="29"/>
  <c r="K40" i="34"/>
  <c r="K41" i="34"/>
  <c r="K39" i="29"/>
  <c r="L40" i="34"/>
  <c r="L41" i="34"/>
  <c r="L39" i="29"/>
  <c r="M40" i="34"/>
  <c r="M41" i="34"/>
  <c r="M39" i="29"/>
  <c r="N40" i="34"/>
  <c r="N41" i="34"/>
  <c r="N39" i="29"/>
  <c r="O40" i="34"/>
  <c r="O41" i="34"/>
  <c r="O39" i="29"/>
  <c r="P40" i="34"/>
  <c r="P41" i="34"/>
  <c r="P39" i="29"/>
  <c r="P44" i="29"/>
  <c r="O44" i="29"/>
  <c r="P13" i="32"/>
  <c r="P14" i="32"/>
  <c r="P15" i="32"/>
  <c r="P17" i="32"/>
  <c r="M34" i="29"/>
  <c r="M44" i="29"/>
  <c r="M48" i="29"/>
  <c r="G10" i="29"/>
  <c r="G24" i="29"/>
  <c r="G26" i="29"/>
  <c r="G34" i="29"/>
  <c r="G44" i="29"/>
  <c r="G48" i="29"/>
  <c r="G50" i="29"/>
  <c r="I19" i="32"/>
  <c r="I20" i="32"/>
  <c r="I21" i="32"/>
  <c r="I22" i="32"/>
  <c r="L10" i="29"/>
  <c r="L24" i="29"/>
  <c r="L26" i="29"/>
  <c r="L34" i="29"/>
  <c r="L44" i="29"/>
  <c r="L48" i="29"/>
  <c r="L50" i="29"/>
  <c r="G6" i="32"/>
  <c r="G8" i="32"/>
  <c r="G9" i="32"/>
  <c r="G10" i="32"/>
  <c r="G11" i="32"/>
  <c r="G13" i="32"/>
  <c r="G14" i="32"/>
  <c r="G15" i="32"/>
  <c r="G17" i="32"/>
  <c r="H10" i="29"/>
  <c r="H24" i="29"/>
  <c r="H26" i="29"/>
  <c r="H44" i="29"/>
  <c r="H48" i="29"/>
  <c r="H50" i="29"/>
  <c r="H19" i="32"/>
  <c r="H20" i="32"/>
  <c r="H21" i="32"/>
  <c r="H22" i="32"/>
  <c r="I32" i="14"/>
  <c r="J32" i="14"/>
  <c r="K32" i="14"/>
  <c r="L32" i="14"/>
  <c r="M32" i="14"/>
  <c r="N32" i="14"/>
  <c r="O32" i="14"/>
  <c r="P32" i="14"/>
  <c r="Q32" i="14"/>
  <c r="M6" i="32"/>
  <c r="M7" i="32"/>
  <c r="M8" i="32"/>
  <c r="M9" i="32"/>
  <c r="M10" i="32"/>
  <c r="M11" i="32"/>
  <c r="M13" i="32"/>
  <c r="M14" i="32"/>
  <c r="M15" i="32"/>
  <c r="M17" i="32"/>
  <c r="M10" i="29"/>
  <c r="M24" i="29"/>
  <c r="M26" i="29"/>
  <c r="M50" i="29"/>
  <c r="J6" i="32"/>
  <c r="J7" i="32"/>
  <c r="J8" i="32"/>
  <c r="J9" i="32"/>
  <c r="J10" i="32"/>
  <c r="J11" i="32"/>
  <c r="J44" i="29"/>
  <c r="I44" i="29"/>
  <c r="J13" i="32"/>
  <c r="J14" i="32"/>
  <c r="J15" i="32"/>
  <c r="J17" i="32"/>
  <c r="N19" i="32"/>
  <c r="N20" i="32"/>
  <c r="N21" i="32"/>
  <c r="N22" i="32"/>
  <c r="L46" i="29"/>
  <c r="K44" i="29"/>
  <c r="L13" i="32"/>
  <c r="I6" i="32"/>
  <c r="I7" i="32"/>
  <c r="I8" i="32"/>
  <c r="I9" i="32"/>
  <c r="I10" i="32"/>
  <c r="I11" i="32"/>
  <c r="I13" i="32"/>
  <c r="I14" i="32"/>
  <c r="I15" i="32"/>
  <c r="I17" i="32"/>
  <c r="O8" i="32"/>
  <c r="I34" i="29"/>
  <c r="H15" i="14"/>
  <c r="I15" i="14"/>
  <c r="H25" i="14"/>
  <c r="I25" i="14"/>
  <c r="I36" i="14"/>
  <c r="I20" i="14"/>
  <c r="J15" i="14"/>
  <c r="H14" i="14"/>
  <c r="I14" i="14"/>
  <c r="J14" i="14"/>
  <c r="K14" i="14"/>
  <c r="L14" i="14"/>
  <c r="M14" i="14"/>
  <c r="N14" i="14"/>
  <c r="O14" i="14"/>
  <c r="P14" i="14"/>
  <c r="P19" i="14"/>
  <c r="H24" i="14"/>
  <c r="I24" i="14"/>
  <c r="J24" i="14"/>
  <c r="K24" i="14"/>
  <c r="L24" i="14"/>
  <c r="M24" i="14"/>
  <c r="N24" i="14"/>
  <c r="O24" i="14"/>
  <c r="P24" i="14"/>
  <c r="P35" i="14"/>
  <c r="Q14" i="14"/>
  <c r="L19" i="32"/>
  <c r="L20" i="32"/>
  <c r="L21" i="32"/>
  <c r="L22" i="32"/>
  <c r="J19" i="32"/>
  <c r="J20" i="32"/>
  <c r="J21" i="32"/>
  <c r="J22" i="32"/>
  <c r="J35" i="14"/>
  <c r="J19" i="14"/>
  <c r="O10" i="29"/>
  <c r="O24" i="29"/>
  <c r="O26" i="29"/>
  <c r="O34" i="29"/>
  <c r="O48" i="29"/>
  <c r="O50" i="29"/>
  <c r="P19" i="32"/>
  <c r="P20" i="32"/>
  <c r="P21" i="32"/>
  <c r="P22" i="32"/>
  <c r="H89" i="11"/>
  <c r="H94" i="11"/>
  <c r="I93" i="11"/>
  <c r="J91" i="11"/>
  <c r="I88" i="11"/>
  <c r="I89" i="11"/>
  <c r="I94" i="11"/>
  <c r="J93" i="11"/>
  <c r="K91" i="11"/>
  <c r="J88" i="11"/>
  <c r="J89" i="11"/>
  <c r="J94" i="11"/>
  <c r="K93" i="11"/>
  <c r="L91" i="11"/>
  <c r="K88" i="11"/>
  <c r="K89" i="11"/>
  <c r="K94" i="11"/>
  <c r="L93" i="11"/>
  <c r="M91" i="11"/>
  <c r="L88" i="11"/>
  <c r="L89" i="11"/>
  <c r="L94" i="11"/>
  <c r="M93" i="11"/>
  <c r="N91" i="11"/>
  <c r="M88" i="11"/>
  <c r="M89" i="11"/>
  <c r="M94" i="11"/>
  <c r="N93" i="11"/>
  <c r="O91" i="11"/>
  <c r="N88" i="11"/>
  <c r="N89" i="11"/>
  <c r="N94" i="11"/>
  <c r="O93" i="11"/>
  <c r="P91" i="11"/>
  <c r="F35" i="34"/>
  <c r="F37" i="34"/>
  <c r="F39" i="34"/>
  <c r="M46" i="29"/>
  <c r="N6" i="32"/>
  <c r="H9" i="32"/>
  <c r="J10" i="29"/>
  <c r="J24" i="29"/>
  <c r="J26" i="29"/>
  <c r="J34" i="29"/>
  <c r="J48" i="29"/>
  <c r="J50" i="29"/>
  <c r="K10" i="29"/>
  <c r="K24" i="29"/>
  <c r="K26" i="29"/>
  <c r="K34" i="29"/>
  <c r="K48" i="29"/>
  <c r="L6" i="32"/>
  <c r="N10" i="29"/>
  <c r="N24" i="29"/>
  <c r="N26" i="29"/>
  <c r="N34" i="29"/>
  <c r="N44" i="29"/>
  <c r="N48" i="29"/>
  <c r="N50" i="29"/>
  <c r="J25" i="14"/>
  <c r="K25" i="14"/>
  <c r="L25" i="14"/>
  <c r="M25" i="14"/>
  <c r="N25" i="14"/>
  <c r="O25" i="14"/>
  <c r="P25" i="14"/>
  <c r="P10" i="29"/>
  <c r="P24" i="29"/>
  <c r="P26" i="29"/>
  <c r="P34" i="29"/>
  <c r="P48" i="29"/>
  <c r="P50" i="29"/>
  <c r="N43" i="34"/>
  <c r="M43" i="34"/>
  <c r="M44" i="34"/>
  <c r="J43" i="34"/>
  <c r="P46" i="29"/>
  <c r="P31" i="11"/>
  <c r="P35" i="11"/>
  <c r="L7" i="32"/>
  <c r="L8" i="32"/>
  <c r="L9" i="32"/>
  <c r="L10" i="32"/>
  <c r="L11" i="32"/>
  <c r="L14" i="32"/>
  <c r="L15" i="32"/>
  <c r="L17" i="32"/>
  <c r="H46" i="29"/>
  <c r="H13" i="32"/>
  <c r="O6" i="32"/>
  <c r="O7" i="32"/>
  <c r="O9" i="32"/>
  <c r="O10" i="32"/>
  <c r="O11" i="32"/>
  <c r="N46" i="29"/>
  <c r="N13" i="32"/>
  <c r="F26" i="29"/>
  <c r="F50" i="29"/>
  <c r="K15" i="14"/>
  <c r="L15" i="14"/>
  <c r="M15" i="14"/>
  <c r="M36" i="14"/>
  <c r="N15" i="14"/>
  <c r="M20" i="14"/>
  <c r="O15" i="14"/>
  <c r="P15" i="14"/>
  <c r="P36" i="14"/>
  <c r="P20" i="14"/>
  <c r="Q15" i="14"/>
  <c r="H20" i="14"/>
  <c r="H36" i="14"/>
  <c r="Q24" i="14"/>
  <c r="O35" i="14"/>
  <c r="O19" i="14"/>
  <c r="O46" i="29"/>
  <c r="O13" i="32"/>
  <c r="I19" i="14"/>
  <c r="I35" i="14"/>
  <c r="O88" i="11"/>
  <c r="O89" i="11"/>
  <c r="P88" i="11"/>
  <c r="P89" i="11"/>
  <c r="O94" i="11"/>
  <c r="P93" i="11"/>
  <c r="P94" i="11"/>
  <c r="K6" i="32"/>
  <c r="K7" i="32"/>
  <c r="K8" i="32"/>
  <c r="K9" i="32"/>
  <c r="K10" i="32"/>
  <c r="K11" i="32"/>
  <c r="K13" i="32"/>
  <c r="K14" i="32"/>
  <c r="K15" i="32"/>
  <c r="K17" i="32"/>
  <c r="N9" i="32"/>
  <c r="G19" i="32"/>
  <c r="G20" i="32"/>
  <c r="G21" i="32"/>
  <c r="G22" i="32"/>
  <c r="N44" i="34"/>
  <c r="K43" i="34"/>
  <c r="H6" i="32"/>
  <c r="H8" i="32"/>
  <c r="H10" i="32"/>
  <c r="H11" i="32"/>
  <c r="H14" i="32"/>
  <c r="H15" i="32"/>
  <c r="H17" i="32"/>
  <c r="G43" i="34"/>
  <c r="O14" i="32"/>
  <c r="O15" i="32"/>
  <c r="O17" i="32"/>
  <c r="I10" i="29"/>
  <c r="I24" i="29"/>
  <c r="I26" i="29"/>
  <c r="I48" i="29"/>
  <c r="I50" i="29"/>
  <c r="J46" i="29"/>
  <c r="Q20" i="14"/>
  <c r="Q25" i="14"/>
  <c r="Q36" i="14"/>
  <c r="O36" i="14"/>
  <c r="O20" i="14"/>
  <c r="K20" i="14"/>
  <c r="K36" i="14"/>
  <c r="N35" i="14"/>
  <c r="N19" i="14"/>
  <c r="P21" i="11"/>
  <c r="P25" i="11"/>
  <c r="L35" i="14"/>
  <c r="L19" i="14"/>
  <c r="H19" i="14"/>
  <c r="H35" i="14"/>
  <c r="F41" i="34"/>
  <c r="F44" i="34"/>
  <c r="F46" i="29"/>
  <c r="O19" i="32"/>
  <c r="O20" i="32"/>
  <c r="O21" i="32"/>
  <c r="O22" i="32"/>
  <c r="F8" i="32"/>
  <c r="F11" i="32"/>
  <c r="F17" i="32"/>
  <c r="N8" i="32"/>
  <c r="K19" i="32"/>
  <c r="K20" i="32"/>
  <c r="K21" i="32"/>
  <c r="K22" i="32"/>
  <c r="K46" i="29"/>
  <c r="I43" i="34"/>
  <c r="I44" i="34"/>
  <c r="G46" i="29"/>
  <c r="Q8" i="14"/>
  <c r="O43" i="34"/>
  <c r="O44" i="34"/>
  <c r="L43" i="34"/>
  <c r="K44" i="34"/>
  <c r="H43" i="34"/>
  <c r="G44" i="34"/>
  <c r="L36" i="14"/>
  <c r="L20" i="14"/>
  <c r="N7" i="32"/>
  <c r="N10" i="32"/>
  <c r="N11" i="32"/>
  <c r="N14" i="32"/>
  <c r="N15" i="32"/>
  <c r="N17" i="32"/>
  <c r="J44" i="34"/>
  <c r="I46" i="29"/>
  <c r="M19" i="32"/>
  <c r="M20" i="32"/>
  <c r="M21" i="32"/>
  <c r="M22" i="32"/>
  <c r="N20" i="14"/>
  <c r="N36" i="14"/>
  <c r="J36" i="14"/>
  <c r="J20" i="14"/>
  <c r="Q35" i="14"/>
  <c r="Q19" i="14"/>
  <c r="M35" i="14"/>
  <c r="M19" i="14"/>
  <c r="K35" i="14"/>
  <c r="K19" i="14"/>
  <c r="K50" i="29"/>
  <c r="P43" i="34"/>
  <c r="P44" i="34"/>
  <c r="L44" i="34"/>
  <c r="H44" i="34"/>
  <c r="N10" i="21"/>
  <c r="O21" i="14"/>
  <c r="O11" i="14"/>
  <c r="L10" i="21"/>
  <c r="Q46" i="14"/>
  <c r="O10" i="21"/>
  <c r="P21" i="14"/>
  <c r="P11" i="14"/>
  <c r="G10" i="21"/>
  <c r="P10" i="21"/>
  <c r="P18" i="21"/>
  <c r="P10" i="28"/>
  <c r="Q11" i="14"/>
  <c r="Q21" i="14"/>
  <c r="M21" i="14"/>
  <c r="M11" i="14"/>
  <c r="H10" i="21"/>
  <c r="O18" i="21"/>
  <c r="O10" i="28"/>
  <c r="P46" i="14"/>
  <c r="N18" i="21"/>
  <c r="N10" i="28"/>
  <c r="O46" i="14"/>
  <c r="M10" i="21"/>
  <c r="M10" i="28"/>
  <c r="M18" i="21"/>
  <c r="N11" i="14"/>
  <c r="N21" i="14"/>
  <c r="K46" i="14"/>
  <c r="I10" i="21"/>
  <c r="J11" i="14"/>
  <c r="J21" i="14"/>
  <c r="L46" i="14"/>
  <c r="J10" i="21"/>
  <c r="J10" i="28"/>
  <c r="J18" i="21"/>
  <c r="K11" i="14"/>
  <c r="K21" i="14"/>
  <c r="I21" i="14"/>
  <c r="I11" i="14"/>
  <c r="H46" i="14"/>
  <c r="N46" i="14"/>
  <c r="L18" i="21"/>
  <c r="L10" i="28"/>
  <c r="M46" i="14"/>
  <c r="K10" i="21"/>
  <c r="K18" i="21"/>
  <c r="K10" i="28"/>
  <c r="L11" i="14"/>
  <c r="L21" i="14"/>
  <c r="I10" i="28"/>
  <c r="I18" i="21"/>
  <c r="J46" i="14"/>
  <c r="H10" i="28"/>
  <c r="H18" i="21"/>
  <c r="I46" i="14"/>
  <c r="G10" i="28"/>
  <c r="G18" i="21"/>
  <c r="H21" i="14"/>
  <c r="H11" i="14"/>
  <c r="C47" i="26" l="1"/>
  <c r="C52" i="26" s="1"/>
  <c r="C55" i="26" s="1"/>
  <c r="C62" i="26" l="1"/>
  <c r="C57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Kuldeep</author>
  </authors>
  <commentList>
    <comment ref="B2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Includes-
Advance from Customers
Deferred Revenue
Statutory Dues</t>
        </r>
      </text>
    </comment>
    <comment ref="B3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Security Deposits</t>
        </r>
      </text>
    </comment>
    <comment ref="B4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Employee related &amp; Inter-corporate deposits</t>
        </r>
      </text>
    </comment>
    <comment ref="B4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Capital Advances; Prepaid expenses</t>
        </r>
      </text>
    </comment>
    <comment ref="B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Prepaid Exp., Balance with Rev. Auth.</t>
        </r>
      </text>
    </comment>
    <comment ref="B5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Security deposits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Kuldeep</author>
  </authors>
  <commentList>
    <comment ref="B14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Deferred Revenue</t>
        </r>
      </text>
    </comment>
    <comment ref="B16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Provision for Employee Benefits
Prov. For Warranties</t>
        </r>
      </text>
    </comment>
    <comment ref="B23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Includes-
Advance from Customers
Deferred Revenue
Statutory Dues</t>
        </r>
      </text>
    </comment>
    <comment ref="B30" authorId="0" shapeId="0" xr:uid="{00000000-0006-0000-0F00-000004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Invt. In -
Subsidiaries
Associates
JVs
Debt Mutual Funds</t>
        </r>
      </text>
    </comment>
    <comment ref="B40" authorId="0" shapeId="0" xr:uid="{00000000-0006-0000-0F00-000005000000}">
      <text>
        <r>
          <rPr>
            <b/>
            <sz val="9"/>
            <color indexed="81"/>
            <rFont val="Tahoma"/>
            <family val="2"/>
          </rPr>
          <t>Kuldeep:</t>
        </r>
        <r>
          <rPr>
            <sz val="9"/>
            <color indexed="81"/>
            <rFont val="Tahoma"/>
            <family val="2"/>
          </rPr>
          <t xml:space="preserve">
Invt. In Debt Mutual Funds</t>
        </r>
      </text>
    </comment>
  </commentList>
</comments>
</file>

<file path=xl/sharedStrings.xml><?xml version="1.0" encoding="utf-8"?>
<sst xmlns="http://schemas.openxmlformats.org/spreadsheetml/2006/main" count="811" uniqueCount="318">
  <si>
    <t>Other Income</t>
  </si>
  <si>
    <t>Other Expenses</t>
  </si>
  <si>
    <t>Depreciation &amp; Amortization</t>
  </si>
  <si>
    <t>Interest</t>
  </si>
  <si>
    <t>Taxes</t>
  </si>
  <si>
    <t>ROE</t>
  </si>
  <si>
    <t>Shareholder Funds</t>
  </si>
  <si>
    <t>Share Capital</t>
  </si>
  <si>
    <t>Reserves &amp; Surplus</t>
  </si>
  <si>
    <t>Long Term Liabilities</t>
  </si>
  <si>
    <t>Loans</t>
  </si>
  <si>
    <t>Current Liabilities</t>
  </si>
  <si>
    <t>Total</t>
  </si>
  <si>
    <t>Long Term Assets</t>
  </si>
  <si>
    <t>Capital Work in Progress</t>
  </si>
  <si>
    <t>Current Assets</t>
  </si>
  <si>
    <t>Receivables</t>
  </si>
  <si>
    <t>Cash &amp; Bank Balances</t>
  </si>
  <si>
    <t>Loans &amp; Advances</t>
  </si>
  <si>
    <t>Other Current Assets</t>
  </si>
  <si>
    <t>Check</t>
  </si>
  <si>
    <t>Money Received against Warrants</t>
  </si>
  <si>
    <t>Long Term Provisions</t>
  </si>
  <si>
    <t>Short Term Borrowings</t>
  </si>
  <si>
    <t>Trade Payables</t>
  </si>
  <si>
    <t>Short Term Provisions</t>
  </si>
  <si>
    <t>Other Current Liabilities</t>
  </si>
  <si>
    <t>Tangible Assets</t>
  </si>
  <si>
    <t>Intangible Assets</t>
  </si>
  <si>
    <t>Long Term Loans and Advances</t>
  </si>
  <si>
    <t>Other Non Current Assets</t>
  </si>
  <si>
    <t>Inventories</t>
  </si>
  <si>
    <t>ROA</t>
  </si>
  <si>
    <t>Interest Coverage</t>
  </si>
  <si>
    <t>Assets / Equity</t>
  </si>
  <si>
    <t>Minority Interest</t>
  </si>
  <si>
    <t>Share Application Money Pending Allotment</t>
  </si>
  <si>
    <t>Other Long Term Liabilities</t>
  </si>
  <si>
    <t>Intangible Assets Under Development</t>
  </si>
  <si>
    <t>Non-Current Investments</t>
  </si>
  <si>
    <t>Profit Before Taxes</t>
  </si>
  <si>
    <t>Profit Before Exceptional Items and Taxes</t>
  </si>
  <si>
    <t>Profit for the Year</t>
  </si>
  <si>
    <t>Asset Turnover</t>
  </si>
  <si>
    <t>EBIT</t>
  </si>
  <si>
    <t>Employee Cost</t>
  </si>
  <si>
    <t>Raw Materials</t>
  </si>
  <si>
    <t>Purchases</t>
  </si>
  <si>
    <t>Changes in Stock in Trade</t>
  </si>
  <si>
    <t>Exceptional Items</t>
  </si>
  <si>
    <t>Deferred Tax Liabilities</t>
  </si>
  <si>
    <t>Investments</t>
  </si>
  <si>
    <t>Growth</t>
  </si>
  <si>
    <t>Other Finance Liabilities</t>
  </si>
  <si>
    <t>Tax Liabilities</t>
  </si>
  <si>
    <t>Other Financial Assets</t>
  </si>
  <si>
    <t>Current Tax Asset</t>
  </si>
  <si>
    <t>Domestic</t>
  </si>
  <si>
    <t>Exports</t>
  </si>
  <si>
    <t>Growth in Domestic Sales</t>
  </si>
  <si>
    <t>Growth in Export Sales</t>
  </si>
  <si>
    <t>Growth in Total Sales</t>
  </si>
  <si>
    <t>Industry Data</t>
  </si>
  <si>
    <t>Domestic Sales</t>
  </si>
  <si>
    <t>Market Share</t>
  </si>
  <si>
    <t>Overall</t>
  </si>
  <si>
    <t>Revenue Per Car</t>
  </si>
  <si>
    <t>Assets per Car Capacity</t>
  </si>
  <si>
    <t>Capex on Account of New Capacity</t>
  </si>
  <si>
    <t>Capex on Account of Wear and Tear</t>
  </si>
  <si>
    <t>Total Capex</t>
  </si>
  <si>
    <t>INR</t>
  </si>
  <si>
    <t>% change</t>
  </si>
  <si>
    <t>Rf</t>
  </si>
  <si>
    <t>Beta</t>
  </si>
  <si>
    <t>Rm</t>
  </si>
  <si>
    <t>10-year bond yield</t>
  </si>
  <si>
    <t>using SLOPE function</t>
  </si>
  <si>
    <t>Equity Risk Premium</t>
  </si>
  <si>
    <t>Particulars</t>
  </si>
  <si>
    <t>(in INR Millions)</t>
  </si>
  <si>
    <t>Revenue from operations [Net]</t>
  </si>
  <si>
    <t>INCOME</t>
  </si>
  <si>
    <t>EXPENSES</t>
  </si>
  <si>
    <t>TOTAL</t>
  </si>
  <si>
    <t>Own Used Vehicles</t>
  </si>
  <si>
    <t>Add: Depreciation and amortisation</t>
  </si>
  <si>
    <t>Changes in working capital:</t>
  </si>
  <si>
    <t>Net Cash Flow From Operations Activities</t>
  </si>
  <si>
    <t>Cash Flow from Investing Activities</t>
  </si>
  <si>
    <t>Interest paid</t>
  </si>
  <si>
    <t>Additions to minority interest</t>
  </si>
  <si>
    <t>Proceeds from issue of equity share capital</t>
  </si>
  <si>
    <t>Increase/(Decrease) in Cash and Cash Equivalents</t>
  </si>
  <si>
    <t>Cash and Cash Equivalents at the beginning of the year</t>
  </si>
  <si>
    <t>Cash and Cash Equivalents at the end of the year</t>
  </si>
  <si>
    <t>Audited</t>
  </si>
  <si>
    <t>Estimated</t>
  </si>
  <si>
    <t>Projected</t>
  </si>
  <si>
    <t>SOURCES OF FUNDS</t>
  </si>
  <si>
    <t>APPLICATION OF FUNDS</t>
  </si>
  <si>
    <t>UOM</t>
  </si>
  <si>
    <t>Nos.</t>
  </si>
  <si>
    <t>Capacity Enhancement</t>
  </si>
  <si>
    <t>%</t>
  </si>
  <si>
    <t>Net Block</t>
  </si>
  <si>
    <t>Total Dep. During the Year</t>
  </si>
  <si>
    <t xml:space="preserve">Total Gross Block </t>
  </si>
  <si>
    <t>Total Additions</t>
  </si>
  <si>
    <t xml:space="preserve">Total Accumulated Depreciation </t>
  </si>
  <si>
    <t>Total Net Block</t>
  </si>
  <si>
    <t>Equipment</t>
  </si>
  <si>
    <t>Buildings</t>
  </si>
  <si>
    <t>Vehicles</t>
  </si>
  <si>
    <t>Addition</t>
  </si>
  <si>
    <t>Freehold Land</t>
  </si>
  <si>
    <t>Leasehold Land</t>
  </si>
  <si>
    <t>P&amp;M</t>
  </si>
  <si>
    <t>Furniture &amp; Fixtures</t>
  </si>
  <si>
    <t>Gross Carrying Amount</t>
  </si>
  <si>
    <t>Disposal/Adjustments</t>
  </si>
  <si>
    <t>Balance at end of Year 4</t>
  </si>
  <si>
    <t>Balance at end of Year 5</t>
  </si>
  <si>
    <t>Accumulated depreciation</t>
  </si>
  <si>
    <t>Balance at end of Year 3</t>
  </si>
  <si>
    <t>Depreciation Expense</t>
  </si>
  <si>
    <t>Carrying Amount</t>
  </si>
  <si>
    <t>Disposal/Adjustment</t>
  </si>
  <si>
    <t>Opening Gross Block</t>
  </si>
  <si>
    <t>Closing Gross Block</t>
  </si>
  <si>
    <t>Accumulated Depreciation</t>
  </si>
  <si>
    <t>Depreciation for the year</t>
  </si>
  <si>
    <t>Plant &amp; Machinery</t>
  </si>
  <si>
    <t>Reversal</t>
  </si>
  <si>
    <t>Amortisation for the year</t>
  </si>
  <si>
    <t>Accumulated Amortisation</t>
  </si>
  <si>
    <t>Months in operation</t>
  </si>
  <si>
    <t>Capacity Utilisation</t>
  </si>
  <si>
    <t>Installed Capacity</t>
  </si>
  <si>
    <t>Annual Production Capacity</t>
  </si>
  <si>
    <t>NA</t>
  </si>
  <si>
    <t>Sales Growth</t>
  </si>
  <si>
    <t>Sales</t>
  </si>
  <si>
    <t>Total Revenue</t>
  </si>
  <si>
    <t>INR in Mn.</t>
  </si>
  <si>
    <t>Assumption Type</t>
  </si>
  <si>
    <t>Growth in Industry Sales</t>
  </si>
  <si>
    <t>SALES FORECAST</t>
  </si>
  <si>
    <t>COST DRIVERS</t>
  </si>
  <si>
    <t>Total Depreciation for the Year</t>
  </si>
  <si>
    <t>Reversals</t>
  </si>
  <si>
    <t>Civil</t>
  </si>
  <si>
    <t>PM</t>
  </si>
  <si>
    <t>BALANCE SHEET</t>
  </si>
  <si>
    <t>INCOME STATEMENT</t>
  </si>
  <si>
    <t>Less: Taxes on EBIT</t>
  </si>
  <si>
    <t>Less: Capex</t>
  </si>
  <si>
    <t>Shares Outstanding</t>
  </si>
  <si>
    <t>Cash Flow From Financing Activities</t>
  </si>
  <si>
    <t>Add: Finance cost</t>
  </si>
  <si>
    <t>Less: Income on Investments</t>
  </si>
  <si>
    <t>Income on Investments</t>
  </si>
  <si>
    <t>Profit Before Tax</t>
  </si>
  <si>
    <t>Total Disposal</t>
  </si>
  <si>
    <t>WEIGHTED AVERAGE COST OF CAPITAL</t>
  </si>
  <si>
    <t>Proportion</t>
  </si>
  <si>
    <t>Weighted</t>
  </si>
  <si>
    <t>Cost of</t>
  </si>
  <si>
    <t>of Market</t>
  </si>
  <si>
    <t>Capital</t>
  </si>
  <si>
    <t>Value</t>
  </si>
  <si>
    <t>Debt (after-tax)</t>
  </si>
  <si>
    <t>Equity</t>
  </si>
  <si>
    <t>COST OF EQUITY</t>
  </si>
  <si>
    <t>CHECK</t>
  </si>
  <si>
    <t>Sale/Purchase of investments</t>
  </si>
  <si>
    <t>Increase/decrease in Non-Current Liabilities</t>
  </si>
  <si>
    <t>Dividend</t>
  </si>
  <si>
    <t>Nifty%</t>
  </si>
  <si>
    <t>Maruti %</t>
  </si>
  <si>
    <t>NIFTY</t>
  </si>
  <si>
    <t xml:space="preserve">Date </t>
  </si>
  <si>
    <t>% Return</t>
  </si>
  <si>
    <t>Close</t>
  </si>
  <si>
    <t>Date</t>
  </si>
  <si>
    <t>GeoMean of last 10 year Market returns</t>
  </si>
  <si>
    <t>Sensitivity Analysis</t>
  </si>
  <si>
    <t>Terminal Growth 
Rate</t>
  </si>
  <si>
    <t>Discount Rate</t>
  </si>
  <si>
    <t>EBITDA</t>
  </si>
  <si>
    <t>Scenario:</t>
  </si>
  <si>
    <t>Base Case</t>
  </si>
  <si>
    <t>Worst Case</t>
  </si>
  <si>
    <t>Best Case</t>
  </si>
  <si>
    <t>Hardcoded figures</t>
  </si>
  <si>
    <t>Calculated figures</t>
  </si>
  <si>
    <t>Yellow cell fill</t>
  </si>
  <si>
    <t>Assumptions</t>
  </si>
  <si>
    <t>Blue color</t>
  </si>
  <si>
    <t>Black color</t>
  </si>
  <si>
    <t>KPIs</t>
  </si>
  <si>
    <t>EBIT %</t>
  </si>
  <si>
    <t>GP%</t>
  </si>
  <si>
    <t>NP %</t>
  </si>
  <si>
    <t>Revenue % (y-o-y)</t>
  </si>
  <si>
    <t>EBITDA%</t>
  </si>
  <si>
    <t>WORKING CAPITAL ANALYSIS</t>
  </si>
  <si>
    <t>Liquidity ratios</t>
  </si>
  <si>
    <t>Quick ratio</t>
  </si>
  <si>
    <t>Current ratio</t>
  </si>
  <si>
    <t>DSO</t>
  </si>
  <si>
    <t>DIO</t>
  </si>
  <si>
    <t>DPO</t>
  </si>
  <si>
    <t>Solvency ratios</t>
  </si>
  <si>
    <t>Debt ratio</t>
  </si>
  <si>
    <t>Revenue</t>
  </si>
  <si>
    <t>COGS%</t>
  </si>
  <si>
    <t>COGS</t>
  </si>
  <si>
    <t>Opex as % of Revenue</t>
  </si>
  <si>
    <t>Revenues</t>
  </si>
  <si>
    <t>Cost of sales</t>
  </si>
  <si>
    <t>Gross profit</t>
  </si>
  <si>
    <t>Operating expenses</t>
  </si>
  <si>
    <t>EBT</t>
  </si>
  <si>
    <t>Net Income</t>
  </si>
  <si>
    <t>Net income</t>
  </si>
  <si>
    <t xml:space="preserve"> </t>
  </si>
  <si>
    <t>Unlevered Free Cash Flow</t>
  </si>
  <si>
    <t>Interest expenses</t>
  </si>
  <si>
    <t>Enterprise Value</t>
  </si>
  <si>
    <t>Depreciation</t>
  </si>
  <si>
    <t>(INR in million)</t>
  </si>
  <si>
    <t>Opex</t>
  </si>
  <si>
    <t>Other Income as % of Revenue</t>
  </si>
  <si>
    <t>Effective Tax Rate</t>
  </si>
  <si>
    <t>Non-Current Liabilities</t>
  </si>
  <si>
    <t>Shareholders' Equity</t>
  </si>
  <si>
    <t>Others</t>
  </si>
  <si>
    <t>Non-Current Assets</t>
  </si>
  <si>
    <t>Total Liabilities &amp; Equity</t>
  </si>
  <si>
    <t>Working Capital</t>
  </si>
  <si>
    <t>Total Assets</t>
  </si>
  <si>
    <t>Debt-equity</t>
  </si>
  <si>
    <t>Net trade cycle</t>
  </si>
  <si>
    <t>Net Working Capital</t>
  </si>
  <si>
    <t>Adjustment for (increase)/decrease in Current assets:</t>
  </si>
  <si>
    <t>Generally:</t>
  </si>
  <si>
    <t>Liabilities in decreasing trend</t>
  </si>
  <si>
    <t>Assets in increasing trend</t>
  </si>
  <si>
    <t>CASH FLOW STATEMENT</t>
  </si>
  <si>
    <t>Adjustment for (increase)/decrease in Current Liabilities:</t>
  </si>
  <si>
    <t>Less: Income tax paid</t>
  </si>
  <si>
    <t>Capital expenditure on PP&amp;E and intangible assets</t>
  </si>
  <si>
    <t>Other Equity</t>
  </si>
  <si>
    <t>Changes in Other Equity</t>
  </si>
  <si>
    <t>Add: Depreciation</t>
  </si>
  <si>
    <t>Sum of PV of Cashflows</t>
  </si>
  <si>
    <t>Terminal Value</t>
  </si>
  <si>
    <t>Tax Rate</t>
  </si>
  <si>
    <t>Perpetual Growth Rate</t>
  </si>
  <si>
    <t>Current Market Price</t>
  </si>
  <si>
    <t>Plus: Cash &amp; Cash Equivalents:</t>
  </si>
  <si>
    <t>Less: Preferred Stock:</t>
  </si>
  <si>
    <t>Less: Noncontrolling Interests:</t>
  </si>
  <si>
    <t>DISCOUNTED CASH FLOW</t>
  </si>
  <si>
    <t>Unlevered FCFF</t>
  </si>
  <si>
    <t>Change in Working capital</t>
  </si>
  <si>
    <t>Inputs</t>
  </si>
  <si>
    <t>Intrinsic Value</t>
  </si>
  <si>
    <t>Add: PV of Terminal Value</t>
  </si>
  <si>
    <t>Equity Value:</t>
  </si>
  <si>
    <t>Less: Debt:</t>
  </si>
  <si>
    <t>Shares Outstanding:</t>
  </si>
  <si>
    <t>Equity Value/Share</t>
  </si>
  <si>
    <t>Market capitalization</t>
  </si>
  <si>
    <t>Market Value of debt</t>
  </si>
  <si>
    <t>WACC</t>
  </si>
  <si>
    <t>Market cap (INR Million)</t>
  </si>
  <si>
    <t>Upside Potential</t>
  </si>
  <si>
    <t>Case No.</t>
  </si>
  <si>
    <t>ASSUMPTIONS</t>
  </si>
  <si>
    <t>Long Term Loans</t>
  </si>
  <si>
    <t>Interest Rate</t>
  </si>
  <si>
    <t>Source of finance:</t>
  </si>
  <si>
    <t>Long-term debt</t>
  </si>
  <si>
    <t>FINANCING</t>
  </si>
  <si>
    <t>Long Term Surplus/Deficit</t>
  </si>
  <si>
    <t>Net Surplus/Deficit</t>
  </si>
  <si>
    <t>PAT</t>
  </si>
  <si>
    <t>(Increase)/Decrease in CA</t>
  </si>
  <si>
    <t>Increase/(Decrease) in CL</t>
  </si>
  <si>
    <t>Increase/(Decrease) in Non-Current Liab</t>
  </si>
  <si>
    <t>Increase/(Decrease) in Equity</t>
  </si>
  <si>
    <t>(Increase)/Decrease in Capex/Investments</t>
  </si>
  <si>
    <t>FIXED ASSETS SCHEDULE</t>
  </si>
  <si>
    <t>PP&amp;E + Intangibles</t>
  </si>
  <si>
    <t>as a % of revenue</t>
  </si>
  <si>
    <t>Increase in Industry growth rate</t>
  </si>
  <si>
    <t>Increase in Revenue growth rate</t>
  </si>
  <si>
    <t>Increase in Market share growth rate</t>
  </si>
  <si>
    <t>INR Mn.</t>
  </si>
  <si>
    <t>No. in Mn.</t>
  </si>
  <si>
    <t>COLOR CODE</t>
  </si>
  <si>
    <t>Debt</t>
  </si>
  <si>
    <t>FUND FLOW STATEMENT</t>
  </si>
  <si>
    <t>Additional Interest</t>
  </si>
  <si>
    <t>Share in Associates</t>
  </si>
  <si>
    <t>Profit before Share in Associates</t>
  </si>
  <si>
    <t>(Increase)/Decrease in W.Cap gap</t>
  </si>
  <si>
    <t>CoVar</t>
  </si>
  <si>
    <t>Var</t>
  </si>
  <si>
    <t xml:space="preserve">Maruti </t>
  </si>
  <si>
    <t>Year 1</t>
  </si>
  <si>
    <t>Year 2</t>
  </si>
  <si>
    <t>Year 3</t>
  </si>
  <si>
    <t>Year 4</t>
  </si>
  <si>
    <t>Company Sales Data</t>
  </si>
  <si>
    <t>Industry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</si>
</sst>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(* #,##0.00_);_(* \(#,##0.00\);_(* &quot;-&quot;??_);_(@_)"/>
    <numFmt numFmtId="164" formatCode="&quot;₹&quot;\ #,##0.00;[Red]&quot;₹&quot;\ \-#,##0.00"/>
    <numFmt numFmtId="165" formatCode="_ * #,##0_ ;_ * \-#,##0_ ;_ * &quot;-&quot;_ ;_ @_ "/>
    <numFmt numFmtId="166" formatCode="_ * #,##0.00_ ;_ * \-#,##0.00_ ;_ * &quot;-&quot;??_ ;_ @_ "/>
    <numFmt numFmtId="167" formatCode="_ * #,##0_ ;_ * \-#,##0_ ;_ * &quot;-&quot;??_ ;_ @_ "/>
    <numFmt numFmtId="168" formatCode="0.0%"/>
    <numFmt numFmtId="169" formatCode="_ * #,##0.0_ ;_ * \-#,##0.0_ ;_ * &quot;-&quot;??_ ;_ @_ "/>
    <numFmt numFmtId="170" formatCode="_ * #,##0_ ;_ * \-#,##0_ ;_ * &quot;-&quot;?_ ;_ @_ "/>
    <numFmt numFmtId="171" formatCode="&quot;Year&quot;\ 0"/>
    <numFmt numFmtId="172" formatCode="_(* #,##0_);_(* \(#,##0\);_(* &quot;-&quot;??_);_(@_)"/>
    <numFmt numFmtId="173" formatCode="0.00_)"/>
    <numFmt numFmtId="174" formatCode="0.0"/>
    <numFmt numFmtId="175" formatCode="m/d/yy;@"/>
    <numFmt numFmtId="176" formatCode="_-* #,##0\ &quot;DM&quot;_-;\-* #,##0\ &quot;DM&quot;_-;_-* &quot;-&quot;\ &quot;DM&quot;_-;_-@_-"/>
    <numFmt numFmtId="177" formatCode="#,##0.0000000"/>
    <numFmt numFmtId="178" formatCode=";;;"/>
    <numFmt numFmtId="179" formatCode="_(* #,##0.0_);_(* \(#,##0.0\);_(* &quot;-&quot;??_);_(@_)"/>
    <numFmt numFmtId="180" formatCode="_(* #,##0.000000_);_(* \(#,##0.000000\);_(* &quot;-&quot;??_);_(@_)"/>
    <numFmt numFmtId="181" formatCode="_ * #,##0.0_ ;_ * \-#,##0.0_ ;_ * &quot;-&quot;?_ ;_ @_ "/>
    <numFmt numFmtId="182" formatCode="#,##0.0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b/>
      <sz val="10"/>
      <color theme="1"/>
      <name val="Cambria"/>
      <family val="1"/>
    </font>
    <font>
      <b/>
      <u/>
      <sz val="10"/>
      <name val="Cambria"/>
      <family val="1"/>
    </font>
    <font>
      <b/>
      <sz val="18"/>
      <name val="Cambria"/>
      <family val="1"/>
    </font>
    <font>
      <sz val="8"/>
      <name val="Cambria"/>
      <family val="1"/>
    </font>
    <font>
      <sz val="11"/>
      <name val="Cambria"/>
      <family val="1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0"/>
      <name val="Cambria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 Light"/>
      <family val="2"/>
      <scheme val="maj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b/>
      <u/>
      <sz val="10"/>
      <color theme="1"/>
      <name val="Cambria"/>
      <family val="1"/>
    </font>
    <font>
      <b/>
      <i/>
      <sz val="1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name val="Arial"/>
      <family val="2"/>
    </font>
    <font>
      <b/>
      <u/>
      <sz val="11"/>
      <color theme="1"/>
      <name val="Cambria"/>
      <family val="1"/>
    </font>
    <font>
      <b/>
      <sz val="10"/>
      <color theme="0"/>
      <name val="Cambria"/>
      <family val="1"/>
    </font>
    <font>
      <b/>
      <sz val="11"/>
      <color theme="0"/>
      <name val="Cambria"/>
      <family val="1"/>
    </font>
    <font>
      <sz val="10"/>
      <color rgb="FF0070C0"/>
      <name val="Cambria"/>
      <family val="1"/>
    </font>
    <font>
      <i/>
      <sz val="11"/>
      <color theme="1"/>
      <name val="Cambria"/>
      <family val="1"/>
    </font>
    <font>
      <sz val="11"/>
      <color rgb="FF0070C0"/>
      <name val="Cambria"/>
      <family val="1"/>
    </font>
    <font>
      <b/>
      <u val="singleAccounting"/>
      <sz val="10"/>
      <name val="Cambria"/>
      <family val="1"/>
    </font>
    <font>
      <sz val="10"/>
      <name val="Arial"/>
      <family val="2"/>
      <charset val="204"/>
    </font>
    <font>
      <b/>
      <sz val="9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  <font>
      <b/>
      <sz val="9"/>
      <color theme="1"/>
      <name val="Cambria"/>
      <family val="1"/>
    </font>
    <font>
      <b/>
      <sz val="10"/>
      <color rgb="FF002060"/>
      <name val="Cambria"/>
      <family val="1"/>
    </font>
    <font>
      <b/>
      <sz val="12"/>
      <color theme="0"/>
      <name val="Cambria"/>
      <family val="1"/>
    </font>
    <font>
      <i/>
      <sz val="9"/>
      <name val="Cambria"/>
      <family val="1"/>
    </font>
    <font>
      <i/>
      <sz val="9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theme="1"/>
      <name val="Cambria"/>
      <family val="1"/>
    </font>
    <font>
      <b/>
      <sz val="9"/>
      <color rgb="FFFF0000"/>
      <name val="Cambria"/>
      <family val="1"/>
    </font>
    <font>
      <b/>
      <sz val="9"/>
      <color theme="0"/>
      <name val="Cambria"/>
      <family val="1"/>
    </font>
    <font>
      <b/>
      <sz val="11"/>
      <name val="Cambria"/>
      <family val="1"/>
    </font>
    <font>
      <b/>
      <u val="singleAccounting"/>
      <sz val="10"/>
      <color theme="1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  <font>
      <sz val="9"/>
      <color theme="1"/>
      <name val="Arial"/>
      <family val="2"/>
      <charset val="204"/>
    </font>
    <font>
      <sz val="14"/>
      <color theme="1"/>
      <name val="Cambria"/>
      <family val="1"/>
    </font>
    <font>
      <u/>
      <sz val="11"/>
      <color rgb="FF0070C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lightGray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0" fontId="13" fillId="0" borderId="0"/>
    <xf numFmtId="166" fontId="2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2" fillId="0" borderId="0"/>
    <xf numFmtId="0" fontId="16" fillId="0" borderId="0"/>
    <xf numFmtId="176" fontId="16" fillId="0" borderId="0"/>
    <xf numFmtId="0" fontId="16" fillId="0" borderId="0"/>
    <xf numFmtId="174" fontId="16" fillId="0" borderId="0"/>
    <xf numFmtId="0" fontId="2" fillId="0" borderId="0"/>
    <xf numFmtId="0" fontId="2" fillId="0" borderId="0"/>
    <xf numFmtId="0" fontId="18" fillId="0" borderId="0"/>
    <xf numFmtId="173" fontId="2" fillId="0" borderId="0"/>
    <xf numFmtId="0" fontId="17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175" fontId="2" fillId="0" borderId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5" fillId="0" borderId="0"/>
    <xf numFmtId="166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0" fontId="16" fillId="0" borderId="0">
      <alignment vertical="top"/>
    </xf>
    <xf numFmtId="43" fontId="33" fillId="0" borderId="0">
      <alignment vertical="top"/>
    </xf>
    <xf numFmtId="9" fontId="33" fillId="0" borderId="0">
      <alignment vertical="top"/>
    </xf>
    <xf numFmtId="166" fontId="2" fillId="0" borderId="0" applyFont="0" applyFill="0" applyBorder="0" applyAlignment="0" applyProtection="0"/>
  </cellStyleXfs>
  <cellXfs count="47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Fill="1"/>
    <xf numFmtId="167" fontId="6" fillId="0" borderId="0" xfId="1" applyNumberFormat="1" applyFont="1" applyFill="1"/>
    <xf numFmtId="0" fontId="6" fillId="0" borderId="0" xfId="0" applyFont="1" applyFill="1" applyAlignment="1">
      <alignment horizontal="right"/>
    </xf>
    <xf numFmtId="0" fontId="6" fillId="0" borderId="5" xfId="0" applyFont="1" applyFill="1" applyBorder="1"/>
    <xf numFmtId="0" fontId="7" fillId="0" borderId="5" xfId="0" applyFont="1" applyBorder="1"/>
    <xf numFmtId="0" fontId="6" fillId="0" borderId="1" xfId="0" applyFont="1" applyFill="1" applyBorder="1"/>
    <xf numFmtId="0" fontId="6" fillId="0" borderId="0" xfId="0" applyFont="1" applyFill="1" applyBorder="1"/>
    <xf numFmtId="0" fontId="5" fillId="0" borderId="1" xfId="0" applyFont="1" applyFill="1" applyBorder="1"/>
    <xf numFmtId="0" fontId="8" fillId="0" borderId="0" xfId="0" applyFont="1" applyFill="1" applyBorder="1"/>
    <xf numFmtId="167" fontId="6" fillId="0" borderId="0" xfId="0" applyNumberFormat="1" applyFont="1" applyFill="1"/>
    <xf numFmtId="3" fontId="6" fillId="0" borderId="0" xfId="1" applyNumberFormat="1" applyFont="1" applyFill="1" applyAlignment="1">
      <alignment horizontal="center"/>
    </xf>
    <xf numFmtId="0" fontId="5" fillId="0" borderId="2" xfId="0" applyFont="1" applyFill="1" applyBorder="1"/>
    <xf numFmtId="0" fontId="8" fillId="0" borderId="3" xfId="0" applyFont="1" applyFill="1" applyBorder="1"/>
    <xf numFmtId="3" fontId="6" fillId="0" borderId="0" xfId="0" applyNumberFormat="1" applyFont="1" applyFill="1" applyAlignment="1">
      <alignment horizontal="center"/>
    </xf>
    <xf numFmtId="3" fontId="6" fillId="0" borderId="0" xfId="1" applyNumberFormat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0" xfId="0" applyFont="1" applyFill="1" applyBorder="1"/>
    <xf numFmtId="3" fontId="5" fillId="0" borderId="0" xfId="1" applyNumberFormat="1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/>
    <xf numFmtId="0" fontId="6" fillId="0" borderId="0" xfId="0" applyFont="1" applyBorder="1"/>
    <xf numFmtId="167" fontId="6" fillId="0" borderId="0" xfId="1" applyNumberFormat="1" applyFont="1"/>
    <xf numFmtId="167" fontId="5" fillId="0" borderId="3" xfId="1" applyNumberFormat="1" applyFont="1" applyBorder="1"/>
    <xf numFmtId="10" fontId="6" fillId="0" borderId="0" xfId="2" applyNumberFormat="1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169" fontId="6" fillId="0" borderId="0" xfId="1" applyNumberFormat="1" applyFont="1" applyFill="1" applyBorder="1" applyAlignment="1">
      <alignment horizontal="center"/>
    </xf>
    <xf numFmtId="167" fontId="5" fillId="0" borderId="3" xfId="1" applyNumberFormat="1" applyFont="1" applyFill="1" applyBorder="1"/>
    <xf numFmtId="0" fontId="7" fillId="0" borderId="0" xfId="0" applyFont="1" applyBorder="1"/>
    <xf numFmtId="171" fontId="7" fillId="0" borderId="0" xfId="0" applyNumberFormat="1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0" xfId="0" applyFont="1" applyBorder="1"/>
    <xf numFmtId="172" fontId="0" fillId="0" borderId="0" xfId="0" applyNumberFormat="1"/>
    <xf numFmtId="0" fontId="0" fillId="0" borderId="0" xfId="0" applyAlignment="1">
      <alignment horizontal="center"/>
    </xf>
    <xf numFmtId="172" fontId="3" fillId="0" borderId="8" xfId="0" applyNumberFormat="1" applyFont="1" applyBorder="1"/>
    <xf numFmtId="0" fontId="3" fillId="0" borderId="0" xfId="0" applyFont="1" applyAlignment="1">
      <alignment horizontal="center" wrapText="1"/>
    </xf>
    <xf numFmtId="0" fontId="3" fillId="0" borderId="8" xfId="0" applyFont="1" applyBorder="1"/>
    <xf numFmtId="0" fontId="0" fillId="0" borderId="0" xfId="0"/>
    <xf numFmtId="0" fontId="4" fillId="0" borderId="0" xfId="0" applyFont="1"/>
    <xf numFmtId="172" fontId="3" fillId="0" borderId="10" xfId="0" applyNumberFormat="1" applyFont="1" applyBorder="1"/>
    <xf numFmtId="172" fontId="3" fillId="0" borderId="9" xfId="0" applyNumberFormat="1" applyFont="1" applyBorder="1"/>
    <xf numFmtId="172" fontId="3" fillId="0" borderId="8" xfId="0" applyNumberFormat="1" applyFont="1" applyBorder="1" applyAlignment="1">
      <alignment horizontal="center"/>
    </xf>
    <xf numFmtId="172" fontId="0" fillId="0" borderId="0" xfId="0" applyNumberFormat="1" applyAlignment="1">
      <alignment horizontal="center"/>
    </xf>
    <xf numFmtId="172" fontId="3" fillId="0" borderId="9" xfId="0" applyNumberFormat="1" applyFont="1" applyBorder="1" applyAlignment="1">
      <alignment horizontal="center"/>
    </xf>
    <xf numFmtId="172" fontId="3" fillId="0" borderId="10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2" fontId="3" fillId="3" borderId="0" xfId="0" applyNumberFormat="1" applyFont="1" applyFill="1" applyBorder="1" applyAlignment="1">
      <alignment horizontal="center"/>
    </xf>
    <xf numFmtId="172" fontId="3" fillId="3" borderId="3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center" vertical="top" wrapText="1"/>
    </xf>
    <xf numFmtId="0" fontId="5" fillId="0" borderId="0" xfId="21" applyFont="1" applyFill="1" applyBorder="1" applyAlignment="1">
      <alignment horizontal="center" vertical="top" wrapText="1"/>
    </xf>
    <xf numFmtId="0" fontId="6" fillId="0" borderId="0" xfId="21" applyFont="1" applyFill="1" applyBorder="1" applyAlignment="1">
      <alignment horizontal="center" vertical="top" wrapText="1"/>
    </xf>
    <xf numFmtId="1" fontId="6" fillId="0" borderId="0" xfId="21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9" fontId="6" fillId="0" borderId="0" xfId="32" applyNumberFormat="1" applyFont="1" applyFill="1" applyBorder="1" applyAlignment="1">
      <alignment vertical="top" wrapText="1"/>
    </xf>
    <xf numFmtId="9" fontId="6" fillId="0" borderId="0" xfId="32" applyFont="1" applyFill="1" applyBorder="1" applyAlignment="1">
      <alignment horizontal="center" vertical="top" wrapText="1"/>
    </xf>
    <xf numFmtId="2" fontId="6" fillId="0" borderId="0" xfId="21" applyNumberFormat="1" applyFont="1" applyFill="1" applyBorder="1" applyAlignment="1">
      <alignment horizontal="center" vertical="top" wrapText="1"/>
    </xf>
    <xf numFmtId="2" fontId="5" fillId="0" borderId="0" xfId="21" applyNumberFormat="1" applyFont="1" applyFill="1" applyBorder="1" applyAlignment="1">
      <alignment horizontal="center" vertical="top" wrapText="1"/>
    </xf>
    <xf numFmtId="0" fontId="8" fillId="0" borderId="0" xfId="21" applyFont="1" applyFill="1" applyBorder="1" applyAlignment="1">
      <alignment vertical="top" wrapText="1"/>
    </xf>
    <xf numFmtId="9" fontId="6" fillId="0" borderId="0" xfId="0" applyNumberFormat="1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21" applyFont="1" applyFill="1" applyBorder="1" applyAlignment="1">
      <alignment vertical="top" wrapText="1"/>
    </xf>
    <xf numFmtId="0" fontId="5" fillId="0" borderId="0" xfId="21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  <protection hidden="1"/>
    </xf>
    <xf numFmtId="2" fontId="6" fillId="0" borderId="0" xfId="0" applyNumberFormat="1" applyFont="1" applyFill="1" applyBorder="1" applyAlignment="1">
      <alignment vertical="top" wrapText="1"/>
    </xf>
    <xf numFmtId="166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/>
    <xf numFmtId="0" fontId="6" fillId="0" borderId="0" xfId="0" applyFont="1" applyFill="1" applyBorder="1"/>
    <xf numFmtId="0" fontId="19" fillId="0" borderId="0" xfId="0" applyFont="1"/>
    <xf numFmtId="0" fontId="6" fillId="0" borderId="0" xfId="0" applyFont="1" applyBorder="1" applyAlignment="1">
      <alignment horizontal="left"/>
    </xf>
    <xf numFmtId="0" fontId="6" fillId="0" borderId="1" xfId="0" applyFont="1" applyFill="1" applyBorder="1"/>
    <xf numFmtId="0" fontId="19" fillId="0" borderId="0" xfId="12" applyNumberFormat="1" applyFont="1" applyFill="1" applyBorder="1" applyAlignment="1">
      <alignment vertical="top"/>
    </xf>
    <xf numFmtId="173" fontId="7" fillId="0" borderId="0" xfId="12" applyNumberFormat="1" applyFont="1" applyFill="1" applyBorder="1" applyAlignment="1">
      <alignment vertical="top"/>
    </xf>
    <xf numFmtId="173" fontId="19" fillId="0" borderId="0" xfId="12" applyNumberFormat="1" applyFont="1" applyFill="1" applyAlignment="1">
      <alignment vertical="top"/>
    </xf>
    <xf numFmtId="166" fontId="6" fillId="0" borderId="0" xfId="1" applyFont="1" applyFill="1" applyBorder="1" applyAlignment="1">
      <alignment horizontal="center" vertical="top" wrapText="1"/>
    </xf>
    <xf numFmtId="43" fontId="6" fillId="0" borderId="0" xfId="0" applyNumberFormat="1" applyFont="1" applyFill="1" applyBorder="1" applyAlignment="1">
      <alignment vertical="top" wrapText="1"/>
    </xf>
    <xf numFmtId="166" fontId="6" fillId="0" borderId="0" xfId="1" applyFont="1" applyFill="1" applyBorder="1" applyAlignment="1">
      <alignment vertical="top" wrapText="1"/>
    </xf>
    <xf numFmtId="166" fontId="6" fillId="0" borderId="0" xfId="0" applyNumberFormat="1" applyFont="1" applyFill="1" applyBorder="1" applyAlignment="1">
      <alignment horizontal="center" vertical="top" wrapText="1"/>
    </xf>
    <xf numFmtId="0" fontId="8" fillId="0" borderId="0" xfId="2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0" fontId="23" fillId="0" borderId="0" xfId="0" applyNumberFormat="1" applyFont="1" applyAlignment="1">
      <alignment horizontal="center"/>
    </xf>
    <xf numFmtId="165" fontId="7" fillId="0" borderId="0" xfId="12" applyNumberFormat="1" applyFont="1" applyFill="1" applyBorder="1" applyAlignment="1">
      <alignment vertical="top"/>
    </xf>
    <xf numFmtId="0" fontId="19" fillId="0" borderId="0" xfId="0" applyFont="1" applyAlignment="1">
      <alignment horizontal="center"/>
    </xf>
    <xf numFmtId="167" fontId="19" fillId="0" borderId="0" xfId="0" applyNumberFormat="1" applyFont="1"/>
    <xf numFmtId="167" fontId="19" fillId="3" borderId="0" xfId="1" applyNumberFormat="1" applyFont="1" applyFill="1"/>
    <xf numFmtId="0" fontId="19" fillId="3" borderId="0" xfId="0" applyFont="1" applyFill="1"/>
    <xf numFmtId="3" fontId="19" fillId="3" borderId="0" xfId="0" applyNumberFormat="1" applyFont="1" applyFill="1"/>
    <xf numFmtId="167" fontId="19" fillId="3" borderId="0" xfId="0" applyNumberFormat="1" applyFont="1" applyFill="1"/>
    <xf numFmtId="9" fontId="19" fillId="0" borderId="0" xfId="12" applyNumberFormat="1" applyFont="1" applyFill="1" applyAlignment="1">
      <alignment vertical="top"/>
    </xf>
    <xf numFmtId="9" fontId="6" fillId="0" borderId="0" xfId="1" applyNumberFormat="1" applyFont="1" applyFill="1" applyAlignment="1">
      <alignment horizontal="center"/>
    </xf>
    <xf numFmtId="171" fontId="20" fillId="0" borderId="5" xfId="0" applyNumberFormat="1" applyFont="1" applyBorder="1" applyAlignment="1">
      <alignment horizontal="center"/>
    </xf>
    <xf numFmtId="168" fontId="6" fillId="0" borderId="0" xfId="1" applyNumberFormat="1" applyFont="1" applyBorder="1"/>
    <xf numFmtId="9" fontId="5" fillId="0" borderId="3" xfId="1" applyNumberFormat="1" applyFont="1" applyBorder="1"/>
    <xf numFmtId="9" fontId="5" fillId="0" borderId="3" xfId="1" applyNumberFormat="1" applyFont="1" applyFill="1" applyBorder="1"/>
    <xf numFmtId="0" fontId="5" fillId="0" borderId="5" xfId="0" applyFont="1" applyFill="1" applyBorder="1" applyAlignment="1">
      <alignment horizontal="centerContinuous"/>
    </xf>
    <xf numFmtId="0" fontId="6" fillId="0" borderId="5" xfId="0" applyFont="1" applyFill="1" applyBorder="1" applyAlignment="1">
      <alignment horizontal="centerContinuous"/>
    </xf>
    <xf numFmtId="167" fontId="6" fillId="0" borderId="5" xfId="1" applyNumberFormat="1" applyFont="1" applyFill="1" applyBorder="1" applyAlignment="1">
      <alignment horizontal="centerContinuous"/>
    </xf>
    <xf numFmtId="9" fontId="19" fillId="0" borderId="0" xfId="0" applyNumberFormat="1" applyFont="1"/>
    <xf numFmtId="167" fontId="19" fillId="0" borderId="0" xfId="0" applyNumberFormat="1" applyFont="1" applyAlignment="1">
      <alignment horizontal="center"/>
    </xf>
    <xf numFmtId="9" fontId="5" fillId="0" borderId="3" xfId="2" applyFont="1" applyFill="1" applyBorder="1" applyAlignment="1">
      <alignment horizontal="center"/>
    </xf>
    <xf numFmtId="9" fontId="5" fillId="0" borderId="3" xfId="1" applyNumberFormat="1" applyFont="1" applyFill="1" applyBorder="1" applyAlignment="1">
      <alignment horizontal="center"/>
    </xf>
    <xf numFmtId="9" fontId="5" fillId="0" borderId="0" xfId="1" applyNumberFormat="1" applyFont="1" applyFill="1" applyAlignment="1">
      <alignment horizontal="center"/>
    </xf>
    <xf numFmtId="0" fontId="7" fillId="0" borderId="0" xfId="0" applyFont="1"/>
    <xf numFmtId="0" fontId="10" fillId="0" borderId="0" xfId="0" applyFont="1" applyFill="1"/>
    <xf numFmtId="167" fontId="6" fillId="0" borderId="0" xfId="1" applyNumberFormat="1" applyFont="1" applyFill="1" applyBorder="1"/>
    <xf numFmtId="10" fontId="6" fillId="0" borderId="0" xfId="2" applyNumberFormat="1" applyFont="1" applyFill="1"/>
    <xf numFmtId="3" fontId="6" fillId="0" borderId="0" xfId="0" applyNumberFormat="1" applyFont="1" applyFill="1"/>
    <xf numFmtId="2" fontId="19" fillId="0" borderId="0" xfId="0" applyNumberFormat="1" applyFont="1" applyAlignment="1">
      <alignment horizontal="center"/>
    </xf>
    <xf numFmtId="9" fontId="5" fillId="0" borderId="3" xfId="0" applyNumberFormat="1" applyFont="1" applyFill="1" applyBorder="1"/>
    <xf numFmtId="173" fontId="19" fillId="0" borderId="13" xfId="12" applyNumberFormat="1" applyFont="1" applyFill="1" applyBorder="1" applyAlignment="1">
      <alignment vertical="top"/>
    </xf>
    <xf numFmtId="167" fontId="19" fillId="0" borderId="13" xfId="12" applyNumberFormat="1" applyFont="1" applyFill="1" applyBorder="1" applyAlignment="1">
      <alignment vertical="top"/>
    </xf>
    <xf numFmtId="0" fontId="1" fillId="0" borderId="0" xfId="40"/>
    <xf numFmtId="15" fontId="1" fillId="0" borderId="0" xfId="40" applyNumberFormat="1"/>
    <xf numFmtId="10" fontId="1" fillId="0" borderId="0" xfId="40" applyNumberFormat="1"/>
    <xf numFmtId="3" fontId="19" fillId="0" borderId="13" xfId="0" applyNumberFormat="1" applyFont="1" applyBorder="1"/>
    <xf numFmtId="0" fontId="14" fillId="0" borderId="0" xfId="0" applyFont="1" applyFill="1" applyBorder="1"/>
    <xf numFmtId="3" fontId="14" fillId="0" borderId="0" xfId="1" applyNumberFormat="1" applyFont="1" applyFill="1" applyAlignment="1">
      <alignment horizontal="center"/>
    </xf>
    <xf numFmtId="168" fontId="14" fillId="0" borderId="0" xfId="1" applyNumberFormat="1" applyFont="1" applyFill="1" applyAlignment="1">
      <alignment horizontal="center"/>
    </xf>
    <xf numFmtId="168" fontId="19" fillId="0" borderId="0" xfId="0" applyNumberFormat="1" applyFont="1"/>
    <xf numFmtId="10" fontId="19" fillId="0" borderId="13" xfId="0" applyNumberFormat="1" applyFont="1" applyBorder="1"/>
    <xf numFmtId="178" fontId="19" fillId="0" borderId="13" xfId="0" applyNumberFormat="1" applyFont="1" applyBorder="1"/>
    <xf numFmtId="3" fontId="19" fillId="5" borderId="13" xfId="0" applyNumberFormat="1" applyFont="1" applyFill="1" applyBorder="1"/>
    <xf numFmtId="167" fontId="19" fillId="0" borderId="0" xfId="12" applyNumberFormat="1" applyFont="1" applyFill="1" applyAlignment="1">
      <alignment vertical="top"/>
    </xf>
    <xf numFmtId="0" fontId="1" fillId="0" borderId="0" xfId="40" applyAlignment="1">
      <alignment horizontal="center"/>
    </xf>
    <xf numFmtId="15" fontId="1" fillId="0" borderId="0" xfId="40" applyNumberFormat="1" applyAlignment="1">
      <alignment horizontal="center"/>
    </xf>
    <xf numFmtId="4" fontId="1" fillId="0" borderId="0" xfId="40" applyNumberFormat="1" applyAlignment="1">
      <alignment horizontal="center"/>
    </xf>
    <xf numFmtId="10" fontId="1" fillId="0" borderId="0" xfId="40" applyNumberFormat="1" applyAlignment="1">
      <alignment horizontal="center"/>
    </xf>
    <xf numFmtId="177" fontId="1" fillId="0" borderId="0" xfId="40" applyNumberFormat="1" applyAlignment="1">
      <alignment horizontal="center"/>
    </xf>
    <xf numFmtId="0" fontId="26" fillId="0" borderId="0" xfId="40" applyFont="1" applyAlignment="1">
      <alignment horizontal="center"/>
    </xf>
    <xf numFmtId="167" fontId="6" fillId="0" borderId="0" xfId="21" applyNumberFormat="1" applyFont="1" applyFill="1" applyBorder="1" applyAlignment="1">
      <alignment horizontal="center" vertical="top" wrapText="1"/>
    </xf>
    <xf numFmtId="9" fontId="6" fillId="0" borderId="0" xfId="21" applyNumberFormat="1" applyFont="1" applyFill="1" applyBorder="1" applyAlignment="1">
      <alignment horizontal="center" vertical="top" wrapText="1"/>
    </xf>
    <xf numFmtId="0" fontId="19" fillId="0" borderId="0" xfId="21" applyFont="1" applyFill="1" applyBorder="1" applyAlignment="1">
      <alignment horizontal="center" vertical="top" wrapText="1"/>
    </xf>
    <xf numFmtId="167" fontId="5" fillId="0" borderId="0" xfId="21" applyNumberFormat="1" applyFont="1" applyFill="1" applyBorder="1" applyAlignment="1">
      <alignment horizontal="center" vertical="top" wrapText="1"/>
    </xf>
    <xf numFmtId="0" fontId="14" fillId="0" borderId="0" xfId="21" applyFont="1" applyFill="1" applyBorder="1" applyAlignment="1">
      <alignment vertical="top" wrapText="1"/>
    </xf>
    <xf numFmtId="0" fontId="14" fillId="0" borderId="0" xfId="21" applyFont="1" applyFill="1" applyBorder="1" applyAlignment="1">
      <alignment horizontal="center" vertical="top" wrapText="1"/>
    </xf>
    <xf numFmtId="168" fontId="6" fillId="0" borderId="0" xfId="21" applyNumberFormat="1" applyFont="1" applyFill="1" applyBorder="1" applyAlignment="1">
      <alignment horizontal="center" vertical="top" wrapText="1"/>
    </xf>
    <xf numFmtId="3" fontId="14" fillId="0" borderId="0" xfId="0" applyNumberFormat="1" applyFont="1" applyFill="1" applyBorder="1" applyAlignment="1">
      <alignment horizontal="center" vertical="top" wrapText="1"/>
    </xf>
    <xf numFmtId="9" fontId="14" fillId="0" borderId="0" xfId="0" applyNumberFormat="1" applyFont="1" applyFill="1" applyBorder="1" applyAlignment="1">
      <alignment horizontal="center" vertical="top" wrapText="1"/>
    </xf>
    <xf numFmtId="3" fontId="5" fillId="0" borderId="0" xfId="21" applyNumberFormat="1" applyFont="1" applyFill="1" applyBorder="1" applyAlignment="1">
      <alignment horizontal="center" vertical="top" wrapText="1"/>
    </xf>
    <xf numFmtId="3" fontId="14" fillId="0" borderId="0" xfId="21" applyNumberFormat="1" applyFont="1" applyFill="1" applyBorder="1" applyAlignment="1">
      <alignment horizontal="center" vertical="top" wrapText="1"/>
    </xf>
    <xf numFmtId="9" fontId="14" fillId="0" borderId="0" xfId="21" applyNumberFormat="1" applyFont="1" applyFill="1" applyBorder="1" applyAlignment="1">
      <alignment horizontal="center" vertical="top" wrapText="1"/>
    </xf>
    <xf numFmtId="0" fontId="6" fillId="0" borderId="16" xfId="21" applyFont="1" applyFill="1" applyBorder="1" applyAlignment="1">
      <alignment horizontal="center" vertical="top" wrapText="1"/>
    </xf>
    <xf numFmtId="0" fontId="22" fillId="0" borderId="16" xfId="0" applyFont="1" applyFill="1" applyBorder="1" applyAlignment="1">
      <alignment horizontal="center" vertical="top" wrapText="1"/>
    </xf>
    <xf numFmtId="171" fontId="7" fillId="7" borderId="0" xfId="0" applyNumberFormat="1" applyFont="1" applyFill="1" applyBorder="1" applyAlignment="1">
      <alignment horizontal="center"/>
    </xf>
    <xf numFmtId="10" fontId="14" fillId="7" borderId="0" xfId="2" applyNumberFormat="1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22" fillId="7" borderId="16" xfId="0" applyFont="1" applyFill="1" applyBorder="1" applyAlignment="1">
      <alignment horizontal="center" vertical="top" wrapText="1"/>
    </xf>
    <xf numFmtId="0" fontId="5" fillId="7" borderId="0" xfId="21" applyFont="1" applyFill="1" applyBorder="1" applyAlignment="1">
      <alignment horizontal="center" vertical="top" wrapText="1"/>
    </xf>
    <xf numFmtId="0" fontId="6" fillId="7" borderId="0" xfId="21" applyFont="1" applyFill="1" applyBorder="1" applyAlignment="1">
      <alignment horizontal="center" vertical="top" wrapText="1"/>
    </xf>
    <xf numFmtId="167" fontId="6" fillId="7" borderId="0" xfId="21" applyNumberFormat="1" applyFont="1" applyFill="1" applyBorder="1" applyAlignment="1">
      <alignment horizontal="center" vertical="top" wrapText="1"/>
    </xf>
    <xf numFmtId="9" fontId="6" fillId="7" borderId="0" xfId="21" applyNumberFormat="1" applyFont="1" applyFill="1" applyBorder="1" applyAlignment="1">
      <alignment horizontal="center" vertical="top" wrapText="1"/>
    </xf>
    <xf numFmtId="9" fontId="6" fillId="7" borderId="0" xfId="32" applyFont="1" applyFill="1" applyBorder="1" applyAlignment="1">
      <alignment horizontal="center" vertical="top" wrapText="1"/>
    </xf>
    <xf numFmtId="2" fontId="6" fillId="7" borderId="0" xfId="21" applyNumberFormat="1" applyFont="1" applyFill="1" applyBorder="1" applyAlignment="1">
      <alignment horizontal="center" vertical="top" wrapText="1"/>
    </xf>
    <xf numFmtId="170" fontId="6" fillId="7" borderId="0" xfId="21" applyNumberFormat="1" applyFont="1" applyFill="1" applyBorder="1" applyAlignment="1">
      <alignment horizontal="center" vertical="top" wrapText="1"/>
    </xf>
    <xf numFmtId="167" fontId="5" fillId="7" borderId="0" xfId="21" applyNumberFormat="1" applyFont="1" applyFill="1" applyBorder="1" applyAlignment="1">
      <alignment horizontal="center" vertical="top" wrapText="1"/>
    </xf>
    <xf numFmtId="168" fontId="6" fillId="7" borderId="0" xfId="21" applyNumberFormat="1" applyFont="1" applyFill="1" applyBorder="1" applyAlignment="1">
      <alignment horizontal="center" vertical="top" wrapText="1"/>
    </xf>
    <xf numFmtId="9" fontId="14" fillId="7" borderId="0" xfId="0" applyNumberFormat="1" applyFont="1" applyFill="1" applyBorder="1" applyAlignment="1">
      <alignment horizontal="center" vertical="top" wrapText="1"/>
    </xf>
    <xf numFmtId="3" fontId="5" fillId="7" borderId="0" xfId="21" applyNumberFormat="1" applyFont="1" applyFill="1" applyBorder="1" applyAlignment="1">
      <alignment horizontal="center" vertical="top" wrapText="1"/>
    </xf>
    <xf numFmtId="9" fontId="14" fillId="7" borderId="0" xfId="21" applyNumberFormat="1" applyFont="1" applyFill="1" applyBorder="1" applyAlignment="1">
      <alignment horizontal="center" vertical="top" wrapText="1"/>
    </xf>
    <xf numFmtId="0" fontId="5" fillId="9" borderId="0" xfId="21" applyFont="1" applyFill="1" applyBorder="1" applyAlignment="1">
      <alignment horizontal="centerContinuous" vertical="top" wrapText="1"/>
    </xf>
    <xf numFmtId="0" fontId="28" fillId="9" borderId="0" xfId="21" applyFont="1" applyFill="1" applyBorder="1" applyAlignment="1">
      <alignment horizontal="centerContinuous" vertical="top" wrapText="1"/>
    </xf>
    <xf numFmtId="0" fontId="6" fillId="10" borderId="0" xfId="21" applyFont="1" applyFill="1" applyBorder="1" applyAlignment="1">
      <alignment horizontal="center" vertical="top" wrapText="1"/>
    </xf>
    <xf numFmtId="168" fontId="6" fillId="10" borderId="0" xfId="21" applyNumberFormat="1" applyFont="1" applyFill="1" applyBorder="1" applyAlignment="1">
      <alignment horizontal="center" vertical="top" wrapText="1"/>
    </xf>
    <xf numFmtId="0" fontId="5" fillId="0" borderId="12" xfId="21" applyFont="1" applyFill="1" applyBorder="1" applyAlignment="1">
      <alignment vertical="top" wrapText="1"/>
    </xf>
    <xf numFmtId="0" fontId="5" fillId="0" borderId="12" xfId="21" applyFont="1" applyFill="1" applyBorder="1" applyAlignment="1">
      <alignment horizontal="center" vertical="top" wrapText="1"/>
    </xf>
    <xf numFmtId="167" fontId="5" fillId="0" borderId="12" xfId="21" applyNumberFormat="1" applyFont="1" applyFill="1" applyBorder="1" applyAlignment="1">
      <alignment horizontal="center" vertical="top" wrapText="1"/>
    </xf>
    <xf numFmtId="167" fontId="5" fillId="7" borderId="12" xfId="21" applyNumberFormat="1" applyFont="1" applyFill="1" applyBorder="1" applyAlignment="1">
      <alignment horizontal="center" vertical="top" wrapText="1"/>
    </xf>
    <xf numFmtId="9" fontId="5" fillId="0" borderId="12" xfId="21" applyNumberFormat="1" applyFont="1" applyFill="1" applyBorder="1" applyAlignment="1">
      <alignment horizontal="center" vertical="top" wrapText="1"/>
    </xf>
    <xf numFmtId="9" fontId="5" fillId="7" borderId="12" xfId="21" applyNumberFormat="1" applyFont="1" applyFill="1" applyBorder="1" applyAlignment="1">
      <alignment horizontal="center" vertical="top" wrapText="1"/>
    </xf>
    <xf numFmtId="0" fontId="22" fillId="0" borderId="12" xfId="21" applyFont="1" applyFill="1" applyBorder="1" applyAlignment="1">
      <alignment horizontal="center" vertical="top" wrapText="1"/>
    </xf>
    <xf numFmtId="3" fontId="5" fillId="0" borderId="12" xfId="0" applyNumberFormat="1" applyFont="1" applyFill="1" applyBorder="1" applyAlignment="1">
      <alignment horizontal="center" vertical="top" wrapText="1"/>
    </xf>
    <xf numFmtId="3" fontId="5" fillId="7" borderId="12" xfId="0" applyNumberFormat="1" applyFont="1" applyFill="1" applyBorder="1" applyAlignment="1">
      <alignment horizontal="center" vertical="top" wrapText="1"/>
    </xf>
    <xf numFmtId="10" fontId="14" fillId="11" borderId="19" xfId="21" applyNumberFormat="1" applyFont="1" applyFill="1" applyBorder="1" applyAlignment="1">
      <alignment horizontal="center" vertical="top" wrapText="1"/>
    </xf>
    <xf numFmtId="167" fontId="29" fillId="0" borderId="0" xfId="21" applyNumberFormat="1" applyFont="1" applyFill="1" applyBorder="1" applyAlignment="1">
      <alignment horizontal="center" vertical="top" wrapText="1"/>
    </xf>
    <xf numFmtId="0" fontId="24" fillId="4" borderId="0" xfId="0" applyFont="1" applyFill="1" applyAlignment="1">
      <alignment horizontal="center"/>
    </xf>
    <xf numFmtId="0" fontId="23" fillId="0" borderId="0" xfId="0" applyFont="1"/>
    <xf numFmtId="9" fontId="23" fillId="0" borderId="0" xfId="0" applyNumberFormat="1" applyFont="1"/>
    <xf numFmtId="3" fontId="23" fillId="0" borderId="0" xfId="0" applyNumberFormat="1" applyFont="1"/>
    <xf numFmtId="0" fontId="30" fillId="0" borderId="0" xfId="0" applyFont="1" applyAlignment="1">
      <alignment horizontal="left" indent="2"/>
    </xf>
    <xf numFmtId="0" fontId="31" fillId="0" borderId="0" xfId="0" applyFont="1" applyAlignment="1">
      <alignment horizontal="center"/>
    </xf>
    <xf numFmtId="0" fontId="23" fillId="0" borderId="0" xfId="0" applyFont="1" applyFill="1"/>
    <xf numFmtId="0" fontId="5" fillId="0" borderId="16" xfId="21" applyFont="1" applyFill="1" applyBorder="1" applyAlignment="1">
      <alignment vertical="top" wrapText="1"/>
    </xf>
    <xf numFmtId="3" fontId="14" fillId="11" borderId="19" xfId="21" applyNumberFormat="1" applyFont="1" applyFill="1" applyBorder="1" applyAlignment="1">
      <alignment horizontal="center" vertical="top" wrapText="1"/>
    </xf>
    <xf numFmtId="3" fontId="6" fillId="7" borderId="0" xfId="21" applyNumberFormat="1" applyFont="1" applyFill="1" applyBorder="1" applyAlignment="1">
      <alignment horizontal="center" vertical="top" wrapText="1"/>
    </xf>
    <xf numFmtId="3" fontId="29" fillId="0" borderId="0" xfId="21" applyNumberFormat="1" applyFont="1" applyFill="1" applyBorder="1" applyAlignment="1">
      <alignment horizontal="center" vertical="top" wrapText="1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167" fontId="32" fillId="0" borderId="0" xfId="1" applyNumberFormat="1" applyFont="1" applyFill="1" applyBorder="1"/>
    <xf numFmtId="0" fontId="19" fillId="7" borderId="0" xfId="0" applyFont="1" applyFill="1"/>
    <xf numFmtId="0" fontId="19" fillId="7" borderId="0" xfId="0" applyFont="1" applyFill="1" applyBorder="1"/>
    <xf numFmtId="3" fontId="19" fillId="0" borderId="0" xfId="0" applyNumberFormat="1" applyFont="1" applyAlignment="1">
      <alignment horizontal="center"/>
    </xf>
    <xf numFmtId="9" fontId="19" fillId="0" borderId="0" xfId="0" applyNumberFormat="1" applyFont="1" applyAlignment="1">
      <alignment horizontal="center"/>
    </xf>
    <xf numFmtId="168" fontId="6" fillId="0" borderId="0" xfId="1" applyNumberFormat="1" applyFont="1" applyFill="1" applyAlignment="1">
      <alignment horizontal="center"/>
    </xf>
    <xf numFmtId="9" fontId="14" fillId="11" borderId="19" xfId="21" applyNumberFormat="1" applyFont="1" applyFill="1" applyBorder="1" applyAlignment="1">
      <alignment horizontal="center" vertical="top" wrapText="1"/>
    </xf>
    <xf numFmtId="0" fontId="6" fillId="6" borderId="0" xfId="41" applyFont="1" applyFill="1" applyAlignment="1"/>
    <xf numFmtId="0" fontId="34" fillId="6" borderId="16" xfId="41" applyFont="1" applyFill="1" applyBorder="1" applyAlignment="1"/>
    <xf numFmtId="0" fontId="34" fillId="6" borderId="0" xfId="41" applyFont="1" applyFill="1" applyBorder="1" applyAlignment="1"/>
    <xf numFmtId="0" fontId="35" fillId="6" borderId="0" xfId="41" applyFont="1" applyFill="1" applyBorder="1" applyAlignment="1"/>
    <xf numFmtId="172" fontId="35" fillId="6" borderId="0" xfId="42" applyNumberFormat="1" applyFont="1" applyFill="1" applyBorder="1" applyAlignment="1"/>
    <xf numFmtId="172" fontId="36" fillId="7" borderId="0" xfId="42" applyNumberFormat="1" applyFont="1" applyFill="1">
      <alignment vertical="top"/>
    </xf>
    <xf numFmtId="0" fontId="37" fillId="6" borderId="15" xfId="41" applyFont="1" applyFill="1" applyBorder="1" applyAlignment="1"/>
    <xf numFmtId="172" fontId="37" fillId="6" borderId="15" xfId="42" applyNumberFormat="1" applyFont="1" applyFill="1" applyBorder="1" applyAlignment="1"/>
    <xf numFmtId="172" fontId="34" fillId="7" borderId="15" xfId="42" applyNumberFormat="1" applyFont="1" applyFill="1" applyBorder="1">
      <alignment vertical="top"/>
    </xf>
    <xf numFmtId="172" fontId="37" fillId="6" borderId="15" xfId="41" applyNumberFormat="1" applyFont="1" applyFill="1" applyBorder="1" applyAlignment="1"/>
    <xf numFmtId="172" fontId="37" fillId="7" borderId="15" xfId="41" applyNumberFormat="1" applyFont="1" applyFill="1" applyBorder="1" applyAlignment="1"/>
    <xf numFmtId="172" fontId="35" fillId="7" borderId="0" xfId="42" applyNumberFormat="1" applyFont="1" applyFill="1" applyBorder="1" applyAlignment="1"/>
    <xf numFmtId="0" fontId="34" fillId="6" borderId="20" xfId="41" applyFont="1" applyFill="1" applyBorder="1" applyAlignment="1"/>
    <xf numFmtId="172" fontId="34" fillId="6" borderId="20" xfId="41" applyNumberFormat="1" applyFont="1" applyFill="1" applyBorder="1" applyAlignment="1"/>
    <xf numFmtId="0" fontId="38" fillId="6" borderId="0" xfId="41" applyFont="1" applyFill="1" applyAlignment="1"/>
    <xf numFmtId="0" fontId="5" fillId="6" borderId="0" xfId="41" applyFont="1" applyFill="1" applyBorder="1" applyAlignment="1"/>
    <xf numFmtId="0" fontId="39" fillId="9" borderId="0" xfId="21" applyFont="1" applyFill="1" applyBorder="1" applyAlignment="1">
      <alignment horizontal="centerContinuous" vertical="top" wrapText="1"/>
    </xf>
    <xf numFmtId="0" fontId="36" fillId="6" borderId="0" xfId="41" applyFont="1" applyFill="1" applyAlignment="1"/>
    <xf numFmtId="0" fontId="34" fillId="8" borderId="0" xfId="41" applyFont="1" applyFill="1" applyAlignment="1"/>
    <xf numFmtId="0" fontId="36" fillId="8" borderId="0" xfId="41" applyFont="1" applyFill="1" applyAlignment="1"/>
    <xf numFmtId="1" fontId="36" fillId="8" borderId="0" xfId="41" applyNumberFormat="1" applyFont="1" applyFill="1" applyAlignment="1"/>
    <xf numFmtId="172" fontId="36" fillId="8" borderId="0" xfId="41" applyNumberFormat="1" applyFont="1" applyFill="1" applyAlignment="1"/>
    <xf numFmtId="0" fontId="34" fillId="0" borderId="0" xfId="21" applyFont="1" applyFill="1" applyBorder="1" applyAlignment="1">
      <alignment horizontal="center" vertical="top" wrapText="1"/>
    </xf>
    <xf numFmtId="171" fontId="37" fillId="0" borderId="0" xfId="0" applyNumberFormat="1" applyFont="1" applyBorder="1" applyAlignment="1">
      <alignment horizontal="center"/>
    </xf>
    <xf numFmtId="171" fontId="37" fillId="7" borderId="0" xfId="0" applyNumberFormat="1" applyFont="1" applyFill="1" applyBorder="1" applyAlignment="1">
      <alignment horizontal="center"/>
    </xf>
    <xf numFmtId="0" fontId="40" fillId="0" borderId="16" xfId="0" applyFont="1" applyFill="1" applyBorder="1" applyAlignment="1">
      <alignment horizontal="center"/>
    </xf>
    <xf numFmtId="10" fontId="40" fillId="7" borderId="16" xfId="2" applyNumberFormat="1" applyFont="1" applyFill="1" applyBorder="1" applyAlignment="1">
      <alignment horizontal="center"/>
    </xf>
    <xf numFmtId="0" fontId="40" fillId="7" borderId="16" xfId="0" applyFont="1" applyFill="1" applyBorder="1" applyAlignment="1">
      <alignment horizontal="center"/>
    </xf>
    <xf numFmtId="0" fontId="36" fillId="6" borderId="0" xfId="41" applyFont="1" applyFill="1">
      <alignment vertical="top"/>
    </xf>
    <xf numFmtId="0" fontId="36" fillId="6" borderId="0" xfId="41" applyFont="1" applyFill="1" applyBorder="1">
      <alignment vertical="top"/>
    </xf>
    <xf numFmtId="172" fontId="36" fillId="7" borderId="0" xfId="42" applyNumberFormat="1" applyFont="1" applyFill="1" applyBorder="1">
      <alignment vertical="top"/>
    </xf>
    <xf numFmtId="0" fontId="34" fillId="6" borderId="0" xfId="41" applyFont="1" applyFill="1">
      <alignment vertical="top"/>
    </xf>
    <xf numFmtId="172" fontId="34" fillId="6" borderId="0" xfId="41" applyNumberFormat="1" applyFont="1" applyFill="1">
      <alignment vertical="top"/>
    </xf>
    <xf numFmtId="174" fontId="36" fillId="6" borderId="0" xfId="41" applyNumberFormat="1" applyFont="1" applyFill="1">
      <alignment vertical="top"/>
    </xf>
    <xf numFmtId="0" fontId="34" fillId="9" borderId="0" xfId="21" applyFont="1" applyFill="1" applyBorder="1" applyAlignment="1">
      <alignment horizontal="centerContinuous" vertical="top" wrapText="1"/>
    </xf>
    <xf numFmtId="0" fontId="36" fillId="0" borderId="0" xfId="0" applyFont="1"/>
    <xf numFmtId="0" fontId="36" fillId="0" borderId="0" xfId="0" applyFont="1" applyFill="1"/>
    <xf numFmtId="0" fontId="40" fillId="7" borderId="0" xfId="0" applyFont="1" applyFill="1" applyBorder="1" applyAlignment="1">
      <alignment horizontal="center"/>
    </xf>
    <xf numFmtId="0" fontId="36" fillId="0" borderId="1" xfId="0" applyFont="1" applyBorder="1"/>
    <xf numFmtId="0" fontId="36" fillId="0" borderId="0" xfId="0" applyFont="1" applyBorder="1"/>
    <xf numFmtId="167" fontId="36" fillId="0" borderId="0" xfId="1" applyNumberFormat="1" applyFont="1" applyFill="1"/>
    <xf numFmtId="167" fontId="36" fillId="0" borderId="0" xfId="1" applyNumberFormat="1" applyFont="1" applyFill="1" applyBorder="1"/>
    <xf numFmtId="167" fontId="36" fillId="0" borderId="0" xfId="1" applyNumberFormat="1" applyFont="1"/>
    <xf numFmtId="0" fontId="40" fillId="6" borderId="0" xfId="41" applyFont="1" applyFill="1">
      <alignment vertical="top"/>
    </xf>
    <xf numFmtId="0" fontId="32" fillId="0" borderId="0" xfId="0" applyFont="1" applyBorder="1"/>
    <xf numFmtId="167" fontId="5" fillId="0" borderId="12" xfId="1" applyNumberFormat="1" applyFont="1" applyFill="1" applyBorder="1"/>
    <xf numFmtId="167" fontId="34" fillId="0" borderId="12" xfId="1" applyNumberFormat="1" applyFont="1" applyFill="1" applyBorder="1"/>
    <xf numFmtId="172" fontId="34" fillId="6" borderId="0" xfId="41" applyNumberFormat="1" applyFont="1" applyFill="1" applyBorder="1" applyAlignment="1"/>
    <xf numFmtId="0" fontId="34" fillId="6" borderId="4" xfId="41" applyFont="1" applyFill="1" applyBorder="1" applyAlignment="1"/>
    <xf numFmtId="172" fontId="34" fillId="6" borderId="4" xfId="41" applyNumberFormat="1" applyFont="1" applyFill="1" applyBorder="1" applyAlignment="1"/>
    <xf numFmtId="172" fontId="19" fillId="0" borderId="0" xfId="0" applyNumberFormat="1" applyFont="1"/>
    <xf numFmtId="172" fontId="7" fillId="0" borderId="0" xfId="0" applyNumberFormat="1" applyFont="1"/>
    <xf numFmtId="0" fontId="36" fillId="7" borderId="0" xfId="0" applyFont="1" applyFill="1"/>
    <xf numFmtId="167" fontId="36" fillId="7" borderId="0" xfId="1" applyNumberFormat="1" applyFont="1" applyFill="1"/>
    <xf numFmtId="167" fontId="6" fillId="7" borderId="0" xfId="1" applyNumberFormat="1" applyFont="1" applyFill="1"/>
    <xf numFmtId="167" fontId="36" fillId="7" borderId="0" xfId="1" applyNumberFormat="1" applyFont="1" applyFill="1" applyBorder="1"/>
    <xf numFmtId="167" fontId="5" fillId="0" borderId="0" xfId="1" applyNumberFormat="1" applyFont="1" applyFill="1" applyBorder="1"/>
    <xf numFmtId="172" fontId="34" fillId="6" borderId="0" xfId="41" applyNumberFormat="1" applyFont="1" applyFill="1" applyBorder="1">
      <alignment vertical="top"/>
    </xf>
    <xf numFmtId="172" fontId="34" fillId="7" borderId="0" xfId="42" applyNumberFormat="1" applyFont="1" applyFill="1" applyBorder="1">
      <alignment vertical="top"/>
    </xf>
    <xf numFmtId="0" fontId="27" fillId="9" borderId="0" xfId="21" applyFont="1" applyFill="1" applyBorder="1" applyAlignment="1">
      <alignment horizontal="centerContinuous" vertical="top" wrapText="1"/>
    </xf>
    <xf numFmtId="0" fontId="5" fillId="6" borderId="16" xfId="41" applyFont="1" applyFill="1" applyBorder="1" applyAlignment="1"/>
    <xf numFmtId="0" fontId="14" fillId="0" borderId="16" xfId="0" applyFont="1" applyFill="1" applyBorder="1" applyAlignment="1">
      <alignment horizontal="center"/>
    </xf>
    <xf numFmtId="10" fontId="14" fillId="7" borderId="16" xfId="2" applyNumberFormat="1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167" fontId="19" fillId="0" borderId="0" xfId="1" applyNumberFormat="1" applyFont="1" applyBorder="1" applyAlignment="1"/>
    <xf numFmtId="0" fontId="34" fillId="8" borderId="0" xfId="41" applyFont="1" applyFill="1">
      <alignment vertical="top"/>
    </xf>
    <xf numFmtId="0" fontId="36" fillId="8" borderId="0" xfId="41" applyFont="1" applyFill="1" applyAlignment="1">
      <alignment vertical="top"/>
    </xf>
    <xf numFmtId="0" fontId="35" fillId="8" borderId="0" xfId="0" applyFont="1" applyFill="1" applyAlignment="1"/>
    <xf numFmtId="0" fontId="36" fillId="8" borderId="0" xfId="41" applyFont="1" applyFill="1">
      <alignment vertical="top"/>
    </xf>
    <xf numFmtId="179" fontId="36" fillId="8" borderId="0" xfId="42" applyNumberFormat="1" applyFont="1" applyFill="1" applyAlignment="1">
      <alignment vertical="top"/>
    </xf>
    <xf numFmtId="167" fontId="35" fillId="0" borderId="0" xfId="1" applyNumberFormat="1" applyFont="1" applyBorder="1" applyAlignment="1"/>
    <xf numFmtId="3" fontId="35" fillId="7" borderId="0" xfId="0" applyNumberFormat="1" applyFont="1" applyFill="1" applyBorder="1" applyAlignment="1"/>
    <xf numFmtId="168" fontId="41" fillId="0" borderId="0" xfId="0" applyNumberFormat="1" applyFont="1" applyBorder="1" applyAlignment="1"/>
    <xf numFmtId="10" fontId="40" fillId="11" borderId="19" xfId="21" applyNumberFormat="1" applyFont="1" applyFill="1" applyBorder="1" applyAlignment="1">
      <alignment vertical="top" wrapText="1"/>
    </xf>
    <xf numFmtId="0" fontId="35" fillId="0" borderId="0" xfId="0" applyFont="1"/>
    <xf numFmtId="168" fontId="41" fillId="0" borderId="0" xfId="0" applyNumberFormat="1" applyFont="1" applyAlignment="1"/>
    <xf numFmtId="0" fontId="36" fillId="0" borderId="0" xfId="0" applyFont="1" applyBorder="1" applyAlignment="1">
      <alignment horizontal="left"/>
    </xf>
    <xf numFmtId="0" fontId="34" fillId="0" borderId="0" xfId="0" applyFont="1" applyBorder="1" applyAlignment="1">
      <alignment horizontal="left"/>
    </xf>
    <xf numFmtId="172" fontId="37" fillId="0" borderId="12" xfId="1" applyNumberFormat="1" applyFont="1" applyBorder="1" applyAlignment="1"/>
    <xf numFmtId="179" fontId="34" fillId="8" borderId="0" xfId="42" applyNumberFormat="1" applyFont="1" applyFill="1" applyAlignment="1">
      <alignment vertical="top"/>
    </xf>
    <xf numFmtId="172" fontId="34" fillId="7" borderId="0" xfId="41" applyNumberFormat="1" applyFont="1" applyFill="1">
      <alignment vertical="top"/>
    </xf>
    <xf numFmtId="174" fontId="36" fillId="7" borderId="0" xfId="41" applyNumberFormat="1" applyFont="1" applyFill="1">
      <alignment vertical="top"/>
    </xf>
    <xf numFmtId="168" fontId="41" fillId="6" borderId="0" xfId="42" applyNumberFormat="1" applyFont="1" applyFill="1" applyBorder="1" applyAlignment="1"/>
    <xf numFmtId="168" fontId="14" fillId="11" borderId="19" xfId="21" applyNumberFormat="1" applyFont="1" applyFill="1" applyBorder="1" applyAlignment="1">
      <alignment horizontal="center" vertical="top" wrapText="1"/>
    </xf>
    <xf numFmtId="0" fontId="37" fillId="0" borderId="0" xfId="0" applyFont="1" applyBorder="1"/>
    <xf numFmtId="172" fontId="37" fillId="0" borderId="0" xfId="1" applyNumberFormat="1" applyFont="1" applyBorder="1"/>
    <xf numFmtId="0" fontId="35" fillId="0" borderId="0" xfId="0" applyFont="1" applyBorder="1"/>
    <xf numFmtId="172" fontId="35" fillId="0" borderId="0" xfId="1" applyNumberFormat="1" applyFont="1" applyBorder="1"/>
    <xf numFmtId="0" fontId="44" fillId="0" borderId="0" xfId="0" applyFont="1" applyBorder="1"/>
    <xf numFmtId="0" fontId="37" fillId="2" borderId="0" xfId="0" applyFont="1" applyFill="1" applyBorder="1"/>
    <xf numFmtId="172" fontId="37" fillId="2" borderId="0" xfId="1" applyNumberFormat="1" applyFont="1" applyFill="1" applyBorder="1"/>
    <xf numFmtId="0" fontId="36" fillId="0" borderId="0" xfId="0" applyFont="1" applyBorder="1" applyAlignment="1">
      <alignment wrapText="1"/>
    </xf>
    <xf numFmtId="172" fontId="36" fillId="0" borderId="0" xfId="1" applyNumberFormat="1" applyFont="1" applyBorder="1"/>
    <xf numFmtId="0" fontId="35" fillId="0" borderId="0" xfId="0" applyFont="1" applyFill="1" applyBorder="1"/>
    <xf numFmtId="172" fontId="35" fillId="0" borderId="0" xfId="0" applyNumberFormat="1" applyFont="1" applyBorder="1"/>
    <xf numFmtId="0" fontId="36" fillId="0" borderId="0" xfId="0" applyFont="1" applyFill="1" applyBorder="1"/>
    <xf numFmtId="0" fontId="35" fillId="0" borderId="0" xfId="0" applyFont="1" applyFill="1" applyBorder="1" applyAlignment="1">
      <alignment wrapText="1"/>
    </xf>
    <xf numFmtId="0" fontId="37" fillId="11" borderId="0" xfId="0" applyFont="1" applyFill="1" applyBorder="1"/>
    <xf numFmtId="172" fontId="37" fillId="11" borderId="0" xfId="1" applyNumberFormat="1" applyFont="1" applyFill="1" applyBorder="1"/>
    <xf numFmtId="0" fontId="37" fillId="11" borderId="0" xfId="4" applyFont="1" applyFill="1" applyBorder="1"/>
    <xf numFmtId="3" fontId="35" fillId="0" borderId="0" xfId="0" applyNumberFormat="1" applyFont="1"/>
    <xf numFmtId="172" fontId="35" fillId="0" borderId="0" xfId="0" applyNumberFormat="1" applyFont="1"/>
    <xf numFmtId="0" fontId="37" fillId="0" borderId="0" xfId="0" applyFont="1"/>
    <xf numFmtId="172" fontId="37" fillId="7" borderId="0" xfId="1" applyNumberFormat="1" applyFont="1" applyFill="1" applyBorder="1"/>
    <xf numFmtId="172" fontId="35" fillId="7" borderId="0" xfId="1" applyNumberFormat="1" applyFont="1" applyFill="1" applyBorder="1"/>
    <xf numFmtId="0" fontId="35" fillId="7" borderId="0" xfId="0" applyFont="1" applyFill="1" applyBorder="1"/>
    <xf numFmtId="172" fontId="36" fillId="7" borderId="0" xfId="1" applyNumberFormat="1" applyFont="1" applyFill="1" applyBorder="1"/>
    <xf numFmtId="172" fontId="35" fillId="7" borderId="0" xfId="0" applyNumberFormat="1" applyFont="1" applyFill="1" applyBorder="1"/>
    <xf numFmtId="0" fontId="40" fillId="0" borderId="0" xfId="0" applyFont="1" applyFill="1" applyBorder="1" applyAlignment="1">
      <alignment horizontal="center"/>
    </xf>
    <xf numFmtId="3" fontId="37" fillId="0" borderId="0" xfId="0" applyNumberFormat="1" applyFont="1"/>
    <xf numFmtId="0" fontId="36" fillId="0" borderId="0" xfId="15" applyFont="1" applyFill="1" applyBorder="1"/>
    <xf numFmtId="2" fontId="35" fillId="0" borderId="0" xfId="0" applyNumberFormat="1" applyFont="1"/>
    <xf numFmtId="3" fontId="45" fillId="0" borderId="0" xfId="0" applyNumberFormat="1" applyFont="1"/>
    <xf numFmtId="164" fontId="35" fillId="0" borderId="0" xfId="0" applyNumberFormat="1" applyFont="1"/>
    <xf numFmtId="166" fontId="34" fillId="0" borderId="0" xfId="37" applyNumberFormat="1" applyFont="1"/>
    <xf numFmtId="166" fontId="34" fillId="0" borderId="0" xfId="37" applyNumberFormat="1" applyFont="1" applyBorder="1"/>
    <xf numFmtId="0" fontId="34" fillId="0" borderId="0" xfId="37" applyFont="1" applyBorder="1" applyAlignment="1">
      <alignment horizontal="center"/>
    </xf>
    <xf numFmtId="0" fontId="34" fillId="0" borderId="0" xfId="37" applyFont="1" applyBorder="1"/>
    <xf numFmtId="168" fontId="34" fillId="0" borderId="0" xfId="37" applyNumberFormat="1" applyFont="1" applyBorder="1"/>
    <xf numFmtId="0" fontId="35" fillId="0" borderId="0" xfId="0" applyFont="1" applyProtection="1"/>
    <xf numFmtId="10" fontId="35" fillId="0" borderId="0" xfId="0" applyNumberFormat="1" applyFont="1" applyProtection="1"/>
    <xf numFmtId="9" fontId="35" fillId="0" borderId="0" xfId="0" applyNumberFormat="1" applyFont="1"/>
    <xf numFmtId="3" fontId="37" fillId="0" borderId="12" xfId="0" applyNumberFormat="1" applyFont="1" applyBorder="1"/>
    <xf numFmtId="171" fontId="37" fillId="0" borderId="0" xfId="0" applyNumberFormat="1" applyFont="1" applyFill="1" applyBorder="1" applyAlignment="1">
      <alignment horizontal="center"/>
    </xf>
    <xf numFmtId="10" fontId="40" fillId="0" borderId="16" xfId="2" applyNumberFormat="1" applyFont="1" applyFill="1" applyBorder="1" applyAlignment="1">
      <alignment horizontal="center"/>
    </xf>
    <xf numFmtId="10" fontId="40" fillId="0" borderId="0" xfId="2" applyNumberFormat="1" applyFont="1" applyFill="1" applyBorder="1" applyAlignment="1">
      <alignment horizontal="center"/>
    </xf>
    <xf numFmtId="0" fontId="36" fillId="0" borderId="0" xfId="15" applyFont="1" applyFill="1" applyBorder="1" applyAlignment="1">
      <alignment horizontal="left" indent="1"/>
    </xf>
    <xf numFmtId="0" fontId="46" fillId="9" borderId="0" xfId="21" applyFont="1" applyFill="1" applyBorder="1" applyAlignment="1">
      <alignment horizontal="centerContinuous" vertical="top" wrapText="1"/>
    </xf>
    <xf numFmtId="168" fontId="35" fillId="0" borderId="0" xfId="0" applyNumberFormat="1" applyFont="1"/>
    <xf numFmtId="4" fontId="35" fillId="0" borderId="0" xfId="0" applyNumberFormat="1" applyFont="1"/>
    <xf numFmtId="0" fontId="37" fillId="0" borderId="12" xfId="0" applyFont="1" applyBorder="1"/>
    <xf numFmtId="172" fontId="37" fillId="0" borderId="12" xfId="0" applyNumberFormat="1" applyFont="1" applyBorder="1"/>
    <xf numFmtId="0" fontId="34" fillId="0" borderId="12" xfId="15" applyFont="1" applyFill="1" applyBorder="1"/>
    <xf numFmtId="166" fontId="34" fillId="0" borderId="0" xfId="37" applyNumberFormat="1" applyFont="1" applyBorder="1" applyAlignment="1">
      <alignment horizontal="center"/>
    </xf>
    <xf numFmtId="3" fontId="35" fillId="0" borderId="0" xfId="0" applyNumberFormat="1" applyFont="1" applyBorder="1"/>
    <xf numFmtId="10" fontId="35" fillId="0" borderId="0" xfId="0" applyNumberFormat="1" applyFont="1" applyBorder="1" applyProtection="1"/>
    <xf numFmtId="0" fontId="35" fillId="0" borderId="0" xfId="0" applyFont="1" applyBorder="1" applyProtection="1"/>
    <xf numFmtId="4" fontId="36" fillId="0" borderId="0" xfId="0" applyNumberFormat="1" applyFont="1" applyBorder="1" applyProtection="1"/>
    <xf numFmtId="0" fontId="36" fillId="0" borderId="0" xfId="37" applyFont="1" applyBorder="1"/>
    <xf numFmtId="168" fontId="36" fillId="0" borderId="0" xfId="39" applyNumberFormat="1" applyFont="1" applyBorder="1"/>
    <xf numFmtId="168" fontId="36" fillId="0" borderId="0" xfId="37" applyNumberFormat="1" applyFont="1" applyBorder="1"/>
    <xf numFmtId="0" fontId="34" fillId="12" borderId="0" xfId="15" applyFont="1" applyFill="1" applyBorder="1"/>
    <xf numFmtId="172" fontId="37" fillId="12" borderId="12" xfId="0" applyNumberFormat="1" applyFont="1" applyFill="1" applyBorder="1"/>
    <xf numFmtId="0" fontId="34" fillId="0" borderId="10" xfId="37" applyFont="1" applyBorder="1" applyAlignment="1">
      <alignment horizontal="center"/>
    </xf>
    <xf numFmtId="168" fontId="37" fillId="0" borderId="12" xfId="0" applyNumberFormat="1" applyFont="1" applyBorder="1"/>
    <xf numFmtId="0" fontId="23" fillId="0" borderId="0" xfId="0" applyFont="1" applyBorder="1"/>
    <xf numFmtId="0" fontId="47" fillId="12" borderId="0" xfId="0" applyFont="1" applyFill="1" applyBorder="1" applyAlignment="1">
      <alignment horizontal="center"/>
    </xf>
    <xf numFmtId="0" fontId="24" fillId="0" borderId="0" xfId="0" applyFont="1" applyFill="1"/>
    <xf numFmtId="0" fontId="23" fillId="0" borderId="0" xfId="0" applyFont="1" applyFill="1" applyAlignment="1">
      <alignment horizontal="center"/>
    </xf>
    <xf numFmtId="9" fontId="23" fillId="0" borderId="0" xfId="0" applyNumberFormat="1" applyFont="1" applyFill="1"/>
    <xf numFmtId="3" fontId="7" fillId="0" borderId="12" xfId="0" applyNumberFormat="1" applyFont="1" applyBorder="1" applyAlignment="1">
      <alignment horizontal="center"/>
    </xf>
    <xf numFmtId="0" fontId="7" fillId="2" borderId="0" xfId="0" applyFont="1" applyFill="1"/>
    <xf numFmtId="0" fontId="19" fillId="2" borderId="0" xfId="0" applyFont="1" applyFill="1"/>
    <xf numFmtId="166" fontId="19" fillId="0" borderId="0" xfId="0" applyNumberFormat="1" applyFont="1"/>
    <xf numFmtId="0" fontId="48" fillId="0" borderId="0" xfId="0" applyFont="1"/>
    <xf numFmtId="0" fontId="35" fillId="0" borderId="0" xfId="0" applyFont="1" applyFill="1"/>
    <xf numFmtId="172" fontId="35" fillId="0" borderId="0" xfId="0" applyNumberFormat="1" applyFont="1" applyFill="1" applyAlignment="1">
      <alignment horizontal="center"/>
    </xf>
    <xf numFmtId="172" fontId="35" fillId="0" borderId="0" xfId="0" applyNumberFormat="1" applyFont="1" applyFill="1"/>
    <xf numFmtId="0" fontId="37" fillId="0" borderId="0" xfId="0" applyFont="1" applyFill="1"/>
    <xf numFmtId="172" fontId="37" fillId="0" borderId="0" xfId="0" applyNumberFormat="1" applyFont="1" applyFill="1"/>
    <xf numFmtId="172" fontId="37" fillId="0" borderId="12" xfId="0" applyNumberFormat="1" applyFont="1" applyFill="1" applyBorder="1"/>
    <xf numFmtId="172" fontId="7" fillId="0" borderId="12" xfId="0" applyNumberFormat="1" applyFont="1" applyBorder="1"/>
    <xf numFmtId="0" fontId="5" fillId="0" borderId="12" xfId="0" applyFont="1" applyFill="1" applyBorder="1"/>
    <xf numFmtId="0" fontId="5" fillId="0" borderId="12" xfId="0" applyFont="1" applyBorder="1"/>
    <xf numFmtId="4" fontId="40" fillId="11" borderId="19" xfId="21" applyNumberFormat="1" applyFont="1" applyFill="1" applyBorder="1" applyAlignment="1">
      <alignment vertical="top" wrapText="1"/>
    </xf>
    <xf numFmtId="166" fontId="19" fillId="0" borderId="0" xfId="12" applyNumberFormat="1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1" xfId="0" applyFont="1" applyFill="1" applyBorder="1"/>
    <xf numFmtId="0" fontId="7" fillId="8" borderId="0" xfId="0" applyFont="1" applyFill="1" applyAlignment="1"/>
    <xf numFmtId="0" fontId="19" fillId="8" borderId="0" xfId="0" applyFont="1" applyFill="1" applyAlignment="1"/>
    <xf numFmtId="9" fontId="6" fillId="8" borderId="0" xfId="2" applyFont="1" applyFill="1" applyAlignment="1">
      <alignment horizontal="right" vertical="top"/>
    </xf>
    <xf numFmtId="9" fontId="6" fillId="8" borderId="0" xfId="2" applyFont="1" applyFill="1" applyAlignment="1">
      <alignment vertical="top"/>
    </xf>
    <xf numFmtId="4" fontId="6" fillId="8" borderId="0" xfId="2" applyNumberFormat="1" applyFont="1" applyFill="1" applyAlignment="1">
      <alignment vertical="top"/>
    </xf>
    <xf numFmtId="2" fontId="6" fillId="8" borderId="0" xfId="2" applyNumberFormat="1" applyFont="1" applyFill="1" applyAlignment="1">
      <alignment vertical="top"/>
    </xf>
    <xf numFmtId="3" fontId="29" fillId="0" borderId="0" xfId="1" applyNumberFormat="1" applyFont="1" applyFill="1" applyAlignment="1">
      <alignment horizontal="center"/>
    </xf>
    <xf numFmtId="3" fontId="5" fillId="0" borderId="3" xfId="1" applyNumberFormat="1" applyFont="1" applyFill="1" applyBorder="1" applyAlignment="1">
      <alignment horizontal="center"/>
    </xf>
    <xf numFmtId="3" fontId="29" fillId="0" borderId="0" xfId="1" applyNumberFormat="1" applyFont="1" applyFill="1" applyBorder="1" applyAlignment="1">
      <alignment horizontal="center"/>
    </xf>
    <xf numFmtId="3" fontId="29" fillId="0" borderId="0" xfId="0" applyNumberFormat="1" applyFont="1" applyFill="1" applyAlignment="1">
      <alignment horizontal="center"/>
    </xf>
    <xf numFmtId="167" fontId="29" fillId="0" borderId="0" xfId="1" applyNumberFormat="1" applyFont="1" applyFill="1" applyBorder="1"/>
    <xf numFmtId="167" fontId="29" fillId="0" borderId="0" xfId="1" applyNumberFormat="1" applyFont="1"/>
    <xf numFmtId="167" fontId="29" fillId="0" borderId="0" xfId="1" applyNumberFormat="1" applyFont="1" applyFill="1"/>
    <xf numFmtId="167" fontId="29" fillId="0" borderId="0" xfId="1" applyNumberFormat="1" applyFont="1" applyBorder="1"/>
    <xf numFmtId="0" fontId="29" fillId="0" borderId="0" xfId="0" applyFont="1" applyFill="1"/>
    <xf numFmtId="167" fontId="29" fillId="0" borderId="0" xfId="1" applyNumberFormat="1" applyFont="1" applyFill="1" applyAlignment="1">
      <alignment horizontal="center"/>
    </xf>
    <xf numFmtId="173" fontId="21" fillId="0" borderId="0" xfId="12" applyNumberFormat="1" applyFont="1" applyFill="1" applyBorder="1" applyAlignment="1">
      <alignment vertical="top"/>
    </xf>
    <xf numFmtId="173" fontId="19" fillId="0" borderId="0" xfId="12" applyNumberFormat="1" applyFont="1" applyFill="1" applyBorder="1" applyAlignment="1">
      <alignment vertical="top"/>
    </xf>
    <xf numFmtId="172" fontId="19" fillId="0" borderId="0" xfId="8" applyNumberFormat="1" applyFont="1" applyFill="1" applyBorder="1" applyAlignment="1">
      <alignment vertical="top"/>
    </xf>
    <xf numFmtId="172" fontId="19" fillId="3" borderId="0" xfId="8" applyNumberFormat="1" applyFont="1" applyFill="1" applyBorder="1" applyAlignment="1">
      <alignment vertical="top"/>
    </xf>
    <xf numFmtId="43" fontId="19" fillId="0" borderId="0" xfId="8" applyNumberFormat="1" applyFont="1" applyFill="1" applyBorder="1" applyAlignment="1">
      <alignment vertical="top"/>
    </xf>
    <xf numFmtId="43" fontId="19" fillId="3" borderId="0" xfId="8" applyNumberFormat="1" applyFont="1" applyFill="1" applyBorder="1" applyAlignment="1">
      <alignment vertical="top"/>
    </xf>
    <xf numFmtId="173" fontId="19" fillId="3" borderId="0" xfId="12" applyNumberFormat="1" applyFont="1" applyFill="1" applyBorder="1" applyAlignment="1">
      <alignment vertical="top"/>
    </xf>
    <xf numFmtId="172" fontId="7" fillId="0" borderId="0" xfId="8" applyNumberFormat="1" applyFont="1" applyFill="1" applyBorder="1" applyAlignment="1">
      <alignment vertical="top"/>
    </xf>
    <xf numFmtId="172" fontId="7" fillId="3" borderId="0" xfId="8" applyNumberFormat="1" applyFont="1" applyFill="1" applyBorder="1" applyAlignment="1">
      <alignment vertical="top"/>
    </xf>
    <xf numFmtId="165" fontId="19" fillId="3" borderId="0" xfId="8" applyNumberFormat="1" applyFont="1" applyFill="1" applyBorder="1" applyAlignment="1">
      <alignment vertical="top"/>
    </xf>
    <xf numFmtId="166" fontId="19" fillId="3" borderId="0" xfId="8" applyNumberFormat="1" applyFont="1" applyFill="1" applyBorder="1" applyAlignment="1">
      <alignment vertical="top"/>
    </xf>
    <xf numFmtId="172" fontId="35" fillId="7" borderId="0" xfId="0" applyNumberFormat="1" applyFont="1" applyFill="1" applyAlignment="1">
      <alignment horizontal="center"/>
    </xf>
    <xf numFmtId="172" fontId="35" fillId="7" borderId="0" xfId="0" applyNumberFormat="1" applyFont="1" applyFill="1"/>
    <xf numFmtId="172" fontId="37" fillId="7" borderId="0" xfId="0" applyNumberFormat="1" applyFont="1" applyFill="1"/>
    <xf numFmtId="1" fontId="19" fillId="7" borderId="0" xfId="0" applyNumberFormat="1" applyFont="1" applyFill="1"/>
    <xf numFmtId="172" fontId="7" fillId="7" borderId="0" xfId="0" applyNumberFormat="1" applyFont="1" applyFill="1"/>
    <xf numFmtId="180" fontId="36" fillId="6" borderId="0" xfId="41" applyNumberFormat="1" applyFont="1" applyFill="1">
      <alignment vertical="top"/>
    </xf>
    <xf numFmtId="9" fontId="36" fillId="8" borderId="0" xfId="41" applyNumberFormat="1" applyFont="1" applyFill="1" applyAlignment="1"/>
    <xf numFmtId="10" fontId="23" fillId="0" borderId="0" xfId="0" applyNumberFormat="1" applyFont="1" applyFill="1"/>
    <xf numFmtId="4" fontId="23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0" fontId="24" fillId="2" borderId="0" xfId="0" applyFont="1" applyFill="1" applyAlignment="1">
      <alignment horizontal="centerContinuous"/>
    </xf>
    <xf numFmtId="0" fontId="23" fillId="2" borderId="0" xfId="0" applyFont="1" applyFill="1" applyAlignment="1">
      <alignment horizontal="centerContinuous"/>
    </xf>
    <xf numFmtId="173" fontId="7" fillId="0" borderId="12" xfId="12" applyNumberFormat="1" applyFont="1" applyFill="1" applyBorder="1" applyAlignment="1">
      <alignment vertical="top"/>
    </xf>
    <xf numFmtId="172" fontId="19" fillId="0" borderId="12" xfId="8" applyNumberFormat="1" applyFont="1" applyFill="1" applyBorder="1" applyAlignment="1">
      <alignment vertical="top"/>
    </xf>
    <xf numFmtId="172" fontId="19" fillId="3" borderId="12" xfId="8" applyNumberFormat="1" applyFont="1" applyFill="1" applyBorder="1" applyAlignment="1">
      <alignment vertical="top"/>
    </xf>
    <xf numFmtId="172" fontId="7" fillId="0" borderId="12" xfId="8" applyNumberFormat="1" applyFont="1" applyFill="1" applyBorder="1" applyAlignment="1">
      <alignment vertical="top"/>
    </xf>
    <xf numFmtId="172" fontId="7" fillId="3" borderId="12" xfId="8" applyNumberFormat="1" applyFont="1" applyFill="1" applyBorder="1" applyAlignment="1">
      <alignment vertical="top"/>
    </xf>
    <xf numFmtId="167" fontId="19" fillId="0" borderId="0" xfId="12" applyNumberFormat="1" applyFont="1" applyFill="1" applyBorder="1" applyAlignment="1">
      <alignment vertical="top"/>
    </xf>
    <xf numFmtId="166" fontId="19" fillId="0" borderId="13" xfId="12" applyNumberFormat="1" applyFont="1" applyFill="1" applyBorder="1" applyAlignment="1">
      <alignment vertical="top"/>
    </xf>
    <xf numFmtId="173" fontId="49" fillId="0" borderId="0" xfId="12" applyNumberFormat="1" applyFont="1" applyFill="1" applyAlignment="1">
      <alignment vertical="top"/>
    </xf>
    <xf numFmtId="173" fontId="50" fillId="0" borderId="0" xfId="12" applyNumberFormat="1" applyFont="1" applyFill="1" applyBorder="1" applyAlignment="1">
      <alignment vertical="top"/>
    </xf>
    <xf numFmtId="173" fontId="50" fillId="0" borderId="12" xfId="12" applyNumberFormat="1" applyFont="1" applyFill="1" applyBorder="1" applyAlignment="1">
      <alignment vertical="top"/>
    </xf>
    <xf numFmtId="172" fontId="50" fillId="0" borderId="12" xfId="8" applyNumberFormat="1" applyFont="1" applyFill="1" applyBorder="1" applyAlignment="1">
      <alignment vertical="top"/>
    </xf>
    <xf numFmtId="172" fontId="50" fillId="3" borderId="12" xfId="8" applyNumberFormat="1" applyFont="1" applyFill="1" applyBorder="1" applyAlignment="1">
      <alignment vertical="top"/>
    </xf>
    <xf numFmtId="165" fontId="7" fillId="0" borderId="12" xfId="12" applyNumberFormat="1" applyFont="1" applyFill="1" applyBorder="1" applyAlignment="1">
      <alignment vertical="top"/>
    </xf>
    <xf numFmtId="165" fontId="7" fillId="3" borderId="12" xfId="12" applyNumberFormat="1" applyFont="1" applyFill="1" applyBorder="1" applyAlignment="1">
      <alignment vertical="top"/>
    </xf>
    <xf numFmtId="0" fontId="51" fillId="6" borderId="0" xfId="41" applyFont="1" applyFill="1" applyAlignment="1"/>
    <xf numFmtId="181" fontId="19" fillId="7" borderId="0" xfId="0" applyNumberFormat="1" applyFont="1" applyFill="1"/>
    <xf numFmtId="0" fontId="7" fillId="6" borderId="0" xfId="41" applyFont="1" applyFill="1" applyAlignment="1"/>
    <xf numFmtId="0" fontId="19" fillId="6" borderId="0" xfId="41" applyFont="1" applyFill="1" applyAlignment="1"/>
    <xf numFmtId="172" fontId="7" fillId="7" borderId="0" xfId="42" applyNumberFormat="1" applyFont="1" applyFill="1" applyBorder="1" applyAlignment="1"/>
    <xf numFmtId="179" fontId="19" fillId="7" borderId="0" xfId="41" applyNumberFormat="1" applyFont="1" applyFill="1" applyAlignment="1">
      <alignment horizontal="right"/>
    </xf>
    <xf numFmtId="168" fontId="6" fillId="8" borderId="0" xfId="2" applyNumberFormat="1" applyFont="1" applyFill="1" applyAlignment="1">
      <alignment vertical="top"/>
    </xf>
    <xf numFmtId="0" fontId="0" fillId="0" borderId="0" xfId="0"/>
    <xf numFmtId="0" fontId="7" fillId="0" borderId="5" xfId="0" applyNumberFormat="1" applyFont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7" borderId="0" xfId="0" applyNumberFormat="1" applyFont="1" applyFill="1" applyBorder="1" applyAlignment="1">
      <alignment horizontal="center"/>
    </xf>
    <xf numFmtId="0" fontId="52" fillId="0" borderId="0" xfId="0" applyFont="1"/>
    <xf numFmtId="182" fontId="52" fillId="0" borderId="0" xfId="0" applyNumberFormat="1" applyFont="1"/>
    <xf numFmtId="0" fontId="52" fillId="13" borderId="21" xfId="0" applyFont="1" applyFill="1" applyBorder="1"/>
    <xf numFmtId="4" fontId="52" fillId="13" borderId="22" xfId="0" applyNumberFormat="1" applyFont="1" applyFill="1" applyBorder="1"/>
    <xf numFmtId="15" fontId="0" fillId="0" borderId="0" xfId="0" applyNumberFormat="1"/>
    <xf numFmtId="2" fontId="1" fillId="0" borderId="0" xfId="40" applyNumberFormat="1"/>
    <xf numFmtId="0" fontId="53" fillId="0" borderId="0" xfId="0" applyFont="1"/>
    <xf numFmtId="0" fontId="24" fillId="0" borderId="0" xfId="0" applyFont="1" applyAlignment="1">
      <alignment horizontal="center"/>
    </xf>
    <xf numFmtId="0" fontId="23" fillId="12" borderId="11" xfId="0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45">
    <cellStyle name="Comma" xfId="1" builtinId="3"/>
    <cellStyle name="Comma 2" xfId="6" xr:uid="{00000000-0005-0000-0000-000001000000}"/>
    <cellStyle name="Comma 2 2 3" xfId="7" xr:uid="{00000000-0005-0000-0000-000002000000}"/>
    <cellStyle name="Comma 3" xfId="5" xr:uid="{00000000-0005-0000-0000-000003000000}"/>
    <cellStyle name="Comma 3 7" xfId="8" xr:uid="{00000000-0005-0000-0000-000004000000}"/>
    <cellStyle name="Comma 4" xfId="35" xr:uid="{00000000-0005-0000-0000-000005000000}"/>
    <cellStyle name="Comma 5" xfId="38" xr:uid="{00000000-0005-0000-0000-000006000000}"/>
    <cellStyle name="Comma 6" xfId="42" xr:uid="{00000000-0005-0000-0000-000007000000}"/>
    <cellStyle name="Comma 7" xfId="44" xr:uid="{00000000-0005-0000-0000-000008000000}"/>
    <cellStyle name="Comma 79" xfId="9" xr:uid="{00000000-0005-0000-0000-000009000000}"/>
    <cellStyle name="Comma 80" xfId="10" xr:uid="{00000000-0005-0000-0000-00000A000000}"/>
    <cellStyle name="Comma 80 2" xfId="36" xr:uid="{00000000-0005-0000-0000-00000B000000}"/>
    <cellStyle name="Normal" xfId="0" builtinId="0"/>
    <cellStyle name="Normal 10 10" xfId="11" xr:uid="{00000000-0005-0000-0000-00000D000000}"/>
    <cellStyle name="Normal 10 3" xfId="12" xr:uid="{00000000-0005-0000-0000-00000E000000}"/>
    <cellStyle name="Normal 12" xfId="13" xr:uid="{00000000-0005-0000-0000-00000F000000}"/>
    <cellStyle name="Normal 13" xfId="14" xr:uid="{00000000-0005-0000-0000-000010000000}"/>
    <cellStyle name="Normal 2" xfId="3" xr:uid="{00000000-0005-0000-0000-000011000000}"/>
    <cellStyle name="Normal 2 2" xfId="15" xr:uid="{00000000-0005-0000-0000-000012000000}"/>
    <cellStyle name="Normal 2 2 4 2" xfId="16" xr:uid="{00000000-0005-0000-0000-000013000000}"/>
    <cellStyle name="Normal 2 4" xfId="17" xr:uid="{00000000-0005-0000-0000-000014000000}"/>
    <cellStyle name="Normal 22 3" xfId="18" xr:uid="{00000000-0005-0000-0000-000015000000}"/>
    <cellStyle name="Normal 3" xfId="37" xr:uid="{00000000-0005-0000-0000-000016000000}"/>
    <cellStyle name="Normal 4" xfId="40" xr:uid="{00000000-0005-0000-0000-000017000000}"/>
    <cellStyle name="Normal 5" xfId="41" xr:uid="{00000000-0005-0000-0000-000018000000}"/>
    <cellStyle name="Normal 5 2 5" xfId="19" xr:uid="{00000000-0005-0000-0000-000019000000}"/>
    <cellStyle name="Normal 53" xfId="20" xr:uid="{00000000-0005-0000-0000-00001A000000}"/>
    <cellStyle name="Normal 7" xfId="4" xr:uid="{00000000-0005-0000-0000-00001B000000}"/>
    <cellStyle name="Normal 7 2" xfId="21" xr:uid="{00000000-0005-0000-0000-00001C000000}"/>
    <cellStyle name="Normal 77" xfId="22" xr:uid="{00000000-0005-0000-0000-00001D000000}"/>
    <cellStyle name="Normal 78" xfId="23" xr:uid="{00000000-0005-0000-0000-00001E000000}"/>
    <cellStyle name="Normal 79" xfId="24" xr:uid="{00000000-0005-0000-0000-00001F000000}"/>
    <cellStyle name="Normal 8" xfId="25" xr:uid="{00000000-0005-0000-0000-000020000000}"/>
    <cellStyle name="Normal 80" xfId="26" xr:uid="{00000000-0005-0000-0000-000021000000}"/>
    <cellStyle name="Normal 9" xfId="27" xr:uid="{00000000-0005-0000-0000-000022000000}"/>
    <cellStyle name="Normal 9 3" xfId="28" xr:uid="{00000000-0005-0000-0000-000023000000}"/>
    <cellStyle name="Percent" xfId="2" builtinId="5"/>
    <cellStyle name="Percent 17" xfId="29" xr:uid="{00000000-0005-0000-0000-000025000000}"/>
    <cellStyle name="Percent 2" xfId="39" xr:uid="{00000000-0005-0000-0000-000026000000}"/>
    <cellStyle name="Percent 2 2 2" xfId="30" xr:uid="{00000000-0005-0000-0000-000027000000}"/>
    <cellStyle name="Percent 23" xfId="31" xr:uid="{00000000-0005-0000-0000-000028000000}"/>
    <cellStyle name="Percent 3" xfId="32" xr:uid="{00000000-0005-0000-0000-000029000000}"/>
    <cellStyle name="Percent 4" xfId="43" xr:uid="{00000000-0005-0000-0000-00002A000000}"/>
    <cellStyle name="Percent 5 2" xfId="33" xr:uid="{00000000-0005-0000-0000-00002B000000}"/>
    <cellStyle name="Percent 7 4" xfId="34" xr:uid="{00000000-0005-0000-0000-00002C000000}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55377127332095E-2"/>
          <c:y val="0.19349013668915441"/>
          <c:w val="0.87497468274062462"/>
          <c:h val="0.54142790278840314"/>
        </c:manualLayout>
      </c:layout>
      <c:lineChart>
        <c:grouping val="standard"/>
        <c:varyColors val="0"/>
        <c:ser>
          <c:idx val="0"/>
          <c:order val="0"/>
          <c:tx>
            <c:strRef>
              <c:f>Charts!$Q$3</c:f>
              <c:strCache>
                <c:ptCount val="1"/>
                <c:pt idx="0">
                  <c:v>Domestic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Charts!$R$2:$AE$2</c:f>
              <c:numCache>
                <c:formatCode>"Year"\ 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Charts!$R$3:$AE$3</c:f>
              <c:numCache>
                <c:formatCode>_ * #,##0_ ;_ * \-#,##0_ ;_ * "-"??_ ;_ @_ </c:formatCode>
                <c:ptCount val="14"/>
                <c:pt idx="0">
                  <c:v>1170702</c:v>
                </c:pt>
                <c:pt idx="1">
                  <c:v>1305351</c:v>
                </c:pt>
                <c:pt idx="2">
                  <c:v>1414541</c:v>
                </c:pt>
                <c:pt idx="3">
                  <c:v>1653500</c:v>
                </c:pt>
                <c:pt idx="4">
                  <c:v>1683941.785667191</c:v>
                </c:pt>
                <c:pt idx="5">
                  <c:v>1825674.0041528419</c:v>
                </c:pt>
                <c:pt idx="6">
                  <c:v>1979708.1320308743</c:v>
                </c:pt>
                <c:pt idx="7">
                  <c:v>2147143.4912618026</c:v>
                </c:pt>
                <c:pt idx="8">
                  <c:v>2329180.3977731601</c:v>
                </c:pt>
                <c:pt idx="9">
                  <c:v>2527129.6877273316</c:v>
                </c:pt>
                <c:pt idx="10">
                  <c:v>2742423.1653062282</c:v>
                </c:pt>
                <c:pt idx="11">
                  <c:v>2976625.063336188</c:v>
                </c:pt>
                <c:pt idx="12">
                  <c:v>3231444.6173393321</c:v>
                </c:pt>
                <c:pt idx="13">
                  <c:v>3508749.8638212569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F-4C7F-8BCC-03D6D92278D5}"/>
            </c:ext>
          </c:extLst>
        </c:ser>
        <c:ser>
          <c:idx val="1"/>
          <c:order val="1"/>
          <c:tx>
            <c:strRef>
              <c:f>Charts!$Q$4</c:f>
              <c:strCache>
                <c:ptCount val="1"/>
                <c:pt idx="0">
                  <c:v>Exports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Charts!$R$2:$AE$2</c:f>
              <c:numCache>
                <c:formatCode>"Year"\ 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Charts!$R$4:$AE$4</c:f>
              <c:numCache>
                <c:formatCode>_ * #,##0_ ;_ * \-#,##0_ ;_ * "-"??_ ;_ @_ </c:formatCode>
                <c:ptCount val="14"/>
                <c:pt idx="0">
                  <c:v>121713</c:v>
                </c:pt>
                <c:pt idx="1">
                  <c:v>123897</c:v>
                </c:pt>
                <c:pt idx="2">
                  <c:v>124062</c:v>
                </c:pt>
                <c:pt idx="3">
                  <c:v>126074</c:v>
                </c:pt>
                <c:pt idx="4">
                  <c:v>128395.08720060808</c:v>
                </c:pt>
                <c:pt idx="5">
                  <c:v>139201.7081339978</c:v>
                </c:pt>
                <c:pt idx="6">
                  <c:v>150946.30966898121</c:v>
                </c:pt>
                <c:pt idx="7">
                  <c:v>163712.71153150318</c:v>
                </c:pt>
                <c:pt idx="8">
                  <c:v>177592.43390919466</c:v>
                </c:pt>
                <c:pt idx="9">
                  <c:v>192685.42379832818</c:v>
                </c:pt>
                <c:pt idx="10">
                  <c:v>209100.85161343659</c:v>
                </c:pt>
                <c:pt idx="11">
                  <c:v>226957.98502270729</c:v>
                </c:pt>
                <c:pt idx="12">
                  <c:v>246387.14767852367</c:v>
                </c:pt>
                <c:pt idx="13">
                  <c:v>267530.77129204787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F-4C7F-8BCC-03D6D92278D5}"/>
            </c:ext>
          </c:extLst>
        </c:ser>
        <c:ser>
          <c:idx val="2"/>
          <c:order val="2"/>
          <c:tx>
            <c:strRef>
              <c:f>Charts!$Q$5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Charts!$R$2:$AE$2</c:f>
              <c:numCache>
                <c:formatCode>"Year"\ 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Charts!$R$5:$AE$5</c:f>
              <c:numCache>
                <c:formatCode>_ * #,##0_ ;_ * \-#,##0_ ;_ * "-"??_ ;_ @_ </c:formatCode>
                <c:ptCount val="14"/>
                <c:pt idx="0">
                  <c:v>1292415</c:v>
                </c:pt>
                <c:pt idx="1">
                  <c:v>1429248</c:v>
                </c:pt>
                <c:pt idx="2">
                  <c:v>1538603</c:v>
                </c:pt>
                <c:pt idx="3">
                  <c:v>1779574</c:v>
                </c:pt>
                <c:pt idx="4">
                  <c:v>1812336.8728677991</c:v>
                </c:pt>
                <c:pt idx="5">
                  <c:v>1964875.7122868397</c:v>
                </c:pt>
                <c:pt idx="6">
                  <c:v>2130654.4416998555</c:v>
                </c:pt>
                <c:pt idx="7">
                  <c:v>2310856.2027933057</c:v>
                </c:pt>
                <c:pt idx="8">
                  <c:v>2506772.8316823547</c:v>
                </c:pt>
                <c:pt idx="9">
                  <c:v>2719815.1115256599</c:v>
                </c:pt>
                <c:pt idx="10">
                  <c:v>2951524.0169196646</c:v>
                </c:pt>
                <c:pt idx="11">
                  <c:v>3203583.0483588949</c:v>
                </c:pt>
                <c:pt idx="12">
                  <c:v>3477831.7650178554</c:v>
                </c:pt>
                <c:pt idx="13">
                  <c:v>3776280.6351133045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3F-4C7F-8BCC-03D6D922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169279"/>
        <c:axId val="1883148895"/>
      </c:lineChart>
      <c:catAx>
        <c:axId val="1883169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Year&quot;\ 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48895"/>
        <c:crosses val="autoZero"/>
        <c:auto val="1"/>
        <c:lblAlgn val="ctr"/>
        <c:lblOffset val="100"/>
        <c:noMultiLvlLbl val="0"/>
      </c:catAx>
      <c:valAx>
        <c:axId val="1883148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6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Industry Sales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Charts!$Q$8</c:f>
              <c:strCache>
                <c:ptCount val="1"/>
                <c:pt idx="0">
                  <c:v>Domestic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Charts!$R$8:$AE$8</c:f>
              <c:numCache>
                <c:formatCode>_ * #,##0_ ;_ * \-#,##0_ ;_ * "-"??_ ;_ @_ </c:formatCode>
                <c:ptCount val="14"/>
                <c:pt idx="0">
                  <c:v>2601236</c:v>
                </c:pt>
                <c:pt idx="1">
                  <c:v>2789208</c:v>
                </c:pt>
                <c:pt idx="2">
                  <c:v>3046727</c:v>
                </c:pt>
                <c:pt idx="3">
                  <c:v>3288000</c:v>
                </c:pt>
                <c:pt idx="4" formatCode="_ * #,##0_ ;_ * \-#,##0_ ;_ * &quot;-&quot;?_ ;_ @_ ">
                  <c:v>3555183.2952591106</c:v>
                </c:pt>
                <c:pt idx="5" formatCode="_ * #,##0_ ;_ * \-#,##0_ ;_ * &quot;-&quot;?_ ;_ @_ ">
                  <c:v>3844800.1754439236</c:v>
                </c:pt>
                <c:pt idx="6" formatCode="_ * #,##0_ ;_ * \-#,##0_ ;_ * &quot;-&quot;?_ ;_ @_ ">
                  <c:v>4158793.2207009876</c:v>
                </c:pt>
                <c:pt idx="7" formatCode="_ * #,##0_ ;_ * \-#,##0_ ;_ * &quot;-&quot;?_ ;_ @_ ">
                  <c:v>4499278.2052505678</c:v>
                </c:pt>
                <c:pt idx="8" formatCode="_ * #,##0_ ;_ * \-#,##0_ ;_ * &quot;-&quot;?_ ;_ @_ ">
                  <c:v>4868559.9729109546</c:v>
                </c:pt>
                <c:pt idx="9" formatCode="_ * #,##0_ ;_ * \-#,##0_ ;_ * &quot;-&quot;?_ ;_ @_ ">
                  <c:v>5269149.8067949172</c:v>
                </c:pt>
                <c:pt idx="10" formatCode="_ * #,##0_ ;_ * \-#,##0_ ;_ * &quot;-&quot;?_ ;_ @_ ">
                  <c:v>5703784.4374048021</c:v>
                </c:pt>
                <c:pt idx="11" formatCode="_ * #,##0_ ;_ * \-#,##0_ ;_ * &quot;-&quot;?_ ;_ @_ ">
                  <c:v>6175446.8476156518</c:v>
                </c:pt>
                <c:pt idx="12" formatCode="_ * #,##0_ ;_ * \-#,##0_ ;_ * &quot;-&quot;?_ ;_ @_ ">
                  <c:v>6687389.048742149</c:v>
                </c:pt>
                <c:pt idx="13" formatCode="_ * #,##0_ ;_ * \-#,##0_ ;_ * &quot;-&quot;?_ ;_ @_ ">
                  <c:v>7243157.0191847971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F-4F57-8BF6-C64687C9B445}"/>
            </c:ext>
          </c:extLst>
        </c:ser>
        <c:ser>
          <c:idx val="1"/>
          <c:order val="1"/>
          <c:tx>
            <c:strRef>
              <c:f>Charts!$Q$9</c:f>
              <c:strCache>
                <c:ptCount val="1"/>
                <c:pt idx="0">
                  <c:v>Exports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Charts!$R$9:$AE$9</c:f>
              <c:numCache>
                <c:formatCode>_ * #,##0_ ;_ * \-#,##0_ ;_ * "-"??_ ;_ @_ </c:formatCode>
                <c:ptCount val="14"/>
                <c:pt idx="0">
                  <c:v>621341</c:v>
                </c:pt>
                <c:pt idx="1">
                  <c:v>653053</c:v>
                </c:pt>
                <c:pt idx="2">
                  <c:v>758830</c:v>
                </c:pt>
                <c:pt idx="3">
                  <c:v>747000</c:v>
                </c:pt>
                <c:pt idx="4" formatCode="_ * #,##0_ ;_ * \-#,##0_ ;_ * &quot;-&quot;?_ ;_ @_ ">
                  <c:v>807701.31434262637</c:v>
                </c:pt>
                <c:pt idx="5" formatCode="_ * #,##0_ ;_ * \-#,##0_ ;_ * &quot;-&quot;?_ ;_ @_ ">
                  <c:v>873499.30993205926</c:v>
                </c:pt>
                <c:pt idx="6" formatCode="_ * #,##0_ ;_ * \-#,##0_ ;_ * &quot;-&quot;?_ ;_ @_ ">
                  <c:v>944835.3211264105</c:v>
                </c:pt>
                <c:pt idx="7" formatCode="_ * #,##0_ ;_ * \-#,##0_ ;_ * &quot;-&quot;?_ ;_ @_ ">
                  <c:v>1022190.0302074738</c:v>
                </c:pt>
                <c:pt idx="8" formatCode="_ * #,##0_ ;_ * \-#,##0_ ;_ * &quot;-&quot;?_ ;_ @_ ">
                  <c:v>1106087.0741376164</c:v>
                </c:pt>
                <c:pt idx="9" formatCode="_ * #,##0_ ;_ * \-#,##0_ ;_ * &quot;-&quot;?_ ;_ @_ ">
                  <c:v>1197096.9907773123</c:v>
                </c:pt>
                <c:pt idx="10" formatCode="_ * #,##0_ ;_ * \-#,##0_ ;_ * &quot;-&quot;?_ ;_ @_ ">
                  <c:v>1295841.5373301054</c:v>
                </c:pt>
                <c:pt idx="11" formatCode="_ * #,##0_ ;_ * \-#,##0_ ;_ * &quot;-&quot;?_ ;_ @_ ">
                  <c:v>1402998.4170221689</c:v>
                </c:pt>
                <c:pt idx="12" formatCode="_ * #,##0_ ;_ * \-#,##0_ ;_ * &quot;-&quot;?_ ;_ @_ ">
                  <c:v>1519306.4535919661</c:v>
                </c:pt>
                <c:pt idx="13" formatCode="_ * #,##0_ ;_ * \-#,##0_ ;_ * &quot;-&quot;?_ ;_ @_ ">
                  <c:v>1645571.2570958158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F-4F57-8BF6-C64687C9B445}"/>
            </c:ext>
          </c:extLst>
        </c:ser>
        <c:ser>
          <c:idx val="2"/>
          <c:order val="2"/>
          <c:tx>
            <c:strRef>
              <c:f>Charts!$Q$10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Charts!$R$10:$AE$10</c:f>
              <c:numCache>
                <c:formatCode>_ * #,##0_ ;_ * \-#,##0_ ;_ * "-"??_ ;_ @_ </c:formatCode>
                <c:ptCount val="14"/>
                <c:pt idx="0">
                  <c:v>3222577</c:v>
                </c:pt>
                <c:pt idx="1">
                  <c:v>3442261</c:v>
                </c:pt>
                <c:pt idx="2">
                  <c:v>3805557</c:v>
                </c:pt>
                <c:pt idx="3">
                  <c:v>4035000</c:v>
                </c:pt>
                <c:pt idx="4">
                  <c:v>4362884.609601737</c:v>
                </c:pt>
                <c:pt idx="5">
                  <c:v>4718299.4853759827</c:v>
                </c:pt>
                <c:pt idx="6">
                  <c:v>5103628.5418273984</c:v>
                </c:pt>
                <c:pt idx="7">
                  <c:v>5521468.2354580415</c:v>
                </c:pt>
                <c:pt idx="8">
                  <c:v>5974647.0470485715</c:v>
                </c:pt>
                <c:pt idx="9">
                  <c:v>6466246.79757223</c:v>
                </c:pt>
                <c:pt idx="10">
                  <c:v>6999625.974734908</c:v>
                </c:pt>
                <c:pt idx="11">
                  <c:v>7578445.2646378214</c:v>
                </c:pt>
                <c:pt idx="12">
                  <c:v>8206695.502334116</c:v>
                </c:pt>
                <c:pt idx="13">
                  <c:v>8888728.2762806136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F-4F57-8BF6-C64687C9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6296255"/>
        <c:axId val="1816290847"/>
      </c:barChart>
      <c:lineChart>
        <c:grouping val="standard"/>
        <c:varyColors val="0"/>
        <c:ser>
          <c:idx val="3"/>
          <c:order val="3"/>
          <c:tx>
            <c:strRef>
              <c:f>Charts!$Q$11</c:f>
              <c:strCache>
                <c:ptCount val="1"/>
                <c:pt idx="0">
                  <c:v>Growth in Industry Sales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Charts!$R$7:$AE$7</c:f>
              <c:numCache>
                <c:formatCode>"Year"\ 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Charts!$R$11:$AE$11</c:f>
              <c:numCache>
                <c:formatCode>0.0%</c:formatCode>
                <c:ptCount val="14"/>
                <c:pt idx="0" formatCode="General">
                  <c:v>0</c:v>
                </c:pt>
                <c:pt idx="1">
                  <c:v>7.2262570562609429E-2</c:v>
                </c:pt>
                <c:pt idx="2">
                  <c:v>9.2326925779647739E-2</c:v>
                </c:pt>
                <c:pt idx="3">
                  <c:v>7.919088254379214E-2</c:v>
                </c:pt>
                <c:pt idx="4">
                  <c:v>8.1260126295349774E-2</c:v>
                </c:pt>
                <c:pt idx="5">
                  <c:v>8.146327661108814E-2</c:v>
                </c:pt>
                <c:pt idx="6">
                  <c:v>8.1666934802615859E-2</c:v>
                </c:pt>
                <c:pt idx="7">
                  <c:v>8.1871102139622398E-2</c:v>
                </c:pt>
                <c:pt idx="8">
                  <c:v>8.2075779894971446E-2</c:v>
                </c:pt>
                <c:pt idx="9">
                  <c:v>8.2280969344708868E-2</c:v>
                </c:pt>
                <c:pt idx="10">
                  <c:v>8.2486671768070632E-2</c:v>
                </c:pt>
                <c:pt idx="11">
                  <c:v>8.26928884474908E-2</c:v>
                </c:pt>
                <c:pt idx="12">
                  <c:v>8.2899620668609522E-2</c:v>
                </c:pt>
                <c:pt idx="13">
                  <c:v>8.3106869720281043E-2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4F-4F57-8BF6-C64687C9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6292095"/>
        <c:axId val="1816277951"/>
      </c:lineChart>
      <c:catAx>
        <c:axId val="181629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290847"/>
        <c:crosses val="autoZero"/>
        <c:auto val="1"/>
        <c:lblAlgn val="ctr"/>
        <c:lblOffset val="100"/>
        <c:noMultiLvlLbl val="0"/>
      </c:catAx>
      <c:valAx>
        <c:axId val="181629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296255"/>
        <c:crosses val="autoZero"/>
        <c:crossBetween val="between"/>
      </c:valAx>
      <c:valAx>
        <c:axId val="18162779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292095"/>
        <c:crosses val="max"/>
        <c:crossBetween val="between"/>
      </c:valAx>
      <c:catAx>
        <c:axId val="1816292095"/>
        <c:scaling>
          <c:orientation val="minMax"/>
        </c:scaling>
        <c:delete val="1"/>
        <c:axPos val="b"/>
        <c:numFmt formatCode="&quot;Year&quot;\ 0" sourceLinked="1"/>
        <c:majorTickMark val="none"/>
        <c:minorTickMark val="none"/>
        <c:tickLblPos val="nextTo"/>
        <c:crossAx val="1816277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661202</xdr:colOff>
      <xdr:row>0</xdr:row>
      <xdr:rowOff>148166</xdr:rowOff>
    </xdr:from>
    <xdr:to>
      <xdr:col>14</xdr:col>
      <xdr:colOff>458612</xdr:colOff>
      <xdr:row>23</xdr:row>
      <xdr:rowOff>116373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4424" y="148166"/>
          <a:ext cx="5752299" cy="40322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245221</xdr:colOff>
      <xdr:row>0</xdr:row>
      <xdr:rowOff>125880</xdr:rowOff>
    </xdr:from>
    <xdr:to>
      <xdr:col>12</xdr:col>
      <xdr:colOff>79934</xdr:colOff>
      <xdr:row>11</xdr:row>
      <xdr:rowOff>176680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336736</xdr:colOff>
      <xdr:row>12</xdr:row>
      <xdr:rowOff>69850</xdr:rowOff>
    </xdr:from>
    <xdr:to>
      <xdr:col>15</xdr:col>
      <xdr:colOff>190499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governmentbonds.com/bond-historical-data/india/10-ye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79998168889431442"/>
  </sheetPr>
  <dimension ref="A2:O42"/>
  <sheetViews>
    <sheetView showGridLines="0" zoomScale="90" zoomScaleNormal="90" workbookViewId="0">
      <selection activeCell="B3" sqref="B3"/>
    </sheetView>
  </sheetViews>
  <sheetFormatPr defaultColWidth="8.85546875" defaultRowHeight="14.25" x14ac:dyDescent="0.2"/>
  <cols>
    <col min="1" max="1" width="7.140625" style="200" bestFit="1" customWidth="1"/>
    <col min="2" max="2" width="35" style="200" bestFit="1" customWidth="1"/>
    <col min="3" max="3" width="11.42578125" style="200" bestFit="1" customWidth="1"/>
    <col min="4" max="4" width="12.140625" style="200" bestFit="1" customWidth="1"/>
    <col min="5" max="6" width="8.85546875" style="200"/>
    <col min="7" max="8" width="10" style="200" bestFit="1" customWidth="1"/>
    <col min="9" max="9" width="18.5703125" style="200" bestFit="1" customWidth="1"/>
    <col min="10" max="10" width="11.85546875" style="200" bestFit="1" customWidth="1"/>
    <col min="11" max="16384" width="8.85546875" style="200"/>
  </cols>
  <sheetData>
    <row r="2" spans="1:13" x14ac:dyDescent="0.2">
      <c r="B2" s="199" t="s">
        <v>145</v>
      </c>
      <c r="C2" s="463" t="s">
        <v>279</v>
      </c>
      <c r="D2" s="464"/>
      <c r="H2" s="205"/>
      <c r="I2" s="366"/>
      <c r="J2" s="205"/>
      <c r="K2" s="205"/>
      <c r="L2" s="205"/>
      <c r="M2" s="205"/>
    </row>
    <row r="3" spans="1:13" ht="14.45" customHeight="1" x14ac:dyDescent="0.2">
      <c r="A3" s="364"/>
      <c r="B3" s="365" t="s">
        <v>193</v>
      </c>
      <c r="C3" s="461">
        <f>IF(B3="Best Case",1,IF(B3="Base Case",2,3))</f>
        <v>1</v>
      </c>
      <c r="D3" s="462"/>
      <c r="H3" s="205"/>
      <c r="I3" s="205"/>
      <c r="J3" s="367"/>
      <c r="K3" s="368"/>
      <c r="L3" s="205"/>
      <c r="M3" s="205"/>
    </row>
    <row r="4" spans="1:13" x14ac:dyDescent="0.2">
      <c r="C4" s="201"/>
      <c r="H4" s="205"/>
      <c r="I4" s="205"/>
      <c r="J4" s="367"/>
      <c r="K4" s="368"/>
      <c r="L4" s="205"/>
      <c r="M4" s="205"/>
    </row>
    <row r="5" spans="1:13" x14ac:dyDescent="0.2">
      <c r="B5" s="425" t="s">
        <v>302</v>
      </c>
      <c r="C5" s="426"/>
      <c r="D5" s="426"/>
      <c r="H5" s="205"/>
      <c r="I5" s="205"/>
      <c r="J5" s="205"/>
      <c r="K5" s="205"/>
      <c r="L5" s="205"/>
      <c r="M5" s="205"/>
    </row>
    <row r="6" spans="1:13" x14ac:dyDescent="0.2">
      <c r="B6" s="204" t="s">
        <v>198</v>
      </c>
      <c r="C6" s="200" t="s">
        <v>194</v>
      </c>
      <c r="H6" s="205"/>
      <c r="I6" s="205"/>
      <c r="J6" s="205"/>
      <c r="K6" s="205"/>
      <c r="L6" s="205"/>
      <c r="M6" s="205"/>
    </row>
    <row r="7" spans="1:13" x14ac:dyDescent="0.2">
      <c r="B7" s="104" t="s">
        <v>199</v>
      </c>
      <c r="C7" s="200" t="s">
        <v>195</v>
      </c>
    </row>
    <row r="8" spans="1:13" x14ac:dyDescent="0.2">
      <c r="B8" s="197" t="s">
        <v>196</v>
      </c>
      <c r="C8" s="200" t="s">
        <v>197</v>
      </c>
    </row>
    <row r="9" spans="1:13" x14ac:dyDescent="0.2">
      <c r="B9" s="203"/>
      <c r="D9" s="202"/>
    </row>
    <row r="10" spans="1:13" x14ac:dyDescent="0.2">
      <c r="B10" s="203"/>
      <c r="D10" s="202"/>
    </row>
    <row r="11" spans="1:13" x14ac:dyDescent="0.2">
      <c r="B11" s="425" t="s">
        <v>280</v>
      </c>
      <c r="C11" s="426"/>
      <c r="D11" s="426"/>
    </row>
    <row r="12" spans="1:13" x14ac:dyDescent="0.2">
      <c r="B12" s="200" t="s">
        <v>297</v>
      </c>
      <c r="C12" s="104" t="s">
        <v>104</v>
      </c>
      <c r="D12" s="105">
        <v>2.5000000000000001E-3</v>
      </c>
    </row>
    <row r="13" spans="1:13" x14ac:dyDescent="0.2">
      <c r="B13" s="200" t="s">
        <v>298</v>
      </c>
      <c r="C13" s="104" t="s">
        <v>104</v>
      </c>
      <c r="D13" s="105">
        <v>2.5000000000000001E-3</v>
      </c>
    </row>
    <row r="14" spans="1:13" x14ac:dyDescent="0.2">
      <c r="B14" s="200" t="s">
        <v>299</v>
      </c>
      <c r="C14" s="104" t="s">
        <v>104</v>
      </c>
      <c r="D14" s="105">
        <v>2.5000000000000001E-3</v>
      </c>
    </row>
    <row r="15" spans="1:13" x14ac:dyDescent="0.2">
      <c r="A15" s="205"/>
      <c r="B15" s="200" t="s">
        <v>258</v>
      </c>
      <c r="C15" s="104" t="s">
        <v>104</v>
      </c>
      <c r="D15" s="105">
        <v>0.3</v>
      </c>
      <c r="E15" s="205"/>
    </row>
    <row r="16" spans="1:13" x14ac:dyDescent="0.2">
      <c r="A16" s="205"/>
      <c r="B16" s="200" t="s">
        <v>282</v>
      </c>
      <c r="C16" s="104" t="s">
        <v>104</v>
      </c>
      <c r="D16" s="105">
        <v>0.11</v>
      </c>
      <c r="E16" s="205"/>
    </row>
    <row r="17" spans="1:15" x14ac:dyDescent="0.2">
      <c r="A17" s="205"/>
      <c r="B17" s="200" t="s">
        <v>259</v>
      </c>
      <c r="C17" s="104" t="s">
        <v>104</v>
      </c>
      <c r="D17" s="105">
        <v>0.05</v>
      </c>
      <c r="E17" s="205"/>
    </row>
    <row r="18" spans="1:15" x14ac:dyDescent="0.2">
      <c r="A18" s="205"/>
      <c r="B18" s="459" t="s">
        <v>76</v>
      </c>
      <c r="C18" s="104" t="s">
        <v>104</v>
      </c>
      <c r="D18" s="105">
        <v>5.8959999999999999E-2</v>
      </c>
      <c r="E18" s="205"/>
    </row>
    <row r="19" spans="1:15" x14ac:dyDescent="0.2">
      <c r="A19" s="205"/>
      <c r="B19" s="200" t="s">
        <v>277</v>
      </c>
      <c r="C19" s="104" t="s">
        <v>300</v>
      </c>
      <c r="D19" s="424">
        <v>2137231.5285030003</v>
      </c>
      <c r="E19" s="205"/>
    </row>
    <row r="20" spans="1:15" x14ac:dyDescent="0.2">
      <c r="A20" s="205"/>
      <c r="B20" s="200" t="s">
        <v>157</v>
      </c>
      <c r="C20" s="104" t="s">
        <v>301</v>
      </c>
      <c r="D20" s="423">
        <f>302080060/10^6</f>
        <v>302.08006</v>
      </c>
      <c r="E20" s="205"/>
    </row>
    <row r="21" spans="1:15" x14ac:dyDescent="0.2">
      <c r="A21" s="205"/>
      <c r="B21" s="200" t="s">
        <v>260</v>
      </c>
      <c r="C21" s="104" t="s">
        <v>71</v>
      </c>
      <c r="D21" s="423">
        <v>7075.05</v>
      </c>
      <c r="E21" s="205"/>
    </row>
    <row r="22" spans="1:15" x14ac:dyDescent="0.2">
      <c r="A22" s="205"/>
      <c r="B22" s="205"/>
      <c r="C22" s="205"/>
      <c r="D22" s="422"/>
      <c r="E22" s="205"/>
      <c r="K22" s="201"/>
    </row>
    <row r="23" spans="1:15" x14ac:dyDescent="0.2">
      <c r="A23" s="205"/>
      <c r="B23" s="425" t="s">
        <v>139</v>
      </c>
      <c r="C23" s="426"/>
      <c r="D23" s="426"/>
      <c r="E23" s="205"/>
      <c r="K23" s="201"/>
    </row>
    <row r="24" spans="1:15" x14ac:dyDescent="0.2">
      <c r="A24" s="205"/>
      <c r="B24" s="460"/>
      <c r="C24" s="460"/>
      <c r="D24" s="460" t="s">
        <v>102</v>
      </c>
      <c r="E24" s="205"/>
      <c r="K24" s="201"/>
    </row>
    <row r="25" spans="1:15" x14ac:dyDescent="0.2">
      <c r="A25" s="205"/>
      <c r="B25" s="104" t="s">
        <v>312</v>
      </c>
      <c r="C25" s="104"/>
      <c r="D25" s="104">
        <v>1550000</v>
      </c>
      <c r="E25" s="205"/>
      <c r="K25" s="201"/>
    </row>
    <row r="26" spans="1:15" x14ac:dyDescent="0.2">
      <c r="A26" s="205"/>
      <c r="B26" s="104" t="s">
        <v>313</v>
      </c>
      <c r="C26" s="104"/>
      <c r="D26" s="104">
        <v>1550000</v>
      </c>
      <c r="E26" s="205"/>
    </row>
    <row r="27" spans="1:15" s="104" customFormat="1" x14ac:dyDescent="0.2">
      <c r="B27" s="104" t="s">
        <v>314</v>
      </c>
      <c r="D27" s="104">
        <v>1550000</v>
      </c>
    </row>
    <row r="28" spans="1:15" s="104" customFormat="1" x14ac:dyDescent="0.2">
      <c r="B28" s="104" t="s">
        <v>315</v>
      </c>
      <c r="D28" s="104">
        <v>1800000</v>
      </c>
      <c r="L28" s="105"/>
      <c r="M28" s="105"/>
      <c r="N28" s="105"/>
      <c r="O28" s="105"/>
    </row>
    <row r="29" spans="1:15" s="104" customFormat="1" x14ac:dyDescent="0.2">
      <c r="B29" s="425" t="s">
        <v>316</v>
      </c>
      <c r="C29" s="426"/>
      <c r="D29" s="426"/>
    </row>
    <row r="30" spans="1:15" s="104" customFormat="1" x14ac:dyDescent="0.2">
      <c r="B30" s="460"/>
      <c r="C30" s="460" t="s">
        <v>57</v>
      </c>
      <c r="D30" s="460" t="s">
        <v>58</v>
      </c>
    </row>
    <row r="31" spans="1:15" s="104" customFormat="1" x14ac:dyDescent="0.2">
      <c r="C31" s="104" t="s">
        <v>102</v>
      </c>
      <c r="D31" s="104" t="s">
        <v>102</v>
      </c>
    </row>
    <row r="32" spans="1:15" s="104" customFormat="1" x14ac:dyDescent="0.2">
      <c r="B32" s="104" t="s">
        <v>312</v>
      </c>
      <c r="C32" s="104">
        <v>1170702</v>
      </c>
      <c r="D32" s="104">
        <v>121713</v>
      </c>
    </row>
    <row r="33" spans="2:4" s="104" customFormat="1" x14ac:dyDescent="0.2">
      <c r="B33" s="104" t="s">
        <v>313</v>
      </c>
      <c r="C33" s="104">
        <v>1305351</v>
      </c>
      <c r="D33" s="104">
        <v>123897</v>
      </c>
    </row>
    <row r="34" spans="2:4" s="104" customFormat="1" x14ac:dyDescent="0.2">
      <c r="B34" s="104" t="s">
        <v>314</v>
      </c>
      <c r="C34" s="104">
        <v>1414541</v>
      </c>
      <c r="D34" s="104">
        <v>124062</v>
      </c>
    </row>
    <row r="35" spans="2:4" s="104" customFormat="1" x14ac:dyDescent="0.2">
      <c r="B35" s="104" t="s">
        <v>315</v>
      </c>
      <c r="C35" s="104">
        <v>1653500</v>
      </c>
      <c r="D35" s="104">
        <v>126074</v>
      </c>
    </row>
    <row r="36" spans="2:4" s="104" customFormat="1" x14ac:dyDescent="0.2">
      <c r="B36" s="425" t="s">
        <v>317</v>
      </c>
      <c r="C36" s="426"/>
      <c r="D36" s="426"/>
    </row>
    <row r="37" spans="2:4" s="104" customFormat="1" x14ac:dyDescent="0.2">
      <c r="B37" s="460"/>
      <c r="C37" s="460" t="s">
        <v>57</v>
      </c>
      <c r="D37" s="460" t="s">
        <v>58</v>
      </c>
    </row>
    <row r="38" spans="2:4" s="104" customFormat="1" x14ac:dyDescent="0.2">
      <c r="C38" s="104" t="s">
        <v>102</v>
      </c>
      <c r="D38" s="104" t="s">
        <v>102</v>
      </c>
    </row>
    <row r="39" spans="2:4" x14ac:dyDescent="0.2">
      <c r="B39" s="104" t="s">
        <v>312</v>
      </c>
      <c r="C39" s="104">
        <v>2601236</v>
      </c>
      <c r="D39" s="104">
        <v>621341</v>
      </c>
    </row>
    <row r="40" spans="2:4" x14ac:dyDescent="0.2">
      <c r="B40" s="104" t="s">
        <v>313</v>
      </c>
      <c r="C40" s="104">
        <v>2789208</v>
      </c>
      <c r="D40" s="104">
        <v>653053</v>
      </c>
    </row>
    <row r="41" spans="2:4" x14ac:dyDescent="0.2">
      <c r="B41" s="104" t="s">
        <v>314</v>
      </c>
      <c r="C41" s="104">
        <v>3046727</v>
      </c>
      <c r="D41" s="104">
        <v>758830</v>
      </c>
    </row>
    <row r="42" spans="2:4" x14ac:dyDescent="0.2">
      <c r="B42" s="104" t="s">
        <v>315</v>
      </c>
      <c r="C42" s="104">
        <v>3288000</v>
      </c>
      <c r="D42" s="104">
        <v>747000</v>
      </c>
    </row>
  </sheetData>
  <mergeCells count="2">
    <mergeCell ref="C3:D3"/>
    <mergeCell ref="C2:D2"/>
  </mergeCells>
  <dataValidations count="1">
    <dataValidation type="list" allowBlank="1" showInputMessage="1" showErrorMessage="1" sqref="B3" xr:uid="{00000000-0002-0000-0000-000000000000}">
      <formula1>"Base Case, Best Case, Worst Case"</formula1>
    </dataValidation>
  </dataValidations>
  <hyperlinks>
    <hyperlink ref="B18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 tint="0.79998168889431442"/>
  </sheetPr>
  <dimension ref="A1:G58"/>
  <sheetViews>
    <sheetView showGridLines="0" workbookViewId="0">
      <pane xSplit="2" ySplit="3" topLeftCell="C4" activePane="bottomRight" state="frozen"/>
      <selection activeCell="B52" sqref="B52"/>
      <selection pane="topRight" activeCell="B52" sqref="B52"/>
      <selection pane="bottomLeft" activeCell="B52" sqref="B52"/>
      <selection pane="bottomRight" activeCell="C4" sqref="C4"/>
    </sheetView>
  </sheetViews>
  <sheetFormatPr defaultColWidth="9.140625" defaultRowHeight="12.75" x14ac:dyDescent="0.2"/>
  <cols>
    <col min="1" max="1" width="2.42578125" style="2" customWidth="1"/>
    <col min="2" max="2" width="38.85546875" style="2" customWidth="1"/>
    <col min="3" max="3" width="9.85546875" style="2" bestFit="1" customWidth="1"/>
    <col min="4" max="4" width="10" style="2" bestFit="1" customWidth="1"/>
    <col min="5" max="5" width="9.42578125" style="3" bestFit="1" customWidth="1"/>
    <col min="6" max="6" width="9.85546875" style="2" bestFit="1" customWidth="1"/>
    <col min="7" max="16384" width="9.140625" style="2"/>
  </cols>
  <sheetData>
    <row r="1" spans="1:6" x14ac:dyDescent="0.2">
      <c r="A1" s="1"/>
      <c r="B1" s="1"/>
    </row>
    <row r="2" spans="1:6" ht="13.5" thickBot="1" x14ac:dyDescent="0.25">
      <c r="A2" s="1"/>
      <c r="B2" s="1"/>
      <c r="F2" s="4" t="s">
        <v>80</v>
      </c>
    </row>
    <row r="3" spans="1:6" ht="13.5" thickBot="1" x14ac:dyDescent="0.25">
      <c r="A3" s="5"/>
      <c r="B3" s="6" t="s">
        <v>79</v>
      </c>
      <c r="C3" s="449">
        <v>2016</v>
      </c>
      <c r="D3" s="449">
        <f>C3+1</f>
        <v>2017</v>
      </c>
      <c r="E3" s="449">
        <f t="shared" ref="E3:F3" si="0">D3+1</f>
        <v>2018</v>
      </c>
      <c r="F3" s="449">
        <f t="shared" si="0"/>
        <v>2019</v>
      </c>
    </row>
    <row r="4" spans="1:6" x14ac:dyDescent="0.2">
      <c r="A4" s="7"/>
      <c r="B4" s="8"/>
      <c r="C4" s="34" t="s">
        <v>226</v>
      </c>
      <c r="D4" s="34" t="s">
        <v>96</v>
      </c>
      <c r="E4" s="34" t="s">
        <v>96</v>
      </c>
      <c r="F4" s="34" t="s">
        <v>96</v>
      </c>
    </row>
    <row r="5" spans="1:6" x14ac:dyDescent="0.2">
      <c r="A5" s="9"/>
      <c r="B5" s="10" t="s">
        <v>82</v>
      </c>
      <c r="F5" s="11"/>
    </row>
    <row r="6" spans="1:6" x14ac:dyDescent="0.2">
      <c r="A6" s="7"/>
      <c r="B6" s="8" t="s">
        <v>81</v>
      </c>
      <c r="C6" s="394">
        <v>575890</v>
      </c>
      <c r="D6" s="394">
        <v>680850</v>
      </c>
      <c r="E6" s="394">
        <f>820411-22317</f>
        <v>798094</v>
      </c>
      <c r="F6" s="394">
        <v>860685</v>
      </c>
    </row>
    <row r="7" spans="1:6" x14ac:dyDescent="0.2">
      <c r="A7" s="7"/>
      <c r="B7" s="8" t="s">
        <v>0</v>
      </c>
      <c r="C7" s="394">
        <v>14806</v>
      </c>
      <c r="D7" s="394">
        <v>22896</v>
      </c>
      <c r="E7" s="394">
        <v>20458</v>
      </c>
      <c r="F7" s="394">
        <v>25616</v>
      </c>
    </row>
    <row r="8" spans="1:6" x14ac:dyDescent="0.2">
      <c r="A8" s="7"/>
      <c r="B8" s="140"/>
      <c r="C8" s="141"/>
      <c r="D8" s="142"/>
      <c r="E8" s="142"/>
      <c r="F8" s="142"/>
    </row>
    <row r="9" spans="1:6" ht="13.5" thickBot="1" x14ac:dyDescent="0.25">
      <c r="A9" s="13"/>
      <c r="B9" s="14" t="s">
        <v>84</v>
      </c>
      <c r="C9" s="395">
        <f>C6+C7</f>
        <v>590696</v>
      </c>
      <c r="D9" s="395">
        <f>D6+D7</f>
        <v>703746</v>
      </c>
      <c r="E9" s="395">
        <f>E6+E7</f>
        <v>818552</v>
      </c>
      <c r="F9" s="395">
        <f>F6+F7</f>
        <v>886301</v>
      </c>
    </row>
    <row r="10" spans="1:6" x14ac:dyDescent="0.2">
      <c r="A10" s="7"/>
      <c r="B10" s="8"/>
      <c r="C10" s="15"/>
      <c r="D10" s="12"/>
      <c r="E10" s="12"/>
      <c r="F10" s="12"/>
    </row>
    <row r="11" spans="1:6" x14ac:dyDescent="0.2">
      <c r="A11" s="9"/>
      <c r="B11" s="10" t="s">
        <v>83</v>
      </c>
      <c r="C11" s="15"/>
      <c r="D11" s="12"/>
      <c r="E11" s="12"/>
      <c r="F11" s="12"/>
    </row>
    <row r="12" spans="1:6" x14ac:dyDescent="0.2">
      <c r="A12" s="9"/>
      <c r="B12" s="3" t="s">
        <v>46</v>
      </c>
      <c r="C12" s="394">
        <v>354833</v>
      </c>
      <c r="D12" s="394">
        <v>426279</v>
      </c>
      <c r="E12" s="394">
        <v>449432</v>
      </c>
      <c r="F12" s="394">
        <v>450257</v>
      </c>
    </row>
    <row r="13" spans="1:6" x14ac:dyDescent="0.2">
      <c r="A13" s="9"/>
      <c r="B13" s="3" t="s">
        <v>47</v>
      </c>
      <c r="C13" s="394">
        <v>32179</v>
      </c>
      <c r="D13" s="394">
        <v>44936</v>
      </c>
      <c r="E13" s="394">
        <v>100021</v>
      </c>
      <c r="F13" s="394">
        <v>150266</v>
      </c>
    </row>
    <row r="14" spans="1:6" x14ac:dyDescent="0.2">
      <c r="A14" s="9"/>
      <c r="B14" s="3" t="s">
        <v>48</v>
      </c>
      <c r="C14" s="394">
        <v>48</v>
      </c>
      <c r="D14" s="394">
        <v>-3793</v>
      </c>
      <c r="E14" s="394">
        <v>408</v>
      </c>
      <c r="F14" s="394">
        <v>2116</v>
      </c>
    </row>
    <row r="15" spans="1:6" x14ac:dyDescent="0.2">
      <c r="A15" s="9"/>
      <c r="B15" s="3" t="s">
        <v>45</v>
      </c>
      <c r="C15" s="394">
        <v>20003</v>
      </c>
      <c r="D15" s="394">
        <v>23603</v>
      </c>
      <c r="E15" s="394">
        <v>28634</v>
      </c>
      <c r="F15" s="394">
        <v>32850</v>
      </c>
    </row>
    <row r="16" spans="1:6" x14ac:dyDescent="0.2">
      <c r="A16" s="9"/>
      <c r="B16" s="3" t="s">
        <v>1</v>
      </c>
      <c r="C16" s="394">
        <v>80542</v>
      </c>
      <c r="D16" s="394">
        <v>87280</v>
      </c>
      <c r="E16" s="394">
        <v>99956</v>
      </c>
      <c r="F16" s="394">
        <v>116385</v>
      </c>
    </row>
    <row r="17" spans="1:6" x14ac:dyDescent="0.2">
      <c r="A17" s="9"/>
      <c r="B17" s="3" t="s">
        <v>85</v>
      </c>
      <c r="C17" s="394">
        <v>-602</v>
      </c>
      <c r="D17" s="394">
        <v>-1036</v>
      </c>
      <c r="E17" s="394">
        <v>-991</v>
      </c>
      <c r="F17" s="394">
        <v>-1221</v>
      </c>
    </row>
    <row r="18" spans="1:6" x14ac:dyDescent="0.2">
      <c r="A18" s="7"/>
      <c r="B18" s="8"/>
      <c r="C18" s="15"/>
      <c r="D18" s="12"/>
      <c r="E18" s="12"/>
      <c r="F18" s="12"/>
    </row>
    <row r="19" spans="1:6" ht="13.5" thickBot="1" x14ac:dyDescent="0.25">
      <c r="A19" s="13"/>
      <c r="B19" s="14" t="s">
        <v>84</v>
      </c>
      <c r="C19" s="395">
        <f>SUM(C12:C18)</f>
        <v>487003</v>
      </c>
      <c r="D19" s="395">
        <f>SUM(D12:D18)</f>
        <v>577269</v>
      </c>
      <c r="E19" s="395">
        <f>SUM(E12:E18)</f>
        <v>677460</v>
      </c>
      <c r="F19" s="395">
        <f>SUM(F12:F18)</f>
        <v>750653</v>
      </c>
    </row>
    <row r="20" spans="1:6" x14ac:dyDescent="0.2">
      <c r="A20" s="7"/>
      <c r="B20" s="8"/>
      <c r="C20" s="15"/>
      <c r="D20" s="15"/>
      <c r="E20" s="12"/>
      <c r="F20" s="12"/>
    </row>
    <row r="21" spans="1:6" x14ac:dyDescent="0.2">
      <c r="B21" s="18" t="s">
        <v>189</v>
      </c>
      <c r="C21" s="19">
        <f>C6-C19</f>
        <v>88887</v>
      </c>
      <c r="D21" s="19">
        <f>D6-D19</f>
        <v>103581</v>
      </c>
      <c r="E21" s="19">
        <f>E6-E19</f>
        <v>120634</v>
      </c>
      <c r="F21" s="19">
        <f>F6-F19</f>
        <v>110032</v>
      </c>
    </row>
    <row r="22" spans="1:6" x14ac:dyDescent="0.2">
      <c r="A22" s="7"/>
      <c r="B22" s="8"/>
      <c r="C22" s="15"/>
      <c r="D22" s="15"/>
      <c r="E22" s="12"/>
      <c r="F22" s="12"/>
    </row>
    <row r="23" spans="1:6" x14ac:dyDescent="0.2">
      <c r="A23" s="7"/>
      <c r="B23" s="8" t="s">
        <v>2</v>
      </c>
      <c r="C23" s="396">
        <v>28218</v>
      </c>
      <c r="D23" s="396">
        <v>26039</v>
      </c>
      <c r="E23" s="394">
        <v>27598</v>
      </c>
      <c r="F23" s="394">
        <v>30208</v>
      </c>
    </row>
    <row r="24" spans="1:6" x14ac:dyDescent="0.2">
      <c r="A24" s="7"/>
      <c r="B24" s="8"/>
      <c r="C24" s="12"/>
      <c r="D24" s="12"/>
      <c r="E24" s="12"/>
      <c r="F24" s="12"/>
    </row>
    <row r="25" spans="1:6" x14ac:dyDescent="0.2">
      <c r="B25" s="18" t="s">
        <v>44</v>
      </c>
      <c r="C25" s="19">
        <f>C21-C23</f>
        <v>60669</v>
      </c>
      <c r="D25" s="19">
        <f t="shared" ref="D25:F25" si="1">D21-D23</f>
        <v>77542</v>
      </c>
      <c r="E25" s="19">
        <f t="shared" si="1"/>
        <v>93036</v>
      </c>
      <c r="F25" s="19">
        <f t="shared" si="1"/>
        <v>79824</v>
      </c>
    </row>
    <row r="26" spans="1:6" x14ac:dyDescent="0.2">
      <c r="A26" s="7"/>
      <c r="B26" s="8"/>
      <c r="C26" s="12"/>
      <c r="D26" s="12"/>
      <c r="E26" s="12"/>
      <c r="F26" s="12"/>
    </row>
    <row r="27" spans="1:6" x14ac:dyDescent="0.2">
      <c r="A27" s="7"/>
      <c r="B27" s="8" t="s">
        <v>3</v>
      </c>
      <c r="C27" s="396">
        <v>817</v>
      </c>
      <c r="D27" s="396">
        <v>894</v>
      </c>
      <c r="E27" s="394">
        <v>3458</v>
      </c>
      <c r="F27" s="394">
        <v>759</v>
      </c>
    </row>
    <row r="28" spans="1:6" x14ac:dyDescent="0.2">
      <c r="A28" s="7"/>
      <c r="B28" s="8"/>
      <c r="C28" s="12"/>
      <c r="D28" s="12"/>
      <c r="E28" s="12"/>
      <c r="F28" s="12"/>
    </row>
    <row r="29" spans="1:6" x14ac:dyDescent="0.2">
      <c r="B29" s="18" t="s">
        <v>41</v>
      </c>
      <c r="C29" s="19">
        <f>C25-C27+C7</f>
        <v>74658</v>
      </c>
      <c r="D29" s="19">
        <f t="shared" ref="D29:F29" si="2">D25-D27+D7</f>
        <v>99544</v>
      </c>
      <c r="E29" s="19">
        <f t="shared" si="2"/>
        <v>110036</v>
      </c>
      <c r="F29" s="19">
        <f t="shared" si="2"/>
        <v>104681</v>
      </c>
    </row>
    <row r="30" spans="1:6" x14ac:dyDescent="0.2">
      <c r="B30" s="8"/>
      <c r="C30" s="16"/>
      <c r="D30" s="16"/>
      <c r="E30" s="16"/>
      <c r="F30" s="16"/>
    </row>
    <row r="31" spans="1:6" x14ac:dyDescent="0.2">
      <c r="B31" s="8" t="s">
        <v>49</v>
      </c>
      <c r="C31" s="30">
        <v>0</v>
      </c>
      <c r="D31" s="30">
        <v>0</v>
      </c>
      <c r="E31" s="30">
        <v>0</v>
      </c>
      <c r="F31" s="30">
        <v>0</v>
      </c>
    </row>
    <row r="32" spans="1:6" x14ac:dyDescent="0.2">
      <c r="B32" s="8"/>
      <c r="C32" s="16"/>
      <c r="D32" s="16"/>
      <c r="E32" s="12"/>
      <c r="F32" s="12"/>
    </row>
    <row r="33" spans="1:7" x14ac:dyDescent="0.2">
      <c r="B33" s="18" t="s">
        <v>40</v>
      </c>
      <c r="C33" s="19">
        <f>C29+C31</f>
        <v>74658</v>
      </c>
      <c r="D33" s="19">
        <f>D29+D31</f>
        <v>99544</v>
      </c>
      <c r="E33" s="19">
        <f>E29+E31</f>
        <v>110036</v>
      </c>
      <c r="F33" s="19">
        <f>F29+F31</f>
        <v>104681</v>
      </c>
    </row>
    <row r="34" spans="1:7" x14ac:dyDescent="0.2">
      <c r="A34" s="7"/>
      <c r="B34" s="8"/>
      <c r="C34" s="16"/>
      <c r="D34" s="16"/>
      <c r="E34" s="12"/>
      <c r="F34" s="12"/>
    </row>
    <row r="35" spans="1:7" x14ac:dyDescent="0.2">
      <c r="A35" s="7"/>
      <c r="B35" s="8" t="s">
        <v>4</v>
      </c>
      <c r="C35" s="396">
        <v>20875</v>
      </c>
      <c r="D35" s="396">
        <v>26162</v>
      </c>
      <c r="E35" s="394">
        <f>33505-643</f>
        <v>32862</v>
      </c>
      <c r="F35" s="394">
        <v>29732</v>
      </c>
    </row>
    <row r="36" spans="1:7" s="87" customFormat="1" x14ac:dyDescent="0.2">
      <c r="A36" s="91"/>
      <c r="B36" s="88"/>
      <c r="C36" s="396"/>
      <c r="D36" s="396"/>
      <c r="E36" s="394"/>
      <c r="F36" s="394"/>
    </row>
    <row r="37" spans="1:7" s="87" customFormat="1" x14ac:dyDescent="0.2">
      <c r="A37" s="91"/>
      <c r="B37" s="18" t="s">
        <v>307</v>
      </c>
      <c r="C37" s="19">
        <f>+C33-C35</f>
        <v>53783</v>
      </c>
      <c r="D37" s="19">
        <f t="shared" ref="D37:F37" si="3">+D33-D35</f>
        <v>73382</v>
      </c>
      <c r="E37" s="19">
        <f t="shared" si="3"/>
        <v>77174</v>
      </c>
      <c r="F37" s="19">
        <f t="shared" si="3"/>
        <v>74949</v>
      </c>
    </row>
    <row r="38" spans="1:7" s="87" customFormat="1" x14ac:dyDescent="0.2">
      <c r="A38" s="91"/>
      <c r="B38" s="88"/>
      <c r="C38" s="396"/>
      <c r="D38" s="396"/>
      <c r="E38" s="394"/>
      <c r="F38" s="394"/>
    </row>
    <row r="39" spans="1:7" s="87" customFormat="1" x14ac:dyDescent="0.2">
      <c r="A39" s="91"/>
      <c r="B39" s="88" t="s">
        <v>306</v>
      </c>
      <c r="C39" s="396">
        <v>1189</v>
      </c>
      <c r="D39" s="396">
        <v>1728</v>
      </c>
      <c r="E39" s="396">
        <f>1366+267</f>
        <v>1633</v>
      </c>
      <c r="F39" s="396">
        <f>1273+284</f>
        <v>1557</v>
      </c>
    </row>
    <row r="40" spans="1:7" x14ac:dyDescent="0.2">
      <c r="A40" s="7"/>
      <c r="B40" s="8"/>
      <c r="C40" s="12"/>
      <c r="D40" s="12"/>
      <c r="E40" s="12"/>
      <c r="F40" s="12"/>
    </row>
    <row r="41" spans="1:7" ht="13.5" thickBot="1" x14ac:dyDescent="0.25">
      <c r="A41" s="17"/>
      <c r="B41" s="17" t="s">
        <v>42</v>
      </c>
      <c r="C41" s="395">
        <f>+C37+C39</f>
        <v>54972</v>
      </c>
      <c r="D41" s="395">
        <f t="shared" ref="D41:F41" si="4">+D37+D39</f>
        <v>75110</v>
      </c>
      <c r="E41" s="395">
        <f t="shared" si="4"/>
        <v>78807</v>
      </c>
      <c r="F41" s="395">
        <f t="shared" si="4"/>
        <v>76506</v>
      </c>
    </row>
    <row r="42" spans="1:7" s="87" customFormat="1" x14ac:dyDescent="0.2">
      <c r="B42" s="87" t="s">
        <v>177</v>
      </c>
      <c r="C42" s="397">
        <v>15583.88</v>
      </c>
      <c r="D42" s="397">
        <v>21262.79</v>
      </c>
      <c r="E42" s="397">
        <v>22374</v>
      </c>
      <c r="F42" s="397">
        <v>39185</v>
      </c>
    </row>
    <row r="43" spans="1:7" x14ac:dyDescent="0.2">
      <c r="C43" s="15"/>
      <c r="D43" s="131"/>
      <c r="E43" s="131"/>
      <c r="F43" s="131"/>
    </row>
    <row r="44" spans="1:7" x14ac:dyDescent="0.2">
      <c r="A44" s="87"/>
      <c r="B44" s="87"/>
      <c r="C44" s="87"/>
      <c r="D44" s="87"/>
      <c r="F44" s="87"/>
      <c r="G44" s="87"/>
    </row>
    <row r="45" spans="1:7" x14ac:dyDescent="0.2">
      <c r="A45" s="87"/>
      <c r="B45" s="388" t="s">
        <v>200</v>
      </c>
      <c r="C45" s="389"/>
      <c r="D45" s="389"/>
      <c r="E45" s="389"/>
      <c r="F45" s="389"/>
      <c r="G45" s="87"/>
    </row>
    <row r="46" spans="1:7" x14ac:dyDescent="0.2">
      <c r="A46" s="87"/>
      <c r="B46" s="389" t="s">
        <v>204</v>
      </c>
      <c r="C46" s="390" t="s">
        <v>140</v>
      </c>
      <c r="D46" s="391">
        <f>D6/C6-1</f>
        <v>0.18225702825192314</v>
      </c>
      <c r="E46" s="391">
        <f>E6/D6-1</f>
        <v>0.17220239406624072</v>
      </c>
      <c r="F46" s="391">
        <f>F6/E6-1</f>
        <v>7.8425598989592782E-2</v>
      </c>
      <c r="G46" s="87"/>
    </row>
    <row r="47" spans="1:7" s="87" customFormat="1" x14ac:dyDescent="0.2">
      <c r="B47" s="389" t="s">
        <v>202</v>
      </c>
      <c r="C47" s="447">
        <f>(C6-SUM(C12:C14))/C6</f>
        <v>0.3278924794665648</v>
      </c>
      <c r="D47" s="447">
        <f>(D6-SUM(D12:D14))/D6</f>
        <v>0.31347286480135123</v>
      </c>
      <c r="E47" s="447">
        <f>(E6-SUM(E12:E14))/E6</f>
        <v>0.31103228441762498</v>
      </c>
      <c r="F47" s="447">
        <f>(F6-SUM(F12:F14))/F6</f>
        <v>0.29981468249127147</v>
      </c>
    </row>
    <row r="48" spans="1:7" x14ac:dyDescent="0.2">
      <c r="A48" s="87"/>
      <c r="B48" s="389" t="s">
        <v>205</v>
      </c>
      <c r="C48" s="447">
        <f>C21/C6</f>
        <v>0.15434718435812395</v>
      </c>
      <c r="D48" s="447">
        <f>D21/D6</f>
        <v>0.15213483146067416</v>
      </c>
      <c r="E48" s="447">
        <f>E21/E6</f>
        <v>0.15115262111981798</v>
      </c>
      <c r="F48" s="447">
        <f>F21/F6</f>
        <v>0.12784235812172862</v>
      </c>
      <c r="G48" s="87"/>
    </row>
    <row r="49" spans="1:7" x14ac:dyDescent="0.2">
      <c r="A49" s="87"/>
      <c r="B49" s="389" t="s">
        <v>201</v>
      </c>
      <c r="C49" s="447">
        <f>C25/C6</f>
        <v>0.10534824358818524</v>
      </c>
      <c r="D49" s="447">
        <f>D25/D6</f>
        <v>0.11388999045311009</v>
      </c>
      <c r="E49" s="447">
        <f>E25/E6</f>
        <v>0.11657273454004165</v>
      </c>
      <c r="F49" s="447">
        <f>F25/F6</f>
        <v>9.2744732393384335E-2</v>
      </c>
      <c r="G49" s="87"/>
    </row>
    <row r="50" spans="1:7" x14ac:dyDescent="0.2">
      <c r="A50" s="87"/>
      <c r="B50" s="389" t="s">
        <v>203</v>
      </c>
      <c r="C50" s="447">
        <f>C41/C6</f>
        <v>9.5455729392765976E-2</v>
      </c>
      <c r="D50" s="447">
        <f>D41/D6</f>
        <v>0.11031798487185136</v>
      </c>
      <c r="E50" s="447">
        <f>E41/E6</f>
        <v>9.8744007598102479E-2</v>
      </c>
      <c r="F50" s="447">
        <f>F41/F6</f>
        <v>8.8889663465727881E-2</v>
      </c>
      <c r="G50" s="87"/>
    </row>
    <row r="51" spans="1:7" x14ac:dyDescent="0.2">
      <c r="A51" s="87"/>
      <c r="B51" s="389" t="s">
        <v>32</v>
      </c>
      <c r="C51" s="447">
        <f>C41/'BS Input'!C53</f>
        <v>0.12866320692339323</v>
      </c>
      <c r="D51" s="447">
        <f>D41/'BS Input'!D53</f>
        <v>0.14455210784443526</v>
      </c>
      <c r="E51" s="447">
        <f>E41/'BS Input'!E53</f>
        <v>0.13080347361921643</v>
      </c>
      <c r="F51" s="447">
        <f>F41/'BS Input'!F53</f>
        <v>0.11959911644288534</v>
      </c>
      <c r="G51" s="87"/>
    </row>
    <row r="52" spans="1:7" x14ac:dyDescent="0.2">
      <c r="A52" s="87"/>
      <c r="B52" s="389" t="s">
        <v>43</v>
      </c>
      <c r="C52" s="392">
        <f>C6/'BS Input'!C53</f>
        <v>1.3478835449885929</v>
      </c>
      <c r="D52" s="392">
        <f>D6/'BS Input'!D53</f>
        <v>1.3103222290758054</v>
      </c>
      <c r="E52" s="392">
        <f>E6/'BS Input'!E53</f>
        <v>1.324672522423832</v>
      </c>
      <c r="F52" s="392">
        <f>F6/'BS Input'!F53</f>
        <v>1.3454783354984547</v>
      </c>
      <c r="G52" s="87"/>
    </row>
    <row r="53" spans="1:7" x14ac:dyDescent="0.2">
      <c r="A53" s="87"/>
      <c r="B53" s="389" t="s">
        <v>34</v>
      </c>
      <c r="C53" s="392">
        <f>'BS Input'!C60</f>
        <v>1.3948724143334725</v>
      </c>
      <c r="D53" s="392">
        <f>'BS Input'!D60</f>
        <v>1.4009112845607365</v>
      </c>
      <c r="E53" s="392">
        <f>'BS Input'!E60</f>
        <v>1.4150955361651654</v>
      </c>
      <c r="F53" s="392">
        <f>'BS Input'!F60</f>
        <v>1.3578668512004959</v>
      </c>
      <c r="G53" s="87"/>
    </row>
    <row r="54" spans="1:7" x14ac:dyDescent="0.2">
      <c r="A54" s="87"/>
      <c r="B54" s="389" t="s">
        <v>5</v>
      </c>
      <c r="C54" s="447">
        <f>C50*C52*C53</f>
        <v>0.17946875807712068</v>
      </c>
      <c r="D54" s="447">
        <f t="shared" ref="D54:F54" si="5">D50*D52*D53</f>
        <v>0.20250467908630992</v>
      </c>
      <c r="E54" s="447">
        <f t="shared" si="5"/>
        <v>0.18509941163345117</v>
      </c>
      <c r="F54" s="447">
        <f t="shared" si="5"/>
        <v>0.16239967565066218</v>
      </c>
      <c r="G54" s="87"/>
    </row>
    <row r="55" spans="1:7" x14ac:dyDescent="0.2">
      <c r="A55" s="87"/>
      <c r="B55" s="87"/>
      <c r="C55" s="87"/>
      <c r="D55" s="87"/>
      <c r="F55" s="87"/>
      <c r="G55" s="87"/>
    </row>
    <row r="56" spans="1:7" x14ac:dyDescent="0.2">
      <c r="A56" s="87"/>
      <c r="B56" s="87"/>
      <c r="C56" s="87"/>
      <c r="D56" s="87"/>
      <c r="F56" s="87"/>
      <c r="G56" s="87"/>
    </row>
    <row r="57" spans="1:7" x14ac:dyDescent="0.2">
      <c r="A57" s="87"/>
      <c r="B57" s="87"/>
      <c r="C57" s="87"/>
      <c r="D57" s="87"/>
      <c r="F57" s="87"/>
      <c r="G57" s="87"/>
    </row>
    <row r="58" spans="1:7" x14ac:dyDescent="0.2">
      <c r="A58" s="87"/>
      <c r="B58" s="87"/>
      <c r="C58" s="87"/>
      <c r="D58" s="87"/>
      <c r="F58" s="87"/>
      <c r="G58" s="87"/>
    </row>
  </sheetData>
  <pageMargins left="0.7" right="0.7" top="0.75" bottom="0.75" header="0.3" footer="0.3"/>
  <ignoredErrors>
    <ignoredError sqref="D47:F4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79998168889431442"/>
  </sheetPr>
  <dimension ref="A1:I64"/>
  <sheetViews>
    <sheetView showGridLines="0" workbookViewId="0">
      <pane xSplit="2" ySplit="4" topLeftCell="C5" activePane="bottomRight" state="frozen"/>
      <selection activeCell="B52" sqref="B52"/>
      <selection pane="topRight" activeCell="B52" sqref="B52"/>
      <selection pane="bottomLeft" activeCell="B52" sqref="B52"/>
      <selection pane="bottomRight" activeCell="C5" sqref="C5"/>
    </sheetView>
  </sheetViews>
  <sheetFormatPr defaultColWidth="9.140625" defaultRowHeight="10.5" x14ac:dyDescent="0.15"/>
  <cols>
    <col min="1" max="1" width="2.85546875" style="128" customWidth="1"/>
    <col min="2" max="2" width="36.140625" style="21" customWidth="1"/>
    <col min="3" max="4" width="9.85546875" style="128" bestFit="1" customWidth="1"/>
    <col min="5" max="5" width="10.140625" style="21" customWidth="1"/>
    <col min="6" max="6" width="9.5703125" style="21" bestFit="1" customWidth="1"/>
    <col min="7" max="16384" width="9.140625" style="21"/>
  </cols>
  <sheetData>
    <row r="1" spans="1:6" ht="11.45" customHeight="1" x14ac:dyDescent="0.15">
      <c r="A1" s="385"/>
      <c r="B1" s="20"/>
    </row>
    <row r="2" spans="1:6" ht="13.5" thickBot="1" x14ac:dyDescent="0.25">
      <c r="A2" s="386"/>
      <c r="B2" s="1"/>
      <c r="C2" s="87"/>
      <c r="D2" s="87"/>
      <c r="E2" s="3"/>
      <c r="F2" s="4" t="s">
        <v>80</v>
      </c>
    </row>
    <row r="3" spans="1:6" s="22" customFormat="1" ht="15" thickBot="1" x14ac:dyDescent="0.25">
      <c r="A3" s="5"/>
      <c r="B3" s="6" t="s">
        <v>79</v>
      </c>
      <c r="C3" s="450">
        <f>'P&amp;L Input'!C3</f>
        <v>2016</v>
      </c>
      <c r="D3" s="450">
        <f>'P&amp;L Input'!D3</f>
        <v>2017</v>
      </c>
      <c r="E3" s="449">
        <f>'P&amp;L Input'!E3</f>
        <v>2018</v>
      </c>
      <c r="F3" s="449">
        <f>'P&amp;L Input'!F3</f>
        <v>2019</v>
      </c>
    </row>
    <row r="4" spans="1:6" s="23" customFormat="1" ht="12.75" x14ac:dyDescent="0.2">
      <c r="A4" s="9"/>
      <c r="B4" s="18"/>
      <c r="C4" s="34" t="str">
        <f>'P&amp;L Input'!C4</f>
        <v xml:space="preserve"> </v>
      </c>
      <c r="D4" s="34" t="str">
        <f>'P&amp;L Input'!D4</f>
        <v>Audited</v>
      </c>
      <c r="E4" s="35" t="str">
        <f>'P&amp;L Input'!E4</f>
        <v>Audited</v>
      </c>
      <c r="F4" s="35" t="str">
        <f>'P&amp;L Input'!F4</f>
        <v>Audited</v>
      </c>
    </row>
    <row r="5" spans="1:6" s="23" customFormat="1" ht="12.75" x14ac:dyDescent="0.2">
      <c r="A5" s="87"/>
      <c r="B5" s="37" t="s">
        <v>99</v>
      </c>
      <c r="C5" s="87"/>
      <c r="D5" s="87"/>
    </row>
    <row r="6" spans="1:6" s="23" customFormat="1" ht="12.75" x14ac:dyDescent="0.2">
      <c r="A6" s="91"/>
      <c r="B6" s="24"/>
      <c r="C6" s="87"/>
      <c r="D6" s="87"/>
    </row>
    <row r="7" spans="1:6" s="23" customFormat="1" ht="12.75" x14ac:dyDescent="0.2">
      <c r="A7" s="9" t="s">
        <v>6</v>
      </c>
      <c r="B7" s="24"/>
      <c r="C7" s="87"/>
      <c r="D7" s="3"/>
    </row>
    <row r="8" spans="1:6" s="23" customFormat="1" ht="12.75" x14ac:dyDescent="0.2">
      <c r="A8" s="91"/>
      <c r="B8" s="24" t="s">
        <v>7</v>
      </c>
      <c r="C8" s="398">
        <v>1510</v>
      </c>
      <c r="D8" s="398">
        <v>1510</v>
      </c>
      <c r="E8" s="399">
        <v>1510</v>
      </c>
      <c r="F8" s="400">
        <f>E8</f>
        <v>1510</v>
      </c>
    </row>
    <row r="9" spans="1:6" s="23" customFormat="1" ht="12.75" x14ac:dyDescent="0.2">
      <c r="A9" s="91"/>
      <c r="B9" s="24" t="s">
        <v>8</v>
      </c>
      <c r="C9" s="398">
        <v>304650</v>
      </c>
      <c r="D9" s="398">
        <v>369241</v>
      </c>
      <c r="E9" s="401">
        <v>424084</v>
      </c>
      <c r="F9" s="401">
        <v>469411</v>
      </c>
    </row>
    <row r="10" spans="1:6" s="23" customFormat="1" ht="12.75" x14ac:dyDescent="0.2">
      <c r="A10" s="91"/>
      <c r="B10" s="24" t="s">
        <v>21</v>
      </c>
      <c r="C10" s="398">
        <v>0</v>
      </c>
      <c r="D10" s="398">
        <v>0</v>
      </c>
      <c r="E10" s="399"/>
      <c r="F10" s="400"/>
    </row>
    <row r="11" spans="1:6" s="23" customFormat="1" ht="12.75" x14ac:dyDescent="0.2">
      <c r="A11" s="91"/>
      <c r="B11" s="24"/>
      <c r="C11" s="398"/>
      <c r="D11" s="398"/>
      <c r="E11" s="399"/>
      <c r="F11" s="400"/>
    </row>
    <row r="12" spans="1:6" s="23" customFormat="1" ht="12.75" x14ac:dyDescent="0.2">
      <c r="A12" s="9" t="s">
        <v>35</v>
      </c>
      <c r="B12" s="24"/>
      <c r="C12" s="398">
        <v>144</v>
      </c>
      <c r="D12" s="398">
        <v>154</v>
      </c>
      <c r="E12" s="399">
        <v>161</v>
      </c>
      <c r="F12" s="400">
        <v>176</v>
      </c>
    </row>
    <row r="13" spans="1:6" s="23" customFormat="1" ht="12.75" x14ac:dyDescent="0.2">
      <c r="A13" s="91" t="s">
        <v>36</v>
      </c>
      <c r="B13" s="24"/>
      <c r="C13" s="398">
        <v>0</v>
      </c>
      <c r="D13" s="398">
        <v>0</v>
      </c>
      <c r="E13" s="399"/>
      <c r="F13" s="400"/>
    </row>
    <row r="14" spans="1:6" s="23" customFormat="1" ht="12.75" x14ac:dyDescent="0.2">
      <c r="A14" s="91"/>
      <c r="B14" s="24"/>
      <c r="C14" s="398"/>
      <c r="D14" s="398"/>
      <c r="E14" s="399"/>
      <c r="F14" s="400"/>
    </row>
    <row r="15" spans="1:6" s="23" customFormat="1" ht="12.75" x14ac:dyDescent="0.2">
      <c r="A15" s="9" t="s">
        <v>9</v>
      </c>
      <c r="B15" s="24"/>
      <c r="C15" s="398"/>
      <c r="D15" s="398"/>
      <c r="E15" s="399"/>
      <c r="F15" s="400"/>
    </row>
    <row r="16" spans="1:6" s="23" customFormat="1" ht="12.75" x14ac:dyDescent="0.2">
      <c r="A16" s="91"/>
      <c r="B16" s="24" t="s">
        <v>10</v>
      </c>
      <c r="C16" s="398">
        <v>0</v>
      </c>
      <c r="D16" s="398">
        <v>0</v>
      </c>
      <c r="E16" s="399">
        <v>100</v>
      </c>
      <c r="F16" s="400">
        <v>80</v>
      </c>
    </row>
    <row r="17" spans="1:6" s="23" customFormat="1" ht="12.75" x14ac:dyDescent="0.2">
      <c r="A17" s="91"/>
      <c r="B17" s="24" t="s">
        <v>37</v>
      </c>
      <c r="C17" s="400">
        <v>8075</v>
      </c>
      <c r="D17" s="400">
        <v>11055</v>
      </c>
      <c r="E17" s="399">
        <v>15859</v>
      </c>
      <c r="F17" s="400">
        <v>20371</v>
      </c>
    </row>
    <row r="18" spans="1:6" s="23" customFormat="1" ht="12.75" x14ac:dyDescent="0.2">
      <c r="A18" s="91"/>
      <c r="B18" s="24" t="s">
        <v>22</v>
      </c>
      <c r="C18" s="400">
        <v>148</v>
      </c>
      <c r="D18" s="400">
        <v>219</v>
      </c>
      <c r="E18" s="399">
        <v>265</v>
      </c>
      <c r="F18" s="400">
        <v>395</v>
      </c>
    </row>
    <row r="19" spans="1:6" s="23" customFormat="1" ht="12.75" x14ac:dyDescent="0.2">
      <c r="A19" s="91"/>
      <c r="B19" s="24" t="s">
        <v>50</v>
      </c>
      <c r="C19" s="400">
        <v>2287</v>
      </c>
      <c r="D19" s="400">
        <v>5058</v>
      </c>
      <c r="E19" s="399">
        <v>6020</v>
      </c>
      <c r="F19" s="400">
        <v>6139</v>
      </c>
    </row>
    <row r="20" spans="1:6" s="23" customFormat="1" ht="12.75" x14ac:dyDescent="0.2">
      <c r="A20" s="91"/>
      <c r="B20" s="24"/>
      <c r="C20" s="400"/>
      <c r="D20" s="400"/>
      <c r="E20" s="399"/>
      <c r="F20" s="400"/>
    </row>
    <row r="21" spans="1:6" s="23" customFormat="1" ht="12.75" x14ac:dyDescent="0.2">
      <c r="A21" s="18" t="s">
        <v>11</v>
      </c>
      <c r="C21" s="398"/>
      <c r="D21" s="400"/>
      <c r="E21" s="399"/>
      <c r="F21" s="400"/>
    </row>
    <row r="22" spans="1:6" s="23" customFormat="1" ht="12.75" x14ac:dyDescent="0.2">
      <c r="A22" s="88"/>
      <c r="B22" s="23" t="s">
        <v>54</v>
      </c>
      <c r="C22" s="398">
        <v>7956</v>
      </c>
      <c r="D22" s="400">
        <v>8036</v>
      </c>
      <c r="E22" s="399">
        <v>8541</v>
      </c>
      <c r="F22" s="400">
        <v>6729</v>
      </c>
    </row>
    <row r="23" spans="1:6" s="23" customFormat="1" ht="12.75" x14ac:dyDescent="0.2">
      <c r="A23" s="88"/>
      <c r="B23" s="23" t="s">
        <v>23</v>
      </c>
      <c r="C23" s="398">
        <v>774</v>
      </c>
      <c r="D23" s="400">
        <v>4836</v>
      </c>
      <c r="E23" s="399">
        <v>1108</v>
      </c>
      <c r="F23" s="400">
        <v>1496</v>
      </c>
    </row>
    <row r="24" spans="1:6" s="23" customFormat="1" ht="12.75" x14ac:dyDescent="0.2">
      <c r="A24" s="88"/>
      <c r="B24" s="23" t="s">
        <v>24</v>
      </c>
      <c r="C24" s="398">
        <v>74089</v>
      </c>
      <c r="D24" s="400">
        <v>83692</v>
      </c>
      <c r="E24" s="399">
        <v>104993</v>
      </c>
      <c r="F24" s="400">
        <f>95695+682</f>
        <v>96377</v>
      </c>
    </row>
    <row r="25" spans="1:6" s="23" customFormat="1" ht="12.75" x14ac:dyDescent="0.2">
      <c r="A25" s="88"/>
      <c r="B25" s="24" t="s">
        <v>26</v>
      </c>
      <c r="C25" s="398">
        <v>11650</v>
      </c>
      <c r="D25" s="400">
        <v>18278</v>
      </c>
      <c r="E25" s="399">
        <v>20896</v>
      </c>
      <c r="F25" s="400">
        <v>16329</v>
      </c>
    </row>
    <row r="26" spans="1:6" s="23" customFormat="1" ht="12.75" x14ac:dyDescent="0.2">
      <c r="A26" s="91"/>
      <c r="B26" s="24" t="s">
        <v>25</v>
      </c>
      <c r="C26" s="398">
        <v>3994</v>
      </c>
      <c r="D26" s="400">
        <v>4498</v>
      </c>
      <c r="E26" s="399">
        <v>5609</v>
      </c>
      <c r="F26" s="400">
        <v>6254</v>
      </c>
    </row>
    <row r="27" spans="1:6" s="23" customFormat="1" ht="12.75" x14ac:dyDescent="0.2">
      <c r="A27" s="91"/>
      <c r="B27" s="24" t="s">
        <v>53</v>
      </c>
      <c r="C27" s="400">
        <v>11978</v>
      </c>
      <c r="D27" s="402">
        <v>13028</v>
      </c>
      <c r="E27" s="399">
        <v>13338</v>
      </c>
      <c r="F27" s="400">
        <v>14420</v>
      </c>
    </row>
    <row r="28" spans="1:6" s="23" customFormat="1" ht="13.5" thickBot="1" x14ac:dyDescent="0.25">
      <c r="A28" s="13"/>
      <c r="B28" s="36" t="s">
        <v>84</v>
      </c>
      <c r="C28" s="31">
        <f>SUM(C8:C27)</f>
        <v>427255</v>
      </c>
      <c r="D28" s="31">
        <f t="shared" ref="D28:F28" si="0">SUM(D8:D27)</f>
        <v>519605</v>
      </c>
      <c r="E28" s="26">
        <f t="shared" si="0"/>
        <v>602484</v>
      </c>
      <c r="F28" s="31">
        <f t="shared" si="0"/>
        <v>639687</v>
      </c>
    </row>
    <row r="29" spans="1:6" s="23" customFormat="1" ht="12.75" x14ac:dyDescent="0.2">
      <c r="A29" s="91"/>
      <c r="B29" s="24"/>
      <c r="C29" s="87"/>
      <c r="D29" s="87"/>
      <c r="F29" s="2"/>
    </row>
    <row r="30" spans="1:6" s="23" customFormat="1" ht="12.75" x14ac:dyDescent="0.2">
      <c r="A30" s="387" t="s">
        <v>100</v>
      </c>
      <c r="B30" s="24"/>
      <c r="C30" s="130"/>
      <c r="D30" s="130"/>
      <c r="F30" s="2"/>
    </row>
    <row r="31" spans="1:6" s="23" customFormat="1" ht="12.75" x14ac:dyDescent="0.2">
      <c r="A31" s="91"/>
      <c r="B31" s="24"/>
      <c r="C31" s="130"/>
      <c r="D31" s="130"/>
      <c r="F31" s="2"/>
    </row>
    <row r="32" spans="1:6" s="23" customFormat="1" ht="12.75" x14ac:dyDescent="0.2">
      <c r="A32" s="18" t="s">
        <v>13</v>
      </c>
      <c r="C32" s="88"/>
      <c r="D32" s="87"/>
      <c r="F32" s="2"/>
    </row>
    <row r="33" spans="1:9" s="23" customFormat="1" ht="12.75" x14ac:dyDescent="0.2">
      <c r="A33" s="88"/>
      <c r="B33" s="28" t="s">
        <v>27</v>
      </c>
      <c r="C33" s="398">
        <v>121827</v>
      </c>
      <c r="D33" s="400">
        <v>129377</v>
      </c>
      <c r="E33" s="403">
        <v>130771</v>
      </c>
      <c r="F33" s="403">
        <v>149862</v>
      </c>
      <c r="H33" s="25"/>
      <c r="I33" s="25"/>
    </row>
    <row r="34" spans="1:9" s="23" customFormat="1" ht="12.75" x14ac:dyDescent="0.2">
      <c r="A34" s="88"/>
      <c r="B34" s="28" t="s">
        <v>28</v>
      </c>
      <c r="C34" s="398">
        <v>3469</v>
      </c>
      <c r="D34" s="400">
        <v>3730</v>
      </c>
      <c r="E34" s="403">
        <v>3117</v>
      </c>
      <c r="F34" s="403">
        <v>4511</v>
      </c>
      <c r="H34" s="25"/>
      <c r="I34" s="25"/>
    </row>
    <row r="35" spans="1:9" s="23" customFormat="1" ht="12.75" x14ac:dyDescent="0.2">
      <c r="A35" s="88"/>
      <c r="B35" s="28" t="s">
        <v>14</v>
      </c>
      <c r="C35" s="398">
        <v>10069.011860000001</v>
      </c>
      <c r="D35" s="400">
        <v>12523.013859999999</v>
      </c>
      <c r="E35" s="399">
        <v>21321</v>
      </c>
      <c r="F35" s="400">
        <v>16069</v>
      </c>
      <c r="H35" s="25"/>
      <c r="I35" s="25"/>
    </row>
    <row r="36" spans="1:9" s="23" customFormat="1" ht="12.75" x14ac:dyDescent="0.2">
      <c r="A36" s="88"/>
      <c r="B36" s="28" t="s">
        <v>38</v>
      </c>
      <c r="C36" s="398">
        <v>0</v>
      </c>
      <c r="D36" s="400">
        <v>0</v>
      </c>
      <c r="E36" s="399"/>
      <c r="F36" s="400"/>
    </row>
    <row r="37" spans="1:9" s="23" customFormat="1" ht="12.75" x14ac:dyDescent="0.2">
      <c r="A37" s="88"/>
      <c r="B37" s="24"/>
      <c r="C37" s="398"/>
      <c r="D37" s="400"/>
      <c r="E37" s="399"/>
      <c r="F37" s="400"/>
    </row>
    <row r="38" spans="1:9" s="23" customFormat="1" ht="12.75" x14ac:dyDescent="0.2">
      <c r="A38" s="88"/>
      <c r="B38" s="24" t="s">
        <v>39</v>
      </c>
      <c r="C38" s="398">
        <v>195345</v>
      </c>
      <c r="D38" s="400">
        <v>269718</v>
      </c>
      <c r="E38" s="399">
        <f>349058</f>
        <v>349058</v>
      </c>
      <c r="F38" s="400">
        <v>324581</v>
      </c>
    </row>
    <row r="39" spans="1:9" s="23" customFormat="1" ht="12.75" x14ac:dyDescent="0.2">
      <c r="A39" s="88"/>
      <c r="B39" s="24" t="s">
        <v>55</v>
      </c>
      <c r="C39" s="398">
        <v>234</v>
      </c>
      <c r="D39" s="400">
        <v>241</v>
      </c>
      <c r="E39" s="399">
        <v>328</v>
      </c>
      <c r="F39" s="400">
        <v>344</v>
      </c>
    </row>
    <row r="40" spans="1:9" s="23" customFormat="1" ht="12.75" x14ac:dyDescent="0.2">
      <c r="A40" s="88"/>
      <c r="B40" s="24" t="s">
        <v>29</v>
      </c>
      <c r="C40" s="398">
        <v>4</v>
      </c>
      <c r="D40" s="400">
        <v>3</v>
      </c>
      <c r="E40" s="399">
        <v>2</v>
      </c>
      <c r="F40" s="400">
        <v>2</v>
      </c>
    </row>
    <row r="41" spans="1:9" s="23" customFormat="1" ht="12.75" x14ac:dyDescent="0.2">
      <c r="A41" s="88"/>
      <c r="B41" s="24" t="s">
        <v>30</v>
      </c>
      <c r="C41" s="398">
        <v>16796</v>
      </c>
      <c r="D41" s="400">
        <v>16033</v>
      </c>
      <c r="E41" s="399">
        <v>18587</v>
      </c>
      <c r="F41" s="400">
        <v>20591</v>
      </c>
    </row>
    <row r="42" spans="1:9" s="23" customFormat="1" ht="12.75" x14ac:dyDescent="0.2">
      <c r="A42" s="88"/>
      <c r="B42" s="24"/>
      <c r="C42" s="398"/>
      <c r="D42" s="400"/>
      <c r="E42" s="399"/>
      <c r="F42" s="400"/>
    </row>
    <row r="43" spans="1:9" s="23" customFormat="1" ht="12.75" x14ac:dyDescent="0.2">
      <c r="A43" s="18" t="s">
        <v>15</v>
      </c>
      <c r="C43" s="398"/>
      <c r="D43" s="398"/>
      <c r="E43" s="399"/>
      <c r="F43" s="400"/>
    </row>
    <row r="44" spans="1:9" s="23" customFormat="1" ht="12.75" x14ac:dyDescent="0.2">
      <c r="A44" s="88"/>
      <c r="B44" s="29"/>
      <c r="C44" s="398"/>
      <c r="D44" s="398"/>
      <c r="E44" s="399"/>
      <c r="F44" s="400"/>
    </row>
    <row r="45" spans="1:9" s="23" customFormat="1" ht="12.75" x14ac:dyDescent="0.2">
      <c r="A45" s="88"/>
      <c r="B45" s="28" t="s">
        <v>31</v>
      </c>
      <c r="C45" s="398">
        <v>31326</v>
      </c>
      <c r="D45" s="400">
        <v>32637</v>
      </c>
      <c r="E45" s="399">
        <v>31602</v>
      </c>
      <c r="F45" s="400">
        <v>33226</v>
      </c>
    </row>
    <row r="46" spans="1:9" s="23" customFormat="1" ht="12.75" x14ac:dyDescent="0.2">
      <c r="A46" s="88"/>
      <c r="B46" s="28" t="s">
        <v>16</v>
      </c>
      <c r="C46" s="398">
        <v>13234</v>
      </c>
      <c r="D46" s="400">
        <v>12026</v>
      </c>
      <c r="E46" s="399">
        <v>14654</v>
      </c>
      <c r="F46" s="400">
        <v>23128</v>
      </c>
    </row>
    <row r="47" spans="1:9" s="23" customFormat="1" ht="12.75" x14ac:dyDescent="0.2">
      <c r="A47" s="88"/>
      <c r="B47" s="28" t="s">
        <v>17</v>
      </c>
      <c r="C47" s="398">
        <v>507</v>
      </c>
      <c r="D47" s="400">
        <v>235</v>
      </c>
      <c r="E47" s="399">
        <v>740</v>
      </c>
      <c r="F47" s="400">
        <v>1878</v>
      </c>
    </row>
    <row r="48" spans="1:9" s="23" customFormat="1" ht="12.75" x14ac:dyDescent="0.2">
      <c r="A48" s="88"/>
      <c r="B48" s="28" t="s">
        <v>18</v>
      </c>
      <c r="C48" s="398">
        <v>31</v>
      </c>
      <c r="D48" s="400">
        <v>25</v>
      </c>
      <c r="E48" s="399">
        <v>30</v>
      </c>
      <c r="F48" s="400">
        <v>161</v>
      </c>
    </row>
    <row r="49" spans="1:8" s="23" customFormat="1" ht="12.75" x14ac:dyDescent="0.2">
      <c r="A49" s="88"/>
      <c r="B49" s="28" t="s">
        <v>19</v>
      </c>
      <c r="C49" s="398">
        <v>16611</v>
      </c>
      <c r="D49" s="400">
        <v>15408</v>
      </c>
      <c r="E49" s="399">
        <v>13140</v>
      </c>
      <c r="F49" s="400">
        <v>5638</v>
      </c>
    </row>
    <row r="50" spans="1:8" s="23" customFormat="1" ht="12.75" x14ac:dyDescent="0.2">
      <c r="A50" s="88"/>
      <c r="B50" s="28" t="s">
        <v>56</v>
      </c>
      <c r="C50" s="398">
        <v>4906</v>
      </c>
      <c r="D50" s="400">
        <v>4910</v>
      </c>
      <c r="E50" s="399">
        <v>4115</v>
      </c>
      <c r="F50" s="400">
        <v>4277</v>
      </c>
    </row>
    <row r="51" spans="1:8" s="23" customFormat="1" ht="12.75" x14ac:dyDescent="0.2">
      <c r="A51" s="88"/>
      <c r="B51" s="24" t="s">
        <v>51</v>
      </c>
      <c r="C51" s="398">
        <v>11413</v>
      </c>
      <c r="D51" s="400">
        <v>21788</v>
      </c>
      <c r="E51" s="399">
        <v>12173</v>
      </c>
      <c r="F51" s="400">
        <v>50455</v>
      </c>
    </row>
    <row r="52" spans="1:8" s="23" customFormat="1" ht="12.75" x14ac:dyDescent="0.2">
      <c r="A52" s="88"/>
      <c r="B52" s="24" t="s">
        <v>55</v>
      </c>
      <c r="C52" s="400">
        <v>1483</v>
      </c>
      <c r="D52" s="402">
        <v>951</v>
      </c>
      <c r="E52" s="399">
        <v>2846</v>
      </c>
      <c r="F52" s="400">
        <v>4964</v>
      </c>
    </row>
    <row r="53" spans="1:8" s="23" customFormat="1" ht="13.5" thickBot="1" x14ac:dyDescent="0.25">
      <c r="A53" s="13"/>
      <c r="B53" s="36" t="s">
        <v>84</v>
      </c>
      <c r="C53" s="31">
        <f>SUM(C33:C36,C38:C41,C44:C52)</f>
        <v>427255.01185999997</v>
      </c>
      <c r="D53" s="31">
        <f>SUM(D33:D36,D38:D41,D44:D52)</f>
        <v>519605.01386000001</v>
      </c>
      <c r="E53" s="26">
        <f>SUM(E33:E36,E38:E41,E44:E52)</f>
        <v>602484</v>
      </c>
      <c r="F53" s="31">
        <f>SUM(F33:F36,F38:F41,F44:F52)</f>
        <v>639687</v>
      </c>
    </row>
    <row r="54" spans="1:8" s="23" customFormat="1" ht="12.75" x14ac:dyDescent="0.2">
      <c r="A54" s="87"/>
      <c r="B54" s="62"/>
      <c r="C54" s="11">
        <f t="shared" ref="C54:E54" si="1">C53-C28</f>
        <v>1.1859999969601631E-2</v>
      </c>
      <c r="D54" s="11">
        <f t="shared" si="1"/>
        <v>1.3860000006388873E-2</v>
      </c>
      <c r="E54" s="11">
        <f t="shared" si="1"/>
        <v>0</v>
      </c>
      <c r="F54" s="11">
        <f>F53-F28</f>
        <v>0</v>
      </c>
      <c r="G54" s="62"/>
      <c r="H54" s="62"/>
    </row>
    <row r="55" spans="1:8" s="23" customFormat="1" ht="12.75" x14ac:dyDescent="0.2">
      <c r="A55" s="87"/>
      <c r="B55" s="388" t="s">
        <v>200</v>
      </c>
      <c r="C55" s="391"/>
      <c r="D55" s="391"/>
      <c r="E55" s="391"/>
      <c r="F55" s="391"/>
      <c r="G55" s="62"/>
      <c r="H55" s="62"/>
    </row>
    <row r="56" spans="1:8" s="23" customFormat="1" ht="12.75" x14ac:dyDescent="0.2">
      <c r="A56" s="87"/>
      <c r="B56" s="388" t="s">
        <v>207</v>
      </c>
      <c r="C56" s="391"/>
      <c r="D56" s="391"/>
      <c r="E56" s="391"/>
      <c r="F56" s="391"/>
      <c r="G56" s="62"/>
      <c r="H56" s="62"/>
    </row>
    <row r="57" spans="1:8" s="23" customFormat="1" ht="12.75" x14ac:dyDescent="0.2">
      <c r="A57" s="87"/>
      <c r="B57" s="389" t="s">
        <v>208</v>
      </c>
      <c r="C57" s="392">
        <f>SUM(C47,C51,C45)/SUM(C22:C27)</f>
        <v>0.39157559239775086</v>
      </c>
      <c r="D57" s="392">
        <f t="shared" ref="D57:F57" si="2">SUM(D47,D51,D45)/SUM(D22:D27)</f>
        <v>0.4129396833071437</v>
      </c>
      <c r="E57" s="392">
        <f t="shared" si="2"/>
        <v>0.28815095316697414</v>
      </c>
      <c r="F57" s="392">
        <f t="shared" si="2"/>
        <v>0.60420889092899266</v>
      </c>
      <c r="G57" s="62"/>
      <c r="H57" s="62"/>
    </row>
    <row r="58" spans="1:8" ht="12.75" x14ac:dyDescent="0.2">
      <c r="A58" s="87"/>
      <c r="B58" s="389" t="s">
        <v>209</v>
      </c>
      <c r="C58" s="392">
        <f>SUM(C45:C52)/SUM(C22:C27)</f>
        <v>0.71994096395360418</v>
      </c>
      <c r="D58" s="392">
        <f t="shared" ref="D58:F58" si="3">SUM(D45:D52)/SUM(D22:D27)</f>
        <v>0.66466215399492323</v>
      </c>
      <c r="E58" s="392">
        <f t="shared" si="3"/>
        <v>0.51331844515648772</v>
      </c>
      <c r="F58" s="392">
        <f t="shared" si="3"/>
        <v>0.87374739592528516</v>
      </c>
      <c r="G58" s="62"/>
      <c r="H58" s="62"/>
    </row>
    <row r="59" spans="1:8" ht="12.75" x14ac:dyDescent="0.2">
      <c r="A59" s="87"/>
      <c r="B59" s="388" t="s">
        <v>213</v>
      </c>
      <c r="C59" s="391"/>
      <c r="D59" s="391"/>
      <c r="E59" s="391"/>
      <c r="F59" s="391"/>
      <c r="G59" s="62"/>
      <c r="H59" s="62"/>
    </row>
    <row r="60" spans="1:8" ht="12.75" x14ac:dyDescent="0.2">
      <c r="A60" s="87"/>
      <c r="B60" s="389" t="s">
        <v>214</v>
      </c>
      <c r="C60" s="392">
        <f>C28/SUM(C8:C13)</f>
        <v>1.3948724143334725</v>
      </c>
      <c r="D60" s="392">
        <f t="shared" ref="D60:F60" si="4">D28/SUM(D8:D13)</f>
        <v>1.4009112845607365</v>
      </c>
      <c r="E60" s="392">
        <f t="shared" si="4"/>
        <v>1.4150955361651654</v>
      </c>
      <c r="F60" s="392">
        <f t="shared" si="4"/>
        <v>1.3578668512004959</v>
      </c>
      <c r="G60" s="62"/>
      <c r="H60" s="62"/>
    </row>
    <row r="61" spans="1:8" ht="12.75" x14ac:dyDescent="0.2">
      <c r="A61" s="87"/>
      <c r="B61" s="389" t="s">
        <v>242</v>
      </c>
      <c r="C61" s="393">
        <f>C16/SUM(C8:C13)</f>
        <v>0</v>
      </c>
      <c r="D61" s="393">
        <f t="shared" ref="D61:F61" si="5">D16/SUM(D8:D13)</f>
        <v>0</v>
      </c>
      <c r="E61" s="393">
        <f t="shared" si="5"/>
        <v>2.3487686580310273E-4</v>
      </c>
      <c r="F61" s="393">
        <f t="shared" si="5"/>
        <v>1.6981640723672618E-4</v>
      </c>
      <c r="G61" s="62"/>
      <c r="H61" s="62"/>
    </row>
    <row r="62" spans="1:8" ht="12.75" x14ac:dyDescent="0.2">
      <c r="A62" s="87"/>
      <c r="B62" s="389" t="s">
        <v>33</v>
      </c>
      <c r="C62" s="392">
        <f>'P&amp;L Input'!C25/'P&amp;L Input'!C27</f>
        <v>74.258261933904535</v>
      </c>
      <c r="D62" s="392">
        <f>'P&amp;L Input'!D25/'P&amp;L Input'!D27</f>
        <v>86.736017897091727</v>
      </c>
      <c r="E62" s="392">
        <f>'P&amp;L Input'!E25/'P&amp;L Input'!E27</f>
        <v>26.90456911509543</v>
      </c>
      <c r="F62" s="392">
        <f>'P&amp;L Input'!F25/'P&amp;L Input'!F27</f>
        <v>105.1699604743083</v>
      </c>
      <c r="G62" s="62"/>
      <c r="H62" s="62"/>
    </row>
    <row r="63" spans="1:8" ht="12.75" x14ac:dyDescent="0.2">
      <c r="A63" s="87"/>
      <c r="B63" s="62"/>
      <c r="C63" s="87"/>
      <c r="D63" s="87"/>
      <c r="E63" s="62"/>
      <c r="F63" s="62"/>
      <c r="G63" s="62"/>
      <c r="H63" s="62"/>
    </row>
    <row r="64" spans="1:8" ht="12.75" x14ac:dyDescent="0.2">
      <c r="A64" s="87"/>
      <c r="B64" s="62"/>
      <c r="C64" s="87"/>
      <c r="D64" s="87"/>
      <c r="E64" s="62"/>
      <c r="F64" s="62"/>
      <c r="G64" s="62"/>
      <c r="H64" s="6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theme="7" tint="0.59999389629810485"/>
  </sheetPr>
  <dimension ref="A1:G92"/>
  <sheetViews>
    <sheetView showGridLines="0" topLeftCell="A43" workbookViewId="0"/>
  </sheetViews>
  <sheetFormatPr defaultColWidth="9.140625" defaultRowHeight="12.75" x14ac:dyDescent="0.2"/>
  <cols>
    <col min="1" max="2" width="2.42578125" style="87" customWidth="1"/>
    <col min="3" max="3" width="36.42578125" style="87" customWidth="1"/>
    <col min="4" max="4" width="9.85546875" style="87" bestFit="1" customWidth="1"/>
    <col min="5" max="5" width="8.140625" style="87" bestFit="1" customWidth="1"/>
    <col min="6" max="6" width="8.140625" style="3" bestFit="1" customWidth="1"/>
    <col min="7" max="7" width="8.140625" style="87" bestFit="1" customWidth="1"/>
    <col min="8" max="16384" width="9.140625" style="87"/>
  </cols>
  <sheetData>
    <row r="1" spans="1:7" ht="13.5" thickBot="1" x14ac:dyDescent="0.25">
      <c r="B1" s="1"/>
      <c r="C1" s="1"/>
    </row>
    <row r="2" spans="1:7" ht="13.5" thickBot="1" x14ac:dyDescent="0.25">
      <c r="A2" s="88"/>
      <c r="B2" s="120"/>
      <c r="C2" s="119" t="s">
        <v>154</v>
      </c>
      <c r="D2" s="120"/>
      <c r="E2" s="120"/>
      <c r="F2" s="121"/>
      <c r="G2" s="120"/>
    </row>
    <row r="3" spans="1:7" ht="13.5" thickBot="1" x14ac:dyDescent="0.25">
      <c r="A3" s="88"/>
      <c r="B3" s="5"/>
      <c r="C3" s="6" t="s">
        <v>79</v>
      </c>
      <c r="D3" s="449">
        <f>'P&amp;L Input'!C3</f>
        <v>2016</v>
      </c>
      <c r="E3" s="449">
        <f>D3+1</f>
        <v>2017</v>
      </c>
      <c r="F3" s="449">
        <f t="shared" ref="F3:G3" si="0">E3+1</f>
        <v>2018</v>
      </c>
      <c r="G3" s="449">
        <f t="shared" si="0"/>
        <v>2019</v>
      </c>
    </row>
    <row r="4" spans="1:7" x14ac:dyDescent="0.2">
      <c r="A4" s="88"/>
      <c r="B4" s="88"/>
      <c r="C4" s="88"/>
      <c r="D4" s="34" t="s">
        <v>96</v>
      </c>
      <c r="E4" s="34" t="s">
        <v>96</v>
      </c>
      <c r="F4" s="34" t="s">
        <v>96</v>
      </c>
      <c r="G4" s="34" t="s">
        <v>96</v>
      </c>
    </row>
    <row r="5" spans="1:7" x14ac:dyDescent="0.2">
      <c r="A5" s="88"/>
      <c r="B5" s="18"/>
      <c r="C5" s="10" t="s">
        <v>82</v>
      </c>
      <c r="G5" s="11"/>
    </row>
    <row r="6" spans="1:7" x14ac:dyDescent="0.2">
      <c r="A6" s="88"/>
      <c r="B6" s="88"/>
      <c r="C6" s="88" t="s">
        <v>81</v>
      </c>
      <c r="D6" s="12">
        <v>575890</v>
      </c>
      <c r="E6" s="12">
        <v>680850</v>
      </c>
      <c r="F6" s="12">
        <v>819944</v>
      </c>
      <c r="G6" s="12">
        <v>860203</v>
      </c>
    </row>
    <row r="7" spans="1:7" x14ac:dyDescent="0.2">
      <c r="A7" s="88"/>
      <c r="B7" s="88"/>
      <c r="C7" s="88" t="s">
        <v>0</v>
      </c>
      <c r="D7" s="217">
        <f>'P&amp;L Input'!C7/'P&amp;L Input'!C$6</f>
        <v>2.570977096320478E-2</v>
      </c>
      <c r="E7" s="217">
        <f>'P&amp;L Input'!D7/'P&amp;L Input'!D$6</f>
        <v>3.3628552544613353E-2</v>
      </c>
      <c r="F7" s="217">
        <f>'P&amp;L Input'!E7/'P&amp;L Input'!E$6</f>
        <v>2.5633571985254868E-2</v>
      </c>
      <c r="G7" s="217">
        <f>'P&amp;L Input'!F7/'P&amp;L Input'!F$6</f>
        <v>2.9762340461376696E-2</v>
      </c>
    </row>
    <row r="8" spans="1:7" x14ac:dyDescent="0.2">
      <c r="A8" s="88"/>
      <c r="B8" s="88"/>
      <c r="C8" s="88"/>
      <c r="D8" s="12"/>
      <c r="E8" s="12"/>
      <c r="F8" s="12"/>
      <c r="G8" s="12"/>
    </row>
    <row r="9" spans="1:7" ht="13.5" thickBot="1" x14ac:dyDescent="0.25">
      <c r="A9" s="88"/>
      <c r="B9" s="381"/>
      <c r="C9" s="14" t="s">
        <v>84</v>
      </c>
      <c r="D9" s="125">
        <f>'P&amp;L Input'!C9/'P&amp;L Input'!C$6</f>
        <v>1.0257097709632048</v>
      </c>
      <c r="E9" s="125">
        <f>'P&amp;L Input'!D9/'P&amp;L Input'!D$6</f>
        <v>1.0336285525446134</v>
      </c>
      <c r="F9" s="125">
        <f>'P&amp;L Input'!E9/'P&amp;L Input'!E$6</f>
        <v>1.025633571985255</v>
      </c>
      <c r="G9" s="125">
        <f>'P&amp;L Input'!F9/'P&amp;L Input'!F$6</f>
        <v>1.0297623404613767</v>
      </c>
    </row>
    <row r="10" spans="1:7" x14ac:dyDescent="0.2">
      <c r="A10" s="88"/>
      <c r="B10" s="88"/>
      <c r="C10" s="88"/>
      <c r="D10" s="15"/>
      <c r="E10" s="12"/>
      <c r="F10" s="12"/>
      <c r="G10" s="12"/>
    </row>
    <row r="11" spans="1:7" x14ac:dyDescent="0.2">
      <c r="A11" s="88"/>
      <c r="B11" s="18"/>
      <c r="C11" s="10" t="s">
        <v>83</v>
      </c>
      <c r="D11" s="15"/>
      <c r="E11" s="12"/>
      <c r="F11" s="12"/>
      <c r="G11" s="12"/>
    </row>
    <row r="12" spans="1:7" x14ac:dyDescent="0.2">
      <c r="A12" s="88"/>
      <c r="B12" s="18"/>
      <c r="C12" s="3" t="s">
        <v>46</v>
      </c>
      <c r="D12" s="114">
        <f>'P&amp;L Input'!C12/'P&amp;L Input'!C$6</f>
        <v>0.61614718088523845</v>
      </c>
      <c r="E12" s="114">
        <f>'P&amp;L Input'!D12/'P&amp;L Input'!D$6</f>
        <v>0.62609825952853049</v>
      </c>
      <c r="F12" s="114">
        <f>'P&amp;L Input'!E12/'P&amp;L Input'!E$6</f>
        <v>0.56313166118276792</v>
      </c>
      <c r="G12" s="114">
        <f>'P&amp;L Input'!F12/'P&amp;L Input'!F$6</f>
        <v>0.52313796569011894</v>
      </c>
    </row>
    <row r="13" spans="1:7" x14ac:dyDescent="0.2">
      <c r="A13" s="88"/>
      <c r="B13" s="18"/>
      <c r="C13" s="3" t="s">
        <v>47</v>
      </c>
      <c r="D13" s="114">
        <f>'P&amp;L Input'!C13/'P&amp;L Input'!C$6</f>
        <v>5.5876990397471737E-2</v>
      </c>
      <c r="E13" s="114">
        <f>'P&amp;L Input'!D13/'P&amp;L Input'!D$6</f>
        <v>6.5999853124770511E-2</v>
      </c>
      <c r="F13" s="114">
        <f>'P&amp;L Input'!E13/'P&amp;L Input'!E$6</f>
        <v>0.12532483642277728</v>
      </c>
      <c r="G13" s="114">
        <f>'P&amp;L Input'!F13/'P&amp;L Input'!F$6</f>
        <v>0.17458884493165328</v>
      </c>
    </row>
    <row r="14" spans="1:7" x14ac:dyDescent="0.2">
      <c r="A14" s="88"/>
      <c r="B14" s="18"/>
      <c r="C14" s="3" t="s">
        <v>48</v>
      </c>
      <c r="D14" s="114">
        <f>'P&amp;L Input'!C14/'P&amp;L Input'!C$6</f>
        <v>8.3349250724964842E-5</v>
      </c>
      <c r="E14" s="114">
        <f>'P&amp;L Input'!D14/'P&amp;L Input'!D$6</f>
        <v>-5.5709774546522728E-3</v>
      </c>
      <c r="F14" s="114">
        <f>'P&amp;L Input'!E14/'P&amp;L Input'!E$6</f>
        <v>5.1121797682979696E-4</v>
      </c>
      <c r="G14" s="114">
        <f>'P&amp;L Input'!F14/'P&amp;L Input'!F$6</f>
        <v>2.4585068869563196E-3</v>
      </c>
    </row>
    <row r="15" spans="1:7" x14ac:dyDescent="0.2">
      <c r="A15" s="88"/>
      <c r="B15" s="18"/>
      <c r="C15" s="3" t="s">
        <v>45</v>
      </c>
      <c r="D15" s="114">
        <f>'P&amp;L Input'!C15/'P&amp;L Input'!C$6</f>
        <v>3.4734063796905662E-2</v>
      </c>
      <c r="E15" s="114">
        <f>'P&amp;L Input'!D15/'P&amp;L Input'!D$6</f>
        <v>3.466696041712565E-2</v>
      </c>
      <c r="F15" s="114">
        <f>'P&amp;L Input'!E15/'P&amp;L Input'!E$6</f>
        <v>3.5877979285648058E-2</v>
      </c>
      <c r="G15" s="114">
        <f>'P&amp;L Input'!F15/'P&amp;L Input'!F$6</f>
        <v>3.8167273741264225E-2</v>
      </c>
    </row>
    <row r="16" spans="1:7" x14ac:dyDescent="0.2">
      <c r="A16" s="88"/>
      <c r="B16" s="18"/>
      <c r="C16" s="3" t="s">
        <v>1</v>
      </c>
      <c r="D16" s="114">
        <f>'P&amp;L Input'!C16/'P&amp;L Input'!C$6</f>
        <v>0.13985656983104414</v>
      </c>
      <c r="E16" s="114">
        <f>'P&amp;L Input'!D16/'P&amp;L Input'!D$6</f>
        <v>0.12819270030109423</v>
      </c>
      <c r="F16" s="114">
        <f>'P&amp;L Input'!E16/'P&amp;L Input'!E$6</f>
        <v>0.12524339238235094</v>
      </c>
      <c r="G16" s="114">
        <f>'P&amp;L Input'!F16/'P&amp;L Input'!F$6</f>
        <v>0.13522368810889002</v>
      </c>
    </row>
    <row r="17" spans="1:7" x14ac:dyDescent="0.2">
      <c r="A17" s="88"/>
      <c r="B17" s="18"/>
      <c r="C17" s="3" t="s">
        <v>85</v>
      </c>
      <c r="D17" s="114">
        <f>'P&amp;L Input'!C17/'P&amp;L Input'!C$6</f>
        <v>-1.045338519508934E-3</v>
      </c>
      <c r="E17" s="114">
        <f>'P&amp;L Input'!D17/'P&amp;L Input'!D$6</f>
        <v>-1.5216273775427774E-3</v>
      </c>
      <c r="F17" s="114">
        <f>'P&amp;L Input'!E17/'P&amp;L Input'!E$6</f>
        <v>-1.2417083701919823E-3</v>
      </c>
      <c r="G17" s="114">
        <f>'P&amp;L Input'!F17/'P&amp;L Input'!F$6</f>
        <v>-1.4186374806113736E-3</v>
      </c>
    </row>
    <row r="18" spans="1:7" x14ac:dyDescent="0.2">
      <c r="A18" s="88"/>
      <c r="B18" s="88"/>
      <c r="C18" s="88"/>
      <c r="D18" s="15"/>
      <c r="E18" s="12"/>
      <c r="F18" s="12"/>
      <c r="G18" s="12"/>
    </row>
    <row r="19" spans="1:7" ht="13.5" thickBot="1" x14ac:dyDescent="0.25">
      <c r="A19" s="88"/>
      <c r="B19" s="381"/>
      <c r="C19" s="14" t="s">
        <v>84</v>
      </c>
      <c r="D19" s="124">
        <f>SUM(D12:D18)</f>
        <v>0.845652815641876</v>
      </c>
      <c r="E19" s="124">
        <f>SUM(E12:E18)</f>
        <v>0.84786516853932581</v>
      </c>
      <c r="F19" s="124">
        <f>SUM(F12:F18)</f>
        <v>0.84884737888018202</v>
      </c>
      <c r="G19" s="124">
        <f>SUM(G12:G18)</f>
        <v>0.87215764187827149</v>
      </c>
    </row>
    <row r="20" spans="1:7" x14ac:dyDescent="0.2">
      <c r="A20" s="88"/>
      <c r="B20" s="88"/>
      <c r="C20" s="88"/>
      <c r="D20" s="15"/>
      <c r="E20" s="15"/>
      <c r="F20" s="12"/>
      <c r="G20" s="12"/>
    </row>
    <row r="21" spans="1:7" x14ac:dyDescent="0.2">
      <c r="A21" s="88"/>
      <c r="C21" s="18" t="s">
        <v>189</v>
      </c>
      <c r="D21" s="126">
        <f>'P&amp;L Input'!C21/'P&amp;L Input'!C$6</f>
        <v>0.15434718435812395</v>
      </c>
      <c r="E21" s="126">
        <f>'P&amp;L Input'!D21/'P&amp;L Input'!D$6</f>
        <v>0.15213483146067416</v>
      </c>
      <c r="F21" s="126">
        <f>'P&amp;L Input'!E21/'P&amp;L Input'!E$6</f>
        <v>0.15115262111981798</v>
      </c>
      <c r="G21" s="126">
        <f>'P&amp;L Input'!F21/'P&amp;L Input'!F$6</f>
        <v>0.12784235812172862</v>
      </c>
    </row>
    <row r="22" spans="1:7" x14ac:dyDescent="0.2">
      <c r="A22" s="88"/>
      <c r="B22" s="88"/>
      <c r="C22" s="88"/>
      <c r="D22" s="15"/>
      <c r="E22" s="15"/>
      <c r="F22" s="12"/>
      <c r="G22" s="12"/>
    </row>
    <row r="23" spans="1:7" x14ac:dyDescent="0.2">
      <c r="A23" s="88"/>
      <c r="B23" s="88"/>
      <c r="C23" s="88" t="s">
        <v>2</v>
      </c>
      <c r="D23" s="114">
        <f>'P&amp;L Input'!C23/'P&amp;L Input'!C$6</f>
        <v>4.8998940769938701E-2</v>
      </c>
      <c r="E23" s="114">
        <f>'P&amp;L Input'!D23/'P&amp;L Input'!D$6</f>
        <v>3.8244841007564076E-2</v>
      </c>
      <c r="F23" s="114">
        <f>'P&amp;L Input'!E23/'P&amp;L Input'!E$6</f>
        <v>3.4579886579776314E-2</v>
      </c>
      <c r="G23" s="114">
        <f>'P&amp;L Input'!F23/'P&amp;L Input'!F$6</f>
        <v>3.5097625728344281E-2</v>
      </c>
    </row>
    <row r="24" spans="1:7" x14ac:dyDescent="0.2">
      <c r="A24" s="88"/>
      <c r="B24" s="88"/>
      <c r="C24" s="88"/>
      <c r="D24" s="12"/>
      <c r="E24" s="12"/>
      <c r="F24" s="12"/>
      <c r="G24" s="12"/>
    </row>
    <row r="25" spans="1:7" x14ac:dyDescent="0.2">
      <c r="A25" s="88"/>
      <c r="C25" s="18" t="s">
        <v>44</v>
      </c>
      <c r="D25" s="126">
        <f>'P&amp;L Input'!C25/'P&amp;L Input'!C$6</f>
        <v>0.10534824358818524</v>
      </c>
      <c r="E25" s="126">
        <f>'P&amp;L Input'!D25/'P&amp;L Input'!D$6</f>
        <v>0.11388999045311009</v>
      </c>
      <c r="F25" s="126">
        <f>'P&amp;L Input'!E25/'P&amp;L Input'!E$6</f>
        <v>0.11657273454004165</v>
      </c>
      <c r="G25" s="126">
        <f>'P&amp;L Input'!F25/'P&amp;L Input'!F$6</f>
        <v>9.2744732393384335E-2</v>
      </c>
    </row>
    <row r="26" spans="1:7" x14ac:dyDescent="0.2">
      <c r="A26" s="88"/>
      <c r="B26" s="88"/>
      <c r="C26" s="88"/>
      <c r="D26" s="12"/>
      <c r="E26" s="12"/>
      <c r="F26" s="12"/>
      <c r="G26" s="12"/>
    </row>
    <row r="27" spans="1:7" x14ac:dyDescent="0.2">
      <c r="A27" s="88"/>
      <c r="B27" s="88"/>
      <c r="C27" s="88" t="s">
        <v>3</v>
      </c>
      <c r="D27" s="114">
        <f>'P&amp;L Input'!C27/'P&amp;L Input'!C$6</f>
        <v>1.418673705047839E-3</v>
      </c>
      <c r="E27" s="114">
        <f>'P&amp;L Input'!D27/'P&amp;L Input'!D$6</f>
        <v>1.313064551663362E-3</v>
      </c>
      <c r="F27" s="114">
        <f>'P&amp;L Input'!E27/'P&amp;L Input'!E$6</f>
        <v>4.3328229506799949E-3</v>
      </c>
      <c r="G27" s="114">
        <f>'P&amp;L Input'!F27/'P&amp;L Input'!F$6</f>
        <v>8.8185573119085381E-4</v>
      </c>
    </row>
    <row r="28" spans="1:7" x14ac:dyDescent="0.2">
      <c r="A28" s="88"/>
      <c r="B28" s="88"/>
      <c r="C28" s="88"/>
      <c r="D28" s="12"/>
      <c r="E28" s="12"/>
      <c r="F28" s="12"/>
      <c r="G28" s="12"/>
    </row>
    <row r="29" spans="1:7" x14ac:dyDescent="0.2">
      <c r="A29" s="88"/>
      <c r="C29" s="18" t="s">
        <v>41</v>
      </c>
      <c r="D29" s="126">
        <f>'P&amp;L Input'!C29/'P&amp;L Input'!C$6</f>
        <v>0.12963934084634218</v>
      </c>
      <c r="E29" s="126">
        <f>'P&amp;L Input'!D29/'P&amp;L Input'!D$6</f>
        <v>0.14620547844606008</v>
      </c>
      <c r="F29" s="126">
        <f>'P&amp;L Input'!E29/'P&amp;L Input'!E$6</f>
        <v>0.13787348357461651</v>
      </c>
      <c r="G29" s="126">
        <f>'P&amp;L Input'!F29/'P&amp;L Input'!F$6</f>
        <v>0.12162521712357018</v>
      </c>
    </row>
    <row r="30" spans="1:7" x14ac:dyDescent="0.2">
      <c r="A30" s="88"/>
      <c r="C30" s="88"/>
      <c r="D30" s="16"/>
      <c r="E30" s="16"/>
      <c r="F30" s="16"/>
      <c r="G30" s="16"/>
    </row>
    <row r="31" spans="1:7" x14ac:dyDescent="0.2">
      <c r="A31" s="88"/>
      <c r="C31" s="88" t="s">
        <v>49</v>
      </c>
      <c r="D31" s="30">
        <f>'P&amp;L Input'!C31/'P&amp;L Input'!C$6</f>
        <v>0</v>
      </c>
      <c r="E31" s="30">
        <f>'P&amp;L Input'!D31/'P&amp;L Input'!D$6</f>
        <v>0</v>
      </c>
      <c r="F31" s="30">
        <f>'P&amp;L Input'!E31/'P&amp;L Input'!E$6</f>
        <v>0</v>
      </c>
      <c r="G31" s="30">
        <f>'P&amp;L Input'!F31/'P&amp;L Input'!F$6</f>
        <v>0</v>
      </c>
    </row>
    <row r="32" spans="1:7" x14ac:dyDescent="0.2">
      <c r="A32" s="88"/>
      <c r="C32" s="88"/>
      <c r="D32" s="16"/>
      <c r="E32" s="16"/>
      <c r="F32" s="12"/>
      <c r="G32" s="12"/>
    </row>
    <row r="33" spans="1:7" x14ac:dyDescent="0.2">
      <c r="A33" s="88"/>
      <c r="C33" s="18" t="s">
        <v>40</v>
      </c>
      <c r="D33" s="114">
        <f>'P&amp;L Input'!C33/'P&amp;L Input'!C$6</f>
        <v>0.12963934084634218</v>
      </c>
      <c r="E33" s="114">
        <f>'P&amp;L Input'!D33/'P&amp;L Input'!D$6</f>
        <v>0.14620547844606008</v>
      </c>
      <c r="F33" s="114">
        <f>'P&amp;L Input'!E33/'P&amp;L Input'!E$6</f>
        <v>0.13787348357461651</v>
      </c>
      <c r="G33" s="114">
        <f>'P&amp;L Input'!F33/'P&amp;L Input'!F$6</f>
        <v>0.12162521712357018</v>
      </c>
    </row>
    <row r="34" spans="1:7" x14ac:dyDescent="0.2">
      <c r="A34" s="88"/>
      <c r="B34" s="88"/>
      <c r="C34" s="88"/>
      <c r="D34" s="16"/>
      <c r="E34" s="16"/>
      <c r="F34" s="12"/>
      <c r="G34" s="12"/>
    </row>
    <row r="35" spans="1:7" x14ac:dyDescent="0.2">
      <c r="A35" s="88"/>
      <c r="B35" s="88"/>
      <c r="C35" s="88" t="s">
        <v>4</v>
      </c>
      <c r="D35" s="114">
        <f>'P&amp;L Input'!C35/'P&amp;L Input'!C$6</f>
        <v>3.6248241851742517E-2</v>
      </c>
      <c r="E35" s="114">
        <f>'P&amp;L Input'!D35/'P&amp;L Input'!D$6</f>
        <v>3.8425497539839905E-2</v>
      </c>
      <c r="F35" s="114">
        <f>'P&amp;L Input'!E35/'P&amp;L Input'!E$6</f>
        <v>4.1175600869070558E-2</v>
      </c>
      <c r="G35" s="114">
        <f>'P&amp;L Input'!F35/'P&amp;L Input'!F$6</f>
        <v>3.454457786530496E-2</v>
      </c>
    </row>
    <row r="36" spans="1:7" x14ac:dyDescent="0.2">
      <c r="A36" s="88"/>
      <c r="B36" s="88"/>
      <c r="C36" s="88"/>
      <c r="D36" s="12"/>
      <c r="E36" s="12"/>
      <c r="F36" s="12"/>
      <c r="G36" s="12"/>
    </row>
    <row r="37" spans="1:7" ht="13.5" thickBot="1" x14ac:dyDescent="0.25">
      <c r="A37" s="88"/>
      <c r="B37" s="381"/>
      <c r="C37" s="17" t="s">
        <v>42</v>
      </c>
      <c r="D37" s="133">
        <f>'P&amp;L Input'!C41/'P&amp;L Input'!C$6</f>
        <v>9.5455729392765976E-2</v>
      </c>
      <c r="E37" s="133">
        <f>'P&amp;L Input'!D41/'P&amp;L Input'!D$6</f>
        <v>0.11031798487185136</v>
      </c>
      <c r="F37" s="133">
        <f>'P&amp;L Input'!E41/'P&amp;L Input'!E$6</f>
        <v>9.8744007598102479E-2</v>
      </c>
      <c r="G37" s="133">
        <f>'P&amp;L Input'!F41/'P&amp;L Input'!F$6</f>
        <v>8.8889663465727881E-2</v>
      </c>
    </row>
    <row r="38" spans="1:7" x14ac:dyDescent="0.2">
      <c r="A38" s="88"/>
      <c r="D38" s="15"/>
      <c r="E38" s="15"/>
      <c r="F38" s="12"/>
      <c r="G38" s="15"/>
    </row>
    <row r="39" spans="1:7" ht="13.5" thickBot="1" x14ac:dyDescent="0.25">
      <c r="A39" s="88"/>
    </row>
    <row r="40" spans="1:7" ht="13.5" thickBot="1" x14ac:dyDescent="0.25">
      <c r="A40" s="88"/>
      <c r="B40" s="120"/>
      <c r="C40" s="119" t="s">
        <v>153</v>
      </c>
      <c r="D40" s="120"/>
      <c r="E40" s="120"/>
      <c r="F40" s="121"/>
      <c r="G40" s="120"/>
    </row>
    <row r="41" spans="1:7" ht="13.5" thickBot="1" x14ac:dyDescent="0.25">
      <c r="A41" s="88"/>
      <c r="B41" s="5"/>
      <c r="C41" s="6" t="s">
        <v>79</v>
      </c>
      <c r="D41" s="449">
        <f t="shared" ref="D41:G42" si="1">D3</f>
        <v>2016</v>
      </c>
      <c r="E41" s="449">
        <f t="shared" si="1"/>
        <v>2017</v>
      </c>
      <c r="F41" s="449">
        <f t="shared" si="1"/>
        <v>2018</v>
      </c>
      <c r="G41" s="449">
        <f t="shared" si="1"/>
        <v>2019</v>
      </c>
    </row>
    <row r="42" spans="1:7" ht="13.5" thickBot="1" x14ac:dyDescent="0.25">
      <c r="A42" s="88"/>
      <c r="B42" s="18"/>
      <c r="C42" s="18"/>
      <c r="D42" s="115" t="str">
        <f t="shared" si="1"/>
        <v>Audited</v>
      </c>
      <c r="E42" s="115" t="str">
        <f t="shared" si="1"/>
        <v>Audited</v>
      </c>
      <c r="F42" s="115" t="str">
        <f t="shared" si="1"/>
        <v>Audited</v>
      </c>
      <c r="G42" s="115" t="str">
        <f t="shared" si="1"/>
        <v>Audited</v>
      </c>
    </row>
    <row r="43" spans="1:7" x14ac:dyDescent="0.2">
      <c r="A43" s="88"/>
      <c r="B43" s="62"/>
      <c r="C43" s="37" t="s">
        <v>99</v>
      </c>
      <c r="D43" s="62"/>
      <c r="E43" s="62"/>
      <c r="F43" s="62"/>
      <c r="G43" s="62"/>
    </row>
    <row r="44" spans="1:7" x14ac:dyDescent="0.2">
      <c r="A44" s="88"/>
      <c r="B44" s="63"/>
      <c r="C44" s="63"/>
      <c r="D44" s="62"/>
      <c r="E44" s="62"/>
      <c r="F44" s="62"/>
      <c r="G44" s="62"/>
    </row>
    <row r="45" spans="1:7" x14ac:dyDescent="0.2">
      <c r="A45" s="88"/>
      <c r="B45" s="63" t="s">
        <v>6</v>
      </c>
      <c r="C45" s="63"/>
      <c r="D45" s="62"/>
      <c r="E45" s="25"/>
      <c r="F45" s="62"/>
      <c r="G45" s="62"/>
    </row>
    <row r="46" spans="1:7" x14ac:dyDescent="0.2">
      <c r="A46" s="88"/>
      <c r="B46" s="63"/>
      <c r="C46" s="63" t="s">
        <v>7</v>
      </c>
      <c r="D46" s="116">
        <f>'BS Input'!C8/'BS Input'!C$28</f>
        <v>3.5341891844448865E-3</v>
      </c>
      <c r="E46" s="116">
        <f>'BS Input'!D8/'BS Input'!D$28</f>
        <v>2.9060536368972585E-3</v>
      </c>
      <c r="F46" s="116">
        <f>'BS Input'!E8/'BS Input'!E$28</f>
        <v>2.5062906234854369E-3</v>
      </c>
      <c r="G46" s="116">
        <f>'BS Input'!F8/'BS Input'!F$28</f>
        <v>2.3605294464323959E-3</v>
      </c>
    </row>
    <row r="47" spans="1:7" x14ac:dyDescent="0.2">
      <c r="A47" s="88"/>
      <c r="B47" s="63"/>
      <c r="C47" s="63" t="s">
        <v>8</v>
      </c>
      <c r="D47" s="116">
        <f>'BS Input'!C9/'BS Input'!C$28</f>
        <v>0.71304022188154614</v>
      </c>
      <c r="E47" s="116">
        <f>'BS Input'!D9/'BS Input'!D$28</f>
        <v>0.7106186430076693</v>
      </c>
      <c r="F47" s="116">
        <f>'BS Input'!E9/'BS Input'!E$28</f>
        <v>0.70389255150344243</v>
      </c>
      <c r="G47" s="116">
        <f>'BS Input'!F9/'BS Input'!F$28</f>
        <v>0.73381356819819699</v>
      </c>
    </row>
    <row r="48" spans="1:7" x14ac:dyDescent="0.2">
      <c r="A48" s="88"/>
      <c r="B48" s="63"/>
      <c r="C48" s="63" t="s">
        <v>21</v>
      </c>
      <c r="D48" s="116"/>
      <c r="E48" s="116"/>
      <c r="F48" s="116"/>
      <c r="G48" s="116"/>
    </row>
    <row r="49" spans="1:7" x14ac:dyDescent="0.2">
      <c r="A49" s="88"/>
      <c r="B49" s="63"/>
      <c r="C49" s="63"/>
      <c r="D49" s="116"/>
      <c r="E49" s="116"/>
      <c r="F49" s="116"/>
      <c r="G49" s="116"/>
    </row>
    <row r="50" spans="1:7" x14ac:dyDescent="0.2">
      <c r="A50" s="88"/>
      <c r="B50" s="63" t="s">
        <v>35</v>
      </c>
      <c r="C50" s="63"/>
      <c r="D50" s="116">
        <f>'BS Input'!C12/'BS Input'!C$28</f>
        <v>3.3703525997355209E-4</v>
      </c>
      <c r="E50" s="116">
        <f>'BS Input'!D12/'BS Input'!D$28</f>
        <v>2.9637898018687272E-4</v>
      </c>
      <c r="F50" s="116">
        <f>'BS Input'!E12/'BS Input'!E$28</f>
        <v>2.672270134974539E-4</v>
      </c>
      <c r="G50" s="116">
        <f>'BS Input'!F12/'BS Input'!F$28</f>
        <v>2.7513455799476933E-4</v>
      </c>
    </row>
    <row r="51" spans="1:7" x14ac:dyDescent="0.2">
      <c r="A51" s="88"/>
      <c r="B51" s="63" t="s">
        <v>36</v>
      </c>
      <c r="C51" s="63"/>
      <c r="D51" s="116">
        <f>'BS Input'!C13/'BS Input'!C$28</f>
        <v>0</v>
      </c>
      <c r="E51" s="116">
        <f>'BS Input'!D13/'BS Input'!D$28</f>
        <v>0</v>
      </c>
      <c r="F51" s="116">
        <f>'BS Input'!E13/'BS Input'!E$28</f>
        <v>0</v>
      </c>
      <c r="G51" s="116">
        <f>'BS Input'!F13/'BS Input'!F$28</f>
        <v>0</v>
      </c>
    </row>
    <row r="52" spans="1:7" x14ac:dyDescent="0.2">
      <c r="A52" s="88"/>
      <c r="B52" s="63"/>
      <c r="C52" s="63"/>
      <c r="D52" s="116"/>
      <c r="E52" s="116"/>
      <c r="F52" s="116"/>
      <c r="G52" s="116"/>
    </row>
    <row r="53" spans="1:7" x14ac:dyDescent="0.2">
      <c r="A53" s="88"/>
      <c r="B53" s="63" t="s">
        <v>9</v>
      </c>
      <c r="C53" s="63"/>
      <c r="D53" s="116">
        <f>'BS Input'!C15/'BS Input'!C$28</f>
        <v>0</v>
      </c>
      <c r="E53" s="116">
        <f>'BS Input'!D15/'BS Input'!D$28</f>
        <v>0</v>
      </c>
      <c r="F53" s="116">
        <f>'BS Input'!E15/'BS Input'!E$28</f>
        <v>0</v>
      </c>
      <c r="G53" s="116">
        <f>'BS Input'!F15/'BS Input'!F$28</f>
        <v>0</v>
      </c>
    </row>
    <row r="54" spans="1:7" x14ac:dyDescent="0.2">
      <c r="A54" s="88"/>
      <c r="B54" s="63"/>
      <c r="C54" s="63" t="s">
        <v>10</v>
      </c>
      <c r="D54" s="116">
        <f>'BS Input'!C16/'BS Input'!C$28</f>
        <v>0</v>
      </c>
      <c r="E54" s="116">
        <f>'BS Input'!D16/'BS Input'!D$28</f>
        <v>0</v>
      </c>
      <c r="F54" s="116">
        <f>'BS Input'!E16/'BS Input'!E$28</f>
        <v>1.659795114891018E-4</v>
      </c>
      <c r="G54" s="116">
        <f>'BS Input'!F16/'BS Input'!F$28</f>
        <v>1.2506116272489515E-4</v>
      </c>
    </row>
    <row r="55" spans="1:7" x14ac:dyDescent="0.2">
      <c r="A55" s="88"/>
      <c r="B55" s="63"/>
      <c r="C55" s="63" t="s">
        <v>37</v>
      </c>
      <c r="D55" s="116">
        <f>'BS Input'!C17/'BS Input'!C$28</f>
        <v>1.8899720307544676E-2</v>
      </c>
      <c r="E55" s="116">
        <f>'BS Input'!D17/'BS Input'!D$28</f>
        <v>2.1275776791986219E-2</v>
      </c>
      <c r="F55" s="116">
        <f>'BS Input'!E17/'BS Input'!E$28</f>
        <v>2.6322690727056654E-2</v>
      </c>
      <c r="G55" s="116">
        <f>'BS Input'!F17/'BS Input'!F$28</f>
        <v>3.1845261823360491E-2</v>
      </c>
    </row>
    <row r="56" spans="1:7" x14ac:dyDescent="0.2">
      <c r="A56" s="88"/>
      <c r="B56" s="63"/>
      <c r="C56" s="63" t="s">
        <v>22</v>
      </c>
      <c r="D56" s="116">
        <f>'BS Input'!C18/'BS Input'!C$28</f>
        <v>3.4639735052837301E-4</v>
      </c>
      <c r="E56" s="116">
        <f>'BS Input'!D18/'BS Input'!D$28</f>
        <v>4.2147400429172157E-4</v>
      </c>
      <c r="F56" s="116">
        <f>'BS Input'!E18/'BS Input'!E$28</f>
        <v>4.3984570544611972E-4</v>
      </c>
      <c r="G56" s="116">
        <f>'BS Input'!F18/'BS Input'!F$28</f>
        <v>6.1748949095416982E-4</v>
      </c>
    </row>
    <row r="57" spans="1:7" x14ac:dyDescent="0.2">
      <c r="A57" s="88"/>
      <c r="B57" s="63"/>
      <c r="C57" s="63" t="s">
        <v>50</v>
      </c>
      <c r="D57" s="116">
        <f>'BS Input'!C19/'BS Input'!C$28</f>
        <v>5.3527752747188446E-3</v>
      </c>
      <c r="E57" s="116">
        <f>'BS Input'!D19/'BS Input'!D$28</f>
        <v>9.7343174141896246E-3</v>
      </c>
      <c r="F57" s="116">
        <f>'BS Input'!E19/'BS Input'!E$28</f>
        <v>9.991966591643928E-3</v>
      </c>
      <c r="G57" s="116">
        <f>'BS Input'!F19/'BS Input'!F$28</f>
        <v>9.5968809746016411E-3</v>
      </c>
    </row>
    <row r="58" spans="1:7" x14ac:dyDescent="0.2">
      <c r="A58" s="88"/>
      <c r="B58" s="63"/>
      <c r="C58" s="63"/>
      <c r="D58" s="116"/>
      <c r="E58" s="116"/>
      <c r="F58" s="116"/>
      <c r="G58" s="116"/>
    </row>
    <row r="59" spans="1:7" x14ac:dyDescent="0.2">
      <c r="A59" s="88"/>
      <c r="B59" s="63" t="s">
        <v>11</v>
      </c>
      <c r="C59" s="62"/>
      <c r="D59" s="116"/>
      <c r="E59" s="116"/>
      <c r="F59" s="116"/>
      <c r="G59" s="116"/>
    </row>
    <row r="60" spans="1:7" x14ac:dyDescent="0.2">
      <c r="A60" s="88"/>
      <c r="B60" s="63"/>
      <c r="C60" s="62" t="s">
        <v>54</v>
      </c>
      <c r="D60" s="116">
        <f>'BS Input'!C22/'BS Input'!C$28</f>
        <v>1.8621198113538753E-2</v>
      </c>
      <c r="E60" s="116">
        <f>'BS Input'!D22/'BS Input'!D$28</f>
        <v>1.5465594057024086E-2</v>
      </c>
      <c r="F60" s="116">
        <f>'BS Input'!E22/'BS Input'!E$28</f>
        <v>1.4176310076284183E-2</v>
      </c>
      <c r="G60" s="116">
        <f>'BS Input'!F22/'BS Input'!F$28</f>
        <v>1.0519207049697743E-2</v>
      </c>
    </row>
    <row r="61" spans="1:7" x14ac:dyDescent="0.2">
      <c r="A61" s="88"/>
      <c r="B61" s="63"/>
      <c r="C61" s="62" t="s">
        <v>23</v>
      </c>
      <c r="D61" s="116">
        <f>'BS Input'!C23/'BS Input'!C$28</f>
        <v>1.8115645223578424E-3</v>
      </c>
      <c r="E61" s="116">
        <f>'BS Input'!D23/'BS Input'!D$28</f>
        <v>9.307069793400756E-3</v>
      </c>
      <c r="F61" s="116">
        <f>'BS Input'!E23/'BS Input'!E$28</f>
        <v>1.8390529872992479E-3</v>
      </c>
      <c r="G61" s="116">
        <f>'BS Input'!F23/'BS Input'!F$28</f>
        <v>2.3386437429555392E-3</v>
      </c>
    </row>
    <row r="62" spans="1:7" x14ac:dyDescent="0.2">
      <c r="A62" s="88"/>
      <c r="B62" s="63"/>
      <c r="C62" s="62" t="s">
        <v>24</v>
      </c>
      <c r="D62" s="116">
        <f>'BS Input'!C24/'BS Input'!C$28</f>
        <v>0.17340698177903124</v>
      </c>
      <c r="E62" s="116">
        <f>'BS Input'!D24/'BS Input'!D$28</f>
        <v>0.16106850395973865</v>
      </c>
      <c r="F62" s="116">
        <f>'BS Input'!E24/'BS Input'!E$28</f>
        <v>0.17426686849775264</v>
      </c>
      <c r="G62" s="116">
        <f>'BS Input'!F24/'BS Input'!F$28</f>
        <v>0.15066274599921525</v>
      </c>
    </row>
    <row r="63" spans="1:7" x14ac:dyDescent="0.2">
      <c r="A63" s="88"/>
      <c r="B63" s="63"/>
      <c r="C63" s="63" t="s">
        <v>26</v>
      </c>
      <c r="D63" s="116">
        <f>'BS Input'!C25/'BS Input'!C$28</f>
        <v>2.7267088740915848E-2</v>
      </c>
      <c r="E63" s="116">
        <f>'BS Input'!D25/'BS Input'!D$28</f>
        <v>3.5176720778283502E-2</v>
      </c>
      <c r="F63" s="116">
        <f>'BS Input'!E25/'BS Input'!E$28</f>
        <v>3.4683078720762706E-2</v>
      </c>
      <c r="G63" s="116">
        <f>'BS Input'!F25/'BS Input'!F$28</f>
        <v>2.5526546576685159E-2</v>
      </c>
    </row>
    <row r="64" spans="1:7" x14ac:dyDescent="0.2">
      <c r="A64" s="88"/>
      <c r="B64" s="63"/>
      <c r="C64" s="63" t="s">
        <v>25</v>
      </c>
      <c r="D64" s="116">
        <f>'BS Input'!C26/'BS Input'!C$28</f>
        <v>9.3480474189886597E-3</v>
      </c>
      <c r="E64" s="116">
        <f>'BS Input'!D26/'BS Input'!D$28</f>
        <v>8.6565756680555429E-3</v>
      </c>
      <c r="F64" s="116">
        <f>'BS Input'!E26/'BS Input'!E$28</f>
        <v>9.3097907994237183E-3</v>
      </c>
      <c r="G64" s="116">
        <f>'BS Input'!F26/'BS Input'!F$28</f>
        <v>9.7766563960186778E-3</v>
      </c>
    </row>
    <row r="65" spans="1:7" x14ac:dyDescent="0.2">
      <c r="A65" s="88"/>
      <c r="B65" s="63"/>
      <c r="C65" s="63" t="s">
        <v>53</v>
      </c>
      <c r="D65" s="116">
        <f>'BS Input'!C27/'BS Input'!C$28</f>
        <v>2.8034780166411158E-2</v>
      </c>
      <c r="E65" s="116">
        <f>'BS Input'!D27/'BS Input'!D$28</f>
        <v>2.5072891908276478E-2</v>
      </c>
      <c r="F65" s="116">
        <f>'BS Input'!E27/'BS Input'!E$28</f>
        <v>2.2138347242416395E-2</v>
      </c>
      <c r="G65" s="116">
        <f>'BS Input'!F27/'BS Input'!F$28</f>
        <v>2.2542274581162348E-2</v>
      </c>
    </row>
    <row r="66" spans="1:7" ht="13.5" thickBot="1" x14ac:dyDescent="0.25">
      <c r="A66" s="88"/>
      <c r="B66" s="382"/>
      <c r="C66" s="36" t="s">
        <v>84</v>
      </c>
      <c r="D66" s="117">
        <f>SUM(D46:D65)</f>
        <v>1.0000000000000002</v>
      </c>
      <c r="E66" s="117">
        <f t="shared" ref="E66:G66" si="2">SUM(E46:E65)</f>
        <v>0.99999999999999989</v>
      </c>
      <c r="F66" s="117">
        <f t="shared" si="2"/>
        <v>0.99999999999999989</v>
      </c>
      <c r="G66" s="118">
        <f t="shared" si="2"/>
        <v>1.0000000000000002</v>
      </c>
    </row>
    <row r="67" spans="1:7" x14ac:dyDescent="0.2">
      <c r="A67" s="88"/>
      <c r="B67" s="63"/>
      <c r="C67" s="63"/>
      <c r="D67" s="62"/>
      <c r="E67" s="62"/>
      <c r="F67" s="62"/>
    </row>
    <row r="68" spans="1:7" x14ac:dyDescent="0.2">
      <c r="A68" s="88"/>
      <c r="B68" s="37" t="s">
        <v>100</v>
      </c>
      <c r="C68" s="63"/>
      <c r="D68" s="27"/>
      <c r="E68" s="27"/>
      <c r="F68" s="62"/>
    </row>
    <row r="69" spans="1:7" x14ac:dyDescent="0.2">
      <c r="A69" s="88"/>
      <c r="B69" s="63"/>
      <c r="C69" s="63"/>
      <c r="D69" s="27"/>
      <c r="E69" s="27"/>
      <c r="F69" s="62"/>
    </row>
    <row r="70" spans="1:7" x14ac:dyDescent="0.2">
      <c r="A70" s="88"/>
      <c r="B70" s="63" t="s">
        <v>13</v>
      </c>
      <c r="C70" s="62"/>
      <c r="D70" s="63"/>
      <c r="E70" s="62"/>
      <c r="F70" s="62"/>
    </row>
    <row r="71" spans="1:7" x14ac:dyDescent="0.2">
      <c r="A71" s="88"/>
      <c r="B71" s="63"/>
      <c r="C71" s="90" t="s">
        <v>27</v>
      </c>
      <c r="D71" s="116">
        <f>'BS Input'!C33/'BS Input'!C$53</f>
        <v>0.28513884359048652</v>
      </c>
      <c r="E71" s="116">
        <f>'BS Input'!D33/'BS Input'!D$53</f>
        <v>0.24899105387550927</v>
      </c>
      <c r="F71" s="116">
        <f>'BS Input'!E33/'BS Input'!E$53</f>
        <v>0.21705306696941329</v>
      </c>
      <c r="G71" s="116">
        <f>'BS Input'!F33/'BS Input'!F$53</f>
        <v>0.23427394960347794</v>
      </c>
    </row>
    <row r="72" spans="1:7" x14ac:dyDescent="0.2">
      <c r="A72" s="88"/>
      <c r="B72" s="63"/>
      <c r="C72" s="90" t="s">
        <v>28</v>
      </c>
      <c r="D72" s="116">
        <f>'BS Input'!C34/'BS Input'!C$53</f>
        <v>8.1192728082887852E-3</v>
      </c>
      <c r="E72" s="116">
        <f>'BS Input'!D34/'BS Input'!D$53</f>
        <v>7.1785296533050666E-3</v>
      </c>
      <c r="F72" s="116">
        <f>'BS Input'!E34/'BS Input'!E$53</f>
        <v>5.1735813731153026E-3</v>
      </c>
      <c r="G72" s="116">
        <f>'BS Input'!F34/'BS Input'!F$53</f>
        <v>7.0518863131500253E-3</v>
      </c>
    </row>
    <row r="73" spans="1:7" x14ac:dyDescent="0.2">
      <c r="A73" s="88"/>
      <c r="B73" s="63"/>
      <c r="C73" s="90" t="s">
        <v>14</v>
      </c>
      <c r="D73" s="116">
        <f>'BS Input'!C35/'BS Input'!C$53</f>
        <v>2.3566749553541447E-2</v>
      </c>
      <c r="E73" s="116">
        <f>'BS Input'!D35/'BS Input'!D$53</f>
        <v>2.4101025829158268E-2</v>
      </c>
      <c r="F73" s="116">
        <f>'BS Input'!E35/'BS Input'!E$53</f>
        <v>3.5388491644591388E-2</v>
      </c>
      <c r="G73" s="116">
        <f>'BS Input'!F35/'BS Input'!F$53</f>
        <v>2.5120097797829252E-2</v>
      </c>
    </row>
    <row r="74" spans="1:7" x14ac:dyDescent="0.2">
      <c r="A74" s="88"/>
      <c r="B74" s="63"/>
      <c r="C74" s="90" t="s">
        <v>38</v>
      </c>
      <c r="D74" s="116">
        <f>'BS Input'!C36/'BS Input'!C$53</f>
        <v>0</v>
      </c>
      <c r="E74" s="116">
        <f>'BS Input'!D36/'BS Input'!D$53</f>
        <v>0</v>
      </c>
      <c r="F74" s="116">
        <f>'BS Input'!E36/'BS Input'!E$53</f>
        <v>0</v>
      </c>
      <c r="G74" s="116">
        <f>'BS Input'!F36/'BS Input'!F$53</f>
        <v>0</v>
      </c>
    </row>
    <row r="75" spans="1:7" x14ac:dyDescent="0.2">
      <c r="A75" s="88"/>
      <c r="B75" s="63"/>
      <c r="C75" s="63"/>
      <c r="D75" s="116"/>
      <c r="E75" s="116"/>
      <c r="F75" s="116"/>
      <c r="G75" s="116"/>
    </row>
    <row r="76" spans="1:7" x14ac:dyDescent="0.2">
      <c r="A76" s="88"/>
      <c r="B76" s="63"/>
      <c r="C76" s="63" t="s">
        <v>39</v>
      </c>
      <c r="D76" s="116">
        <f>'BS Input'!C38/'BS Input'!C$53</f>
        <v>0.45720938216638013</v>
      </c>
      <c r="E76" s="116">
        <f>'BS Input'!D38/'BS Input'!D$53</f>
        <v>0.51908275094641709</v>
      </c>
      <c r="F76" s="116">
        <f>'BS Input'!E38/'BS Input'!E$53</f>
        <v>0.57936476321362895</v>
      </c>
      <c r="G76" s="116">
        <f>'BS Input'!F38/'BS Input'!F$53</f>
        <v>0.50740596573011487</v>
      </c>
    </row>
    <row r="77" spans="1:7" x14ac:dyDescent="0.2">
      <c r="A77" s="88"/>
      <c r="B77" s="63"/>
      <c r="C77" s="63" t="s">
        <v>55</v>
      </c>
      <c r="D77" s="116">
        <f>'BS Input'!C39/'BS Input'!C$53</f>
        <v>5.4768228225412965E-4</v>
      </c>
      <c r="E77" s="116">
        <f>'BS Input'!D39/'BS Input'!D$53</f>
        <v>4.6381384623231126E-4</v>
      </c>
      <c r="F77" s="116">
        <f>'BS Input'!E39/'BS Input'!E$53</f>
        <v>5.4441279768425381E-4</v>
      </c>
      <c r="G77" s="116">
        <f>'BS Input'!F39/'BS Input'!F$53</f>
        <v>5.3776299971704917E-4</v>
      </c>
    </row>
    <row r="78" spans="1:7" x14ac:dyDescent="0.2">
      <c r="A78" s="88"/>
      <c r="B78" s="63"/>
      <c r="C78" s="63" t="s">
        <v>29</v>
      </c>
      <c r="D78" s="116">
        <f>'BS Input'!C40/'BS Input'!C$53</f>
        <v>9.3620902949423871E-6</v>
      </c>
      <c r="E78" s="116">
        <f>'BS Input'!D40/'BS Input'!D$53</f>
        <v>5.7736163431408037E-6</v>
      </c>
      <c r="F78" s="116">
        <f>'BS Input'!E40/'BS Input'!E$53</f>
        <v>3.3195902297820358E-6</v>
      </c>
      <c r="G78" s="116">
        <f>'BS Input'!F40/'BS Input'!F$53</f>
        <v>3.1265290681223785E-6</v>
      </c>
    </row>
    <row r="79" spans="1:7" x14ac:dyDescent="0.2">
      <c r="A79" s="88"/>
      <c r="B79" s="63"/>
      <c r="C79" s="63" t="s">
        <v>30</v>
      </c>
      <c r="D79" s="116">
        <f>'BS Input'!C41/'BS Input'!C$53</f>
        <v>3.9311417148463083E-2</v>
      </c>
      <c r="E79" s="116">
        <f>'BS Input'!D41/'BS Input'!D$53</f>
        <v>3.0856130276525503E-2</v>
      </c>
      <c r="F79" s="116">
        <f>'BS Input'!E41/'BS Input'!E$53</f>
        <v>3.0850611800479349E-2</v>
      </c>
      <c r="G79" s="116">
        <f>'BS Input'!F41/'BS Input'!F$53</f>
        <v>3.2189180020853948E-2</v>
      </c>
    </row>
    <row r="80" spans="1:7" x14ac:dyDescent="0.2">
      <c r="A80" s="88"/>
      <c r="B80" s="63"/>
      <c r="C80" s="63"/>
      <c r="D80" s="116"/>
      <c r="E80" s="116"/>
      <c r="F80" s="116"/>
      <c r="G80" s="116"/>
    </row>
    <row r="81" spans="1:7" x14ac:dyDescent="0.2">
      <c r="A81" s="88"/>
      <c r="B81" s="63" t="s">
        <v>15</v>
      </c>
      <c r="C81" s="62"/>
      <c r="D81" s="116"/>
      <c r="E81" s="116"/>
      <c r="F81" s="116"/>
      <c r="G81" s="116"/>
    </row>
    <row r="82" spans="1:7" x14ac:dyDescent="0.2">
      <c r="A82" s="88"/>
      <c r="B82" s="63"/>
      <c r="C82" s="29"/>
      <c r="D82" s="116"/>
      <c r="E82" s="116"/>
      <c r="F82" s="116"/>
      <c r="G82" s="116"/>
    </row>
    <row r="83" spans="1:7" x14ac:dyDescent="0.2">
      <c r="A83" s="88"/>
      <c r="B83" s="63"/>
      <c r="C83" s="90" t="s">
        <v>31</v>
      </c>
      <c r="D83" s="116">
        <f>'BS Input'!C45/'BS Input'!C$53</f>
        <v>7.3319210144841301E-2</v>
      </c>
      <c r="E83" s="116">
        <f>'BS Input'!D45/'BS Input'!D$53</f>
        <v>6.2811172197028808E-2</v>
      </c>
      <c r="F83" s="116">
        <f>'BS Input'!E45/'BS Input'!E$53</f>
        <v>5.2452845220785943E-2</v>
      </c>
      <c r="G83" s="116">
        <f>'BS Input'!F45/'BS Input'!F$53</f>
        <v>5.1941027408717075E-2</v>
      </c>
    </row>
    <row r="84" spans="1:7" x14ac:dyDescent="0.2">
      <c r="A84" s="88"/>
      <c r="B84" s="63"/>
      <c r="C84" s="90" t="s">
        <v>16</v>
      </c>
      <c r="D84" s="116">
        <f>'BS Input'!C46/'BS Input'!C$53</f>
        <v>3.0974475740816885E-2</v>
      </c>
      <c r="E84" s="116">
        <f>'BS Input'!D46/'BS Input'!D$53</f>
        <v>2.3144503380870436E-2</v>
      </c>
      <c r="F84" s="116">
        <f>'BS Input'!E46/'BS Input'!E$53</f>
        <v>2.4322637613612974E-2</v>
      </c>
      <c r="G84" s="116">
        <f>'BS Input'!F46/'BS Input'!F$53</f>
        <v>3.6155182143767187E-2</v>
      </c>
    </row>
    <row r="85" spans="1:7" x14ac:dyDescent="0.2">
      <c r="A85" s="88"/>
      <c r="B85" s="63"/>
      <c r="C85" s="90" t="s">
        <v>17</v>
      </c>
      <c r="D85" s="116">
        <f>'BS Input'!C47/'BS Input'!C$53</f>
        <v>1.1866449448839475E-3</v>
      </c>
      <c r="E85" s="116">
        <f>'BS Input'!D47/'BS Input'!D$53</f>
        <v>4.5226661354602962E-4</v>
      </c>
      <c r="F85" s="116">
        <f>'BS Input'!E47/'BS Input'!E$53</f>
        <v>1.2282483850193531E-3</v>
      </c>
      <c r="G85" s="116">
        <f>'BS Input'!F47/'BS Input'!F$53</f>
        <v>2.9358107949669135E-3</v>
      </c>
    </row>
    <row r="86" spans="1:7" x14ac:dyDescent="0.2">
      <c r="A86" s="88"/>
      <c r="B86" s="63"/>
      <c r="C86" s="90" t="s">
        <v>18</v>
      </c>
      <c r="D86" s="116">
        <f>'BS Input'!C48/'BS Input'!C$53</f>
        <v>7.2556199785803503E-5</v>
      </c>
      <c r="E86" s="116">
        <f>'BS Input'!D48/'BS Input'!D$53</f>
        <v>4.8113469526173365E-5</v>
      </c>
      <c r="F86" s="116">
        <f>'BS Input'!E48/'BS Input'!E$53</f>
        <v>4.9793853446730539E-5</v>
      </c>
      <c r="G86" s="116">
        <f>'BS Input'!F48/'BS Input'!F$53</f>
        <v>2.5168558998385146E-4</v>
      </c>
    </row>
    <row r="87" spans="1:7" x14ac:dyDescent="0.2">
      <c r="A87" s="88"/>
      <c r="B87" s="63"/>
      <c r="C87" s="90" t="s">
        <v>19</v>
      </c>
      <c r="D87" s="116">
        <f>'BS Input'!C49/'BS Input'!C$53</f>
        <v>3.8878420472321998E-2</v>
      </c>
      <c r="E87" s="116">
        <f>'BS Input'!D49/'BS Input'!D$53</f>
        <v>2.9653293538371168E-2</v>
      </c>
      <c r="F87" s="116">
        <f>'BS Input'!E49/'BS Input'!E$53</f>
        <v>2.1809707809667976E-2</v>
      </c>
      <c r="G87" s="116">
        <f>'BS Input'!F49/'BS Input'!F$53</f>
        <v>8.8136854430369855E-3</v>
      </c>
    </row>
    <row r="88" spans="1:7" x14ac:dyDescent="0.2">
      <c r="A88" s="88"/>
      <c r="B88" s="63"/>
      <c r="C88" s="90" t="s">
        <v>56</v>
      </c>
      <c r="D88" s="116">
        <f>'BS Input'!C50/'BS Input'!C$53</f>
        <v>1.1482603746746837E-2</v>
      </c>
      <c r="E88" s="116">
        <f>'BS Input'!D50/'BS Input'!D$53</f>
        <v>9.4494854149404488E-3</v>
      </c>
      <c r="F88" s="116">
        <f>'BS Input'!E50/'BS Input'!E$53</f>
        <v>6.8300568977765382E-3</v>
      </c>
      <c r="G88" s="116">
        <f>'BS Input'!F50/'BS Input'!F$53</f>
        <v>6.6860824121797065E-3</v>
      </c>
    </row>
    <row r="89" spans="1:7" x14ac:dyDescent="0.2">
      <c r="A89" s="88"/>
      <c r="B89" s="63"/>
      <c r="C89" s="63" t="s">
        <v>51</v>
      </c>
      <c r="D89" s="116">
        <f>'BS Input'!C51/'BS Input'!C$53</f>
        <v>2.6712384134044365E-2</v>
      </c>
      <c r="E89" s="116">
        <f>'BS Input'!D51/'BS Input'!D$53</f>
        <v>4.1931850961450613E-2</v>
      </c>
      <c r="F89" s="116">
        <f>'BS Input'!E51/'BS Input'!E$53</f>
        <v>2.0204685933568362E-2</v>
      </c>
      <c r="G89" s="116">
        <f>'BS Input'!F51/'BS Input'!F$53</f>
        <v>7.8874512066057306E-2</v>
      </c>
    </row>
    <row r="90" spans="1:7" x14ac:dyDescent="0.2">
      <c r="A90" s="88"/>
      <c r="B90" s="63"/>
      <c r="C90" s="63" t="s">
        <v>55</v>
      </c>
      <c r="D90" s="116">
        <f>'BS Input'!C52/'BS Input'!C$53</f>
        <v>3.4709949768498899E-3</v>
      </c>
      <c r="E90" s="116">
        <f>'BS Input'!D52/'BS Input'!D$53</f>
        <v>1.8302363807756348E-3</v>
      </c>
      <c r="F90" s="116">
        <f>'BS Input'!E52/'BS Input'!E$53</f>
        <v>4.7237768969798366E-3</v>
      </c>
      <c r="G90" s="116">
        <f>'BS Input'!F52/'BS Input'!F$53</f>
        <v>7.7600451470797435E-3</v>
      </c>
    </row>
    <row r="91" spans="1:7" ht="13.5" thickBot="1" x14ac:dyDescent="0.25">
      <c r="A91" s="88"/>
      <c r="B91" s="382"/>
      <c r="C91" s="36" t="s">
        <v>84</v>
      </c>
      <c r="D91" s="117">
        <f>SUM(D71:D74,D76:D79,D82:D90)</f>
        <v>1</v>
      </c>
      <c r="E91" s="117">
        <f>SUM(E71:E74,E76:E79,E82:E90)</f>
        <v>0.99999999999999989</v>
      </c>
      <c r="F91" s="117">
        <f>SUM(F71:F74,F76:F79,F82:F90)</f>
        <v>1</v>
      </c>
      <c r="G91" s="118">
        <f>SUM(G71:G74,G76:G79,G82:G90)</f>
        <v>1</v>
      </c>
    </row>
    <row r="92" spans="1:7" x14ac:dyDescent="0.2">
      <c r="A92" s="88"/>
      <c r="B92" s="62"/>
      <c r="C92" s="62"/>
      <c r="D92" s="62"/>
      <c r="E92" s="62"/>
      <c r="F92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7" tint="0.59999389629810485"/>
  </sheetPr>
  <dimension ref="B1:T155"/>
  <sheetViews>
    <sheetView showGridLines="0" zoomScale="90" zoomScaleNormal="90" workbookViewId="0">
      <pane xSplit="3" ySplit="5" topLeftCell="D30" activePane="bottomRight" state="frozen"/>
      <selection activeCell="A91" sqref="A91"/>
      <selection pane="topRight" activeCell="A91" sqref="A91"/>
      <selection pane="bottomLeft" activeCell="A91" sqref="A91"/>
      <selection pane="bottomRight" activeCell="H42" sqref="H42"/>
    </sheetView>
  </sheetViews>
  <sheetFormatPr defaultColWidth="9.140625" defaultRowHeight="12.75" x14ac:dyDescent="0.25"/>
  <cols>
    <col min="1" max="1" width="2.140625" style="69" customWidth="1"/>
    <col min="2" max="2" width="22.85546875" style="69" bestFit="1" customWidth="1"/>
    <col min="3" max="3" width="10.140625" style="77" customWidth="1"/>
    <col min="4" max="11" width="11.42578125" style="77" customWidth="1"/>
    <col min="12" max="17" width="11.42578125" style="69" customWidth="1"/>
    <col min="18" max="256" width="9.140625" style="69"/>
    <col min="257" max="257" width="3.85546875" style="69" customWidth="1"/>
    <col min="258" max="258" width="35.140625" style="69" bestFit="1" customWidth="1"/>
    <col min="259" max="259" width="9.42578125" style="69" bestFit="1" customWidth="1"/>
    <col min="260" max="260" width="8.85546875" style="69" bestFit="1" customWidth="1"/>
    <col min="261" max="264" width="9.42578125" style="69" bestFit="1" customWidth="1"/>
    <col min="265" max="266" width="9.85546875" style="69" bestFit="1" customWidth="1"/>
    <col min="267" max="267" width="1.140625" style="69" customWidth="1"/>
    <col min="268" max="268" width="9.140625" style="69" bestFit="1" customWidth="1"/>
    <col min="269" max="512" width="9.140625" style="69"/>
    <col min="513" max="513" width="3.85546875" style="69" customWidth="1"/>
    <col min="514" max="514" width="35.140625" style="69" bestFit="1" customWidth="1"/>
    <col min="515" max="515" width="9.42578125" style="69" bestFit="1" customWidth="1"/>
    <col min="516" max="516" width="8.85546875" style="69" bestFit="1" customWidth="1"/>
    <col min="517" max="520" width="9.42578125" style="69" bestFit="1" customWidth="1"/>
    <col min="521" max="522" width="9.85546875" style="69" bestFit="1" customWidth="1"/>
    <col min="523" max="523" width="1.140625" style="69" customWidth="1"/>
    <col min="524" max="524" width="9.140625" style="69" bestFit="1" customWidth="1"/>
    <col min="525" max="768" width="9.140625" style="69"/>
    <col min="769" max="769" width="3.85546875" style="69" customWidth="1"/>
    <col min="770" max="770" width="35.140625" style="69" bestFit="1" customWidth="1"/>
    <col min="771" max="771" width="9.42578125" style="69" bestFit="1" customWidth="1"/>
    <col min="772" max="772" width="8.85546875" style="69" bestFit="1" customWidth="1"/>
    <col min="773" max="776" width="9.42578125" style="69" bestFit="1" customWidth="1"/>
    <col min="777" max="778" width="9.85546875" style="69" bestFit="1" customWidth="1"/>
    <col min="779" max="779" width="1.140625" style="69" customWidth="1"/>
    <col min="780" max="780" width="9.140625" style="69" bestFit="1" customWidth="1"/>
    <col min="781" max="1024" width="9.140625" style="69"/>
    <col min="1025" max="1025" width="3.85546875" style="69" customWidth="1"/>
    <col min="1026" max="1026" width="35.140625" style="69" bestFit="1" customWidth="1"/>
    <col min="1027" max="1027" width="9.42578125" style="69" bestFit="1" customWidth="1"/>
    <col min="1028" max="1028" width="8.85546875" style="69" bestFit="1" customWidth="1"/>
    <col min="1029" max="1032" width="9.42578125" style="69" bestFit="1" customWidth="1"/>
    <col min="1033" max="1034" width="9.85546875" style="69" bestFit="1" customWidth="1"/>
    <col min="1035" max="1035" width="1.140625" style="69" customWidth="1"/>
    <col min="1036" max="1036" width="9.140625" style="69" bestFit="1" customWidth="1"/>
    <col min="1037" max="1280" width="9.140625" style="69"/>
    <col min="1281" max="1281" width="3.85546875" style="69" customWidth="1"/>
    <col min="1282" max="1282" width="35.140625" style="69" bestFit="1" customWidth="1"/>
    <col min="1283" max="1283" width="9.42578125" style="69" bestFit="1" customWidth="1"/>
    <col min="1284" max="1284" width="8.85546875" style="69" bestFit="1" customWidth="1"/>
    <col min="1285" max="1288" width="9.42578125" style="69" bestFit="1" customWidth="1"/>
    <col min="1289" max="1290" width="9.85546875" style="69" bestFit="1" customWidth="1"/>
    <col min="1291" max="1291" width="1.140625" style="69" customWidth="1"/>
    <col min="1292" max="1292" width="9.140625" style="69" bestFit="1" customWidth="1"/>
    <col min="1293" max="1536" width="9.140625" style="69"/>
    <col min="1537" max="1537" width="3.85546875" style="69" customWidth="1"/>
    <col min="1538" max="1538" width="35.140625" style="69" bestFit="1" customWidth="1"/>
    <col min="1539" max="1539" width="9.42578125" style="69" bestFit="1" customWidth="1"/>
    <col min="1540" max="1540" width="8.85546875" style="69" bestFit="1" customWidth="1"/>
    <col min="1541" max="1544" width="9.42578125" style="69" bestFit="1" customWidth="1"/>
    <col min="1545" max="1546" width="9.85546875" style="69" bestFit="1" customWidth="1"/>
    <col min="1547" max="1547" width="1.140625" style="69" customWidth="1"/>
    <col min="1548" max="1548" width="9.140625" style="69" bestFit="1" customWidth="1"/>
    <col min="1549" max="1792" width="9.140625" style="69"/>
    <col min="1793" max="1793" width="3.85546875" style="69" customWidth="1"/>
    <col min="1794" max="1794" width="35.140625" style="69" bestFit="1" customWidth="1"/>
    <col min="1795" max="1795" width="9.42578125" style="69" bestFit="1" customWidth="1"/>
    <col min="1796" max="1796" width="8.85546875" style="69" bestFit="1" customWidth="1"/>
    <col min="1797" max="1800" width="9.42578125" style="69" bestFit="1" customWidth="1"/>
    <col min="1801" max="1802" width="9.85546875" style="69" bestFit="1" customWidth="1"/>
    <col min="1803" max="1803" width="1.140625" style="69" customWidth="1"/>
    <col min="1804" max="1804" width="9.140625" style="69" bestFit="1" customWidth="1"/>
    <col min="1805" max="2048" width="9.140625" style="69"/>
    <col min="2049" max="2049" width="3.85546875" style="69" customWidth="1"/>
    <col min="2050" max="2050" width="35.140625" style="69" bestFit="1" customWidth="1"/>
    <col min="2051" max="2051" width="9.42578125" style="69" bestFit="1" customWidth="1"/>
    <col min="2052" max="2052" width="8.85546875" style="69" bestFit="1" customWidth="1"/>
    <col min="2053" max="2056" width="9.42578125" style="69" bestFit="1" customWidth="1"/>
    <col min="2057" max="2058" width="9.85546875" style="69" bestFit="1" customWidth="1"/>
    <col min="2059" max="2059" width="1.140625" style="69" customWidth="1"/>
    <col min="2060" max="2060" width="9.140625" style="69" bestFit="1" customWidth="1"/>
    <col min="2061" max="2304" width="9.140625" style="69"/>
    <col min="2305" max="2305" width="3.85546875" style="69" customWidth="1"/>
    <col min="2306" max="2306" width="35.140625" style="69" bestFit="1" customWidth="1"/>
    <col min="2307" max="2307" width="9.42578125" style="69" bestFit="1" customWidth="1"/>
    <col min="2308" max="2308" width="8.85546875" style="69" bestFit="1" customWidth="1"/>
    <col min="2309" max="2312" width="9.42578125" style="69" bestFit="1" customWidth="1"/>
    <col min="2313" max="2314" width="9.85546875" style="69" bestFit="1" customWidth="1"/>
    <col min="2315" max="2315" width="1.140625" style="69" customWidth="1"/>
    <col min="2316" max="2316" width="9.140625" style="69" bestFit="1" customWidth="1"/>
    <col min="2317" max="2560" width="9.140625" style="69"/>
    <col min="2561" max="2561" width="3.85546875" style="69" customWidth="1"/>
    <col min="2562" max="2562" width="35.140625" style="69" bestFit="1" customWidth="1"/>
    <col min="2563" max="2563" width="9.42578125" style="69" bestFit="1" customWidth="1"/>
    <col min="2564" max="2564" width="8.85546875" style="69" bestFit="1" customWidth="1"/>
    <col min="2565" max="2568" width="9.42578125" style="69" bestFit="1" customWidth="1"/>
    <col min="2569" max="2570" width="9.85546875" style="69" bestFit="1" customWidth="1"/>
    <col min="2571" max="2571" width="1.140625" style="69" customWidth="1"/>
    <col min="2572" max="2572" width="9.140625" style="69" bestFit="1" customWidth="1"/>
    <col min="2573" max="2816" width="9.140625" style="69"/>
    <col min="2817" max="2817" width="3.85546875" style="69" customWidth="1"/>
    <col min="2818" max="2818" width="35.140625" style="69" bestFit="1" customWidth="1"/>
    <col min="2819" max="2819" width="9.42578125" style="69" bestFit="1" customWidth="1"/>
    <col min="2820" max="2820" width="8.85546875" style="69" bestFit="1" customWidth="1"/>
    <col min="2821" max="2824" width="9.42578125" style="69" bestFit="1" customWidth="1"/>
    <col min="2825" max="2826" width="9.85546875" style="69" bestFit="1" customWidth="1"/>
    <col min="2827" max="2827" width="1.140625" style="69" customWidth="1"/>
    <col min="2828" max="2828" width="9.140625" style="69" bestFit="1" customWidth="1"/>
    <col min="2829" max="3072" width="9.140625" style="69"/>
    <col min="3073" max="3073" width="3.85546875" style="69" customWidth="1"/>
    <col min="3074" max="3074" width="35.140625" style="69" bestFit="1" customWidth="1"/>
    <col min="3075" max="3075" width="9.42578125" style="69" bestFit="1" customWidth="1"/>
    <col min="3076" max="3076" width="8.85546875" style="69" bestFit="1" customWidth="1"/>
    <col min="3077" max="3080" width="9.42578125" style="69" bestFit="1" customWidth="1"/>
    <col min="3081" max="3082" width="9.85546875" style="69" bestFit="1" customWidth="1"/>
    <col min="3083" max="3083" width="1.140625" style="69" customWidth="1"/>
    <col min="3084" max="3084" width="9.140625" style="69" bestFit="1" customWidth="1"/>
    <col min="3085" max="3328" width="9.140625" style="69"/>
    <col min="3329" max="3329" width="3.85546875" style="69" customWidth="1"/>
    <col min="3330" max="3330" width="35.140625" style="69" bestFit="1" customWidth="1"/>
    <col min="3331" max="3331" width="9.42578125" style="69" bestFit="1" customWidth="1"/>
    <col min="3332" max="3332" width="8.85546875" style="69" bestFit="1" customWidth="1"/>
    <col min="3333" max="3336" width="9.42578125" style="69" bestFit="1" customWidth="1"/>
    <col min="3337" max="3338" width="9.85546875" style="69" bestFit="1" customWidth="1"/>
    <col min="3339" max="3339" width="1.140625" style="69" customWidth="1"/>
    <col min="3340" max="3340" width="9.140625" style="69" bestFit="1" customWidth="1"/>
    <col min="3341" max="3584" width="9.140625" style="69"/>
    <col min="3585" max="3585" width="3.85546875" style="69" customWidth="1"/>
    <col min="3586" max="3586" width="35.140625" style="69" bestFit="1" customWidth="1"/>
    <col min="3587" max="3587" width="9.42578125" style="69" bestFit="1" customWidth="1"/>
    <col min="3588" max="3588" width="8.85546875" style="69" bestFit="1" customWidth="1"/>
    <col min="3589" max="3592" width="9.42578125" style="69" bestFit="1" customWidth="1"/>
    <col min="3593" max="3594" width="9.85546875" style="69" bestFit="1" customWidth="1"/>
    <col min="3595" max="3595" width="1.140625" style="69" customWidth="1"/>
    <col min="3596" max="3596" width="9.140625" style="69" bestFit="1" customWidth="1"/>
    <col min="3597" max="3840" width="9.140625" style="69"/>
    <col min="3841" max="3841" width="3.85546875" style="69" customWidth="1"/>
    <col min="3842" max="3842" width="35.140625" style="69" bestFit="1" customWidth="1"/>
    <col min="3843" max="3843" width="9.42578125" style="69" bestFit="1" customWidth="1"/>
    <col min="3844" max="3844" width="8.85546875" style="69" bestFit="1" customWidth="1"/>
    <col min="3845" max="3848" width="9.42578125" style="69" bestFit="1" customWidth="1"/>
    <col min="3849" max="3850" width="9.85546875" style="69" bestFit="1" customWidth="1"/>
    <col min="3851" max="3851" width="1.140625" style="69" customWidth="1"/>
    <col min="3852" max="3852" width="9.140625" style="69" bestFit="1" customWidth="1"/>
    <col min="3853" max="4096" width="9.140625" style="69"/>
    <col min="4097" max="4097" width="3.85546875" style="69" customWidth="1"/>
    <col min="4098" max="4098" width="35.140625" style="69" bestFit="1" customWidth="1"/>
    <col min="4099" max="4099" width="9.42578125" style="69" bestFit="1" customWidth="1"/>
    <col min="4100" max="4100" width="8.85546875" style="69" bestFit="1" customWidth="1"/>
    <col min="4101" max="4104" width="9.42578125" style="69" bestFit="1" customWidth="1"/>
    <col min="4105" max="4106" width="9.85546875" style="69" bestFit="1" customWidth="1"/>
    <col min="4107" max="4107" width="1.140625" style="69" customWidth="1"/>
    <col min="4108" max="4108" width="9.140625" style="69" bestFit="1" customWidth="1"/>
    <col min="4109" max="4352" width="9.140625" style="69"/>
    <col min="4353" max="4353" width="3.85546875" style="69" customWidth="1"/>
    <col min="4354" max="4354" width="35.140625" style="69" bestFit="1" customWidth="1"/>
    <col min="4355" max="4355" width="9.42578125" style="69" bestFit="1" customWidth="1"/>
    <col min="4356" max="4356" width="8.85546875" style="69" bestFit="1" customWidth="1"/>
    <col min="4357" max="4360" width="9.42578125" style="69" bestFit="1" customWidth="1"/>
    <col min="4361" max="4362" width="9.85546875" style="69" bestFit="1" customWidth="1"/>
    <col min="4363" max="4363" width="1.140625" style="69" customWidth="1"/>
    <col min="4364" max="4364" width="9.140625" style="69" bestFit="1" customWidth="1"/>
    <col min="4365" max="4608" width="9.140625" style="69"/>
    <col min="4609" max="4609" width="3.85546875" style="69" customWidth="1"/>
    <col min="4610" max="4610" width="35.140625" style="69" bestFit="1" customWidth="1"/>
    <col min="4611" max="4611" width="9.42578125" style="69" bestFit="1" customWidth="1"/>
    <col min="4612" max="4612" width="8.85546875" style="69" bestFit="1" customWidth="1"/>
    <col min="4613" max="4616" width="9.42578125" style="69" bestFit="1" customWidth="1"/>
    <col min="4617" max="4618" width="9.85546875" style="69" bestFit="1" customWidth="1"/>
    <col min="4619" max="4619" width="1.140625" style="69" customWidth="1"/>
    <col min="4620" max="4620" width="9.140625" style="69" bestFit="1" customWidth="1"/>
    <col min="4621" max="4864" width="9.140625" style="69"/>
    <col min="4865" max="4865" width="3.85546875" style="69" customWidth="1"/>
    <col min="4866" max="4866" width="35.140625" style="69" bestFit="1" customWidth="1"/>
    <col min="4867" max="4867" width="9.42578125" style="69" bestFit="1" customWidth="1"/>
    <col min="4868" max="4868" width="8.85546875" style="69" bestFit="1" customWidth="1"/>
    <col min="4869" max="4872" width="9.42578125" style="69" bestFit="1" customWidth="1"/>
    <col min="4873" max="4874" width="9.85546875" style="69" bestFit="1" customWidth="1"/>
    <col min="4875" max="4875" width="1.140625" style="69" customWidth="1"/>
    <col min="4876" max="4876" width="9.140625" style="69" bestFit="1" customWidth="1"/>
    <col min="4877" max="5120" width="9.140625" style="69"/>
    <col min="5121" max="5121" width="3.85546875" style="69" customWidth="1"/>
    <col min="5122" max="5122" width="35.140625" style="69" bestFit="1" customWidth="1"/>
    <col min="5123" max="5123" width="9.42578125" style="69" bestFit="1" customWidth="1"/>
    <col min="5124" max="5124" width="8.85546875" style="69" bestFit="1" customWidth="1"/>
    <col min="5125" max="5128" width="9.42578125" style="69" bestFit="1" customWidth="1"/>
    <col min="5129" max="5130" width="9.85546875" style="69" bestFit="1" customWidth="1"/>
    <col min="5131" max="5131" width="1.140625" style="69" customWidth="1"/>
    <col min="5132" max="5132" width="9.140625" style="69" bestFit="1" customWidth="1"/>
    <col min="5133" max="5376" width="9.140625" style="69"/>
    <col min="5377" max="5377" width="3.85546875" style="69" customWidth="1"/>
    <col min="5378" max="5378" width="35.140625" style="69" bestFit="1" customWidth="1"/>
    <col min="5379" max="5379" width="9.42578125" style="69" bestFit="1" customWidth="1"/>
    <col min="5380" max="5380" width="8.85546875" style="69" bestFit="1" customWidth="1"/>
    <col min="5381" max="5384" width="9.42578125" style="69" bestFit="1" customWidth="1"/>
    <col min="5385" max="5386" width="9.85546875" style="69" bestFit="1" customWidth="1"/>
    <col min="5387" max="5387" width="1.140625" style="69" customWidth="1"/>
    <col min="5388" max="5388" width="9.140625" style="69" bestFit="1" customWidth="1"/>
    <col min="5389" max="5632" width="9.140625" style="69"/>
    <col min="5633" max="5633" width="3.85546875" style="69" customWidth="1"/>
    <col min="5634" max="5634" width="35.140625" style="69" bestFit="1" customWidth="1"/>
    <col min="5635" max="5635" width="9.42578125" style="69" bestFit="1" customWidth="1"/>
    <col min="5636" max="5636" width="8.85546875" style="69" bestFit="1" customWidth="1"/>
    <col min="5637" max="5640" width="9.42578125" style="69" bestFit="1" customWidth="1"/>
    <col min="5641" max="5642" width="9.85546875" style="69" bestFit="1" customWidth="1"/>
    <col min="5643" max="5643" width="1.140625" style="69" customWidth="1"/>
    <col min="5644" max="5644" width="9.140625" style="69" bestFit="1" customWidth="1"/>
    <col min="5645" max="5888" width="9.140625" style="69"/>
    <col min="5889" max="5889" width="3.85546875" style="69" customWidth="1"/>
    <col min="5890" max="5890" width="35.140625" style="69" bestFit="1" customWidth="1"/>
    <col min="5891" max="5891" width="9.42578125" style="69" bestFit="1" customWidth="1"/>
    <col min="5892" max="5892" width="8.85546875" style="69" bestFit="1" customWidth="1"/>
    <col min="5893" max="5896" width="9.42578125" style="69" bestFit="1" customWidth="1"/>
    <col min="5897" max="5898" width="9.85546875" style="69" bestFit="1" customWidth="1"/>
    <col min="5899" max="5899" width="1.140625" style="69" customWidth="1"/>
    <col min="5900" max="5900" width="9.140625" style="69" bestFit="1" customWidth="1"/>
    <col min="5901" max="6144" width="9.140625" style="69"/>
    <col min="6145" max="6145" width="3.85546875" style="69" customWidth="1"/>
    <col min="6146" max="6146" width="35.140625" style="69" bestFit="1" customWidth="1"/>
    <col min="6147" max="6147" width="9.42578125" style="69" bestFit="1" customWidth="1"/>
    <col min="6148" max="6148" width="8.85546875" style="69" bestFit="1" customWidth="1"/>
    <col min="6149" max="6152" width="9.42578125" style="69" bestFit="1" customWidth="1"/>
    <col min="6153" max="6154" width="9.85546875" style="69" bestFit="1" customWidth="1"/>
    <col min="6155" max="6155" width="1.140625" style="69" customWidth="1"/>
    <col min="6156" max="6156" width="9.140625" style="69" bestFit="1" customWidth="1"/>
    <col min="6157" max="6400" width="9.140625" style="69"/>
    <col min="6401" max="6401" width="3.85546875" style="69" customWidth="1"/>
    <col min="6402" max="6402" width="35.140625" style="69" bestFit="1" customWidth="1"/>
    <col min="6403" max="6403" width="9.42578125" style="69" bestFit="1" customWidth="1"/>
    <col min="6404" max="6404" width="8.85546875" style="69" bestFit="1" customWidth="1"/>
    <col min="6405" max="6408" width="9.42578125" style="69" bestFit="1" customWidth="1"/>
    <col min="6409" max="6410" width="9.85546875" style="69" bestFit="1" customWidth="1"/>
    <col min="6411" max="6411" width="1.140625" style="69" customWidth="1"/>
    <col min="6412" max="6412" width="9.140625" style="69" bestFit="1" customWidth="1"/>
    <col min="6413" max="6656" width="9.140625" style="69"/>
    <col min="6657" max="6657" width="3.85546875" style="69" customWidth="1"/>
    <col min="6658" max="6658" width="35.140625" style="69" bestFit="1" customWidth="1"/>
    <col min="6659" max="6659" width="9.42578125" style="69" bestFit="1" customWidth="1"/>
    <col min="6660" max="6660" width="8.85546875" style="69" bestFit="1" customWidth="1"/>
    <col min="6661" max="6664" width="9.42578125" style="69" bestFit="1" customWidth="1"/>
    <col min="6665" max="6666" width="9.85546875" style="69" bestFit="1" customWidth="1"/>
    <col min="6667" max="6667" width="1.140625" style="69" customWidth="1"/>
    <col min="6668" max="6668" width="9.140625" style="69" bestFit="1" customWidth="1"/>
    <col min="6669" max="6912" width="9.140625" style="69"/>
    <col min="6913" max="6913" width="3.85546875" style="69" customWidth="1"/>
    <col min="6914" max="6914" width="35.140625" style="69" bestFit="1" customWidth="1"/>
    <col min="6915" max="6915" width="9.42578125" style="69" bestFit="1" customWidth="1"/>
    <col min="6916" max="6916" width="8.85546875" style="69" bestFit="1" customWidth="1"/>
    <col min="6917" max="6920" width="9.42578125" style="69" bestFit="1" customWidth="1"/>
    <col min="6921" max="6922" width="9.85546875" style="69" bestFit="1" customWidth="1"/>
    <col min="6923" max="6923" width="1.140625" style="69" customWidth="1"/>
    <col min="6924" max="6924" width="9.140625" style="69" bestFit="1" customWidth="1"/>
    <col min="6925" max="7168" width="9.140625" style="69"/>
    <col min="7169" max="7169" width="3.85546875" style="69" customWidth="1"/>
    <col min="7170" max="7170" width="35.140625" style="69" bestFit="1" customWidth="1"/>
    <col min="7171" max="7171" width="9.42578125" style="69" bestFit="1" customWidth="1"/>
    <col min="7172" max="7172" width="8.85546875" style="69" bestFit="1" customWidth="1"/>
    <col min="7173" max="7176" width="9.42578125" style="69" bestFit="1" customWidth="1"/>
    <col min="7177" max="7178" width="9.85546875" style="69" bestFit="1" customWidth="1"/>
    <col min="7179" max="7179" width="1.140625" style="69" customWidth="1"/>
    <col min="7180" max="7180" width="9.140625" style="69" bestFit="1" customWidth="1"/>
    <col min="7181" max="7424" width="9.140625" style="69"/>
    <col min="7425" max="7425" width="3.85546875" style="69" customWidth="1"/>
    <col min="7426" max="7426" width="35.140625" style="69" bestFit="1" customWidth="1"/>
    <col min="7427" max="7427" width="9.42578125" style="69" bestFit="1" customWidth="1"/>
    <col min="7428" max="7428" width="8.85546875" style="69" bestFit="1" customWidth="1"/>
    <col min="7429" max="7432" width="9.42578125" style="69" bestFit="1" customWidth="1"/>
    <col min="7433" max="7434" width="9.85546875" style="69" bestFit="1" customWidth="1"/>
    <col min="7435" max="7435" width="1.140625" style="69" customWidth="1"/>
    <col min="7436" max="7436" width="9.140625" style="69" bestFit="1" customWidth="1"/>
    <col min="7437" max="7680" width="9.140625" style="69"/>
    <col min="7681" max="7681" width="3.85546875" style="69" customWidth="1"/>
    <col min="7682" max="7682" width="35.140625" style="69" bestFit="1" customWidth="1"/>
    <col min="7683" max="7683" width="9.42578125" style="69" bestFit="1" customWidth="1"/>
    <col min="7684" max="7684" width="8.85546875" style="69" bestFit="1" customWidth="1"/>
    <col min="7685" max="7688" width="9.42578125" style="69" bestFit="1" customWidth="1"/>
    <col min="7689" max="7690" width="9.85546875" style="69" bestFit="1" customWidth="1"/>
    <col min="7691" max="7691" width="1.140625" style="69" customWidth="1"/>
    <col min="7692" max="7692" width="9.140625" style="69" bestFit="1" customWidth="1"/>
    <col min="7693" max="7936" width="9.140625" style="69"/>
    <col min="7937" max="7937" width="3.85546875" style="69" customWidth="1"/>
    <col min="7938" max="7938" width="35.140625" style="69" bestFit="1" customWidth="1"/>
    <col min="7939" max="7939" width="9.42578125" style="69" bestFit="1" customWidth="1"/>
    <col min="7940" max="7940" width="8.85546875" style="69" bestFit="1" customWidth="1"/>
    <col min="7941" max="7944" width="9.42578125" style="69" bestFit="1" customWidth="1"/>
    <col min="7945" max="7946" width="9.85546875" style="69" bestFit="1" customWidth="1"/>
    <col min="7947" max="7947" width="1.140625" style="69" customWidth="1"/>
    <col min="7948" max="7948" width="9.140625" style="69" bestFit="1" customWidth="1"/>
    <col min="7949" max="8192" width="9.140625" style="69"/>
    <col min="8193" max="8193" width="3.85546875" style="69" customWidth="1"/>
    <col min="8194" max="8194" width="35.140625" style="69" bestFit="1" customWidth="1"/>
    <col min="8195" max="8195" width="9.42578125" style="69" bestFit="1" customWidth="1"/>
    <col min="8196" max="8196" width="8.85546875" style="69" bestFit="1" customWidth="1"/>
    <col min="8197" max="8200" width="9.42578125" style="69" bestFit="1" customWidth="1"/>
    <col min="8201" max="8202" width="9.85546875" style="69" bestFit="1" customWidth="1"/>
    <col min="8203" max="8203" width="1.140625" style="69" customWidth="1"/>
    <col min="8204" max="8204" width="9.140625" style="69" bestFit="1" customWidth="1"/>
    <col min="8205" max="8448" width="9.140625" style="69"/>
    <col min="8449" max="8449" width="3.85546875" style="69" customWidth="1"/>
    <col min="8450" max="8450" width="35.140625" style="69" bestFit="1" customWidth="1"/>
    <col min="8451" max="8451" width="9.42578125" style="69" bestFit="1" customWidth="1"/>
    <col min="8452" max="8452" width="8.85546875" style="69" bestFit="1" customWidth="1"/>
    <col min="8453" max="8456" width="9.42578125" style="69" bestFit="1" customWidth="1"/>
    <col min="8457" max="8458" width="9.85546875" style="69" bestFit="1" customWidth="1"/>
    <col min="8459" max="8459" width="1.140625" style="69" customWidth="1"/>
    <col min="8460" max="8460" width="9.140625" style="69" bestFit="1" customWidth="1"/>
    <col min="8461" max="8704" width="9.140625" style="69"/>
    <col min="8705" max="8705" width="3.85546875" style="69" customWidth="1"/>
    <col min="8706" max="8706" width="35.140625" style="69" bestFit="1" customWidth="1"/>
    <col min="8707" max="8707" width="9.42578125" style="69" bestFit="1" customWidth="1"/>
    <col min="8708" max="8708" width="8.85546875" style="69" bestFit="1" customWidth="1"/>
    <col min="8709" max="8712" width="9.42578125" style="69" bestFit="1" customWidth="1"/>
    <col min="8713" max="8714" width="9.85546875" style="69" bestFit="1" customWidth="1"/>
    <col min="8715" max="8715" width="1.140625" style="69" customWidth="1"/>
    <col min="8716" max="8716" width="9.140625" style="69" bestFit="1" customWidth="1"/>
    <col min="8717" max="8960" width="9.140625" style="69"/>
    <col min="8961" max="8961" width="3.85546875" style="69" customWidth="1"/>
    <col min="8962" max="8962" width="35.140625" style="69" bestFit="1" customWidth="1"/>
    <col min="8963" max="8963" width="9.42578125" style="69" bestFit="1" customWidth="1"/>
    <col min="8964" max="8964" width="8.85546875" style="69" bestFit="1" customWidth="1"/>
    <col min="8965" max="8968" width="9.42578125" style="69" bestFit="1" customWidth="1"/>
    <col min="8969" max="8970" width="9.85546875" style="69" bestFit="1" customWidth="1"/>
    <col min="8971" max="8971" width="1.140625" style="69" customWidth="1"/>
    <col min="8972" max="8972" width="9.140625" style="69" bestFit="1" customWidth="1"/>
    <col min="8973" max="9216" width="9.140625" style="69"/>
    <col min="9217" max="9217" width="3.85546875" style="69" customWidth="1"/>
    <col min="9218" max="9218" width="35.140625" style="69" bestFit="1" customWidth="1"/>
    <col min="9219" max="9219" width="9.42578125" style="69" bestFit="1" customWidth="1"/>
    <col min="9220" max="9220" width="8.85546875" style="69" bestFit="1" customWidth="1"/>
    <col min="9221" max="9224" width="9.42578125" style="69" bestFit="1" customWidth="1"/>
    <col min="9225" max="9226" width="9.85546875" style="69" bestFit="1" customWidth="1"/>
    <col min="9227" max="9227" width="1.140625" style="69" customWidth="1"/>
    <col min="9228" max="9228" width="9.140625" style="69" bestFit="1" customWidth="1"/>
    <col min="9229" max="9472" width="9.140625" style="69"/>
    <col min="9473" max="9473" width="3.85546875" style="69" customWidth="1"/>
    <col min="9474" max="9474" width="35.140625" style="69" bestFit="1" customWidth="1"/>
    <col min="9475" max="9475" width="9.42578125" style="69" bestFit="1" customWidth="1"/>
    <col min="9476" max="9476" width="8.85546875" style="69" bestFit="1" customWidth="1"/>
    <col min="9477" max="9480" width="9.42578125" style="69" bestFit="1" customWidth="1"/>
    <col min="9481" max="9482" width="9.85546875" style="69" bestFit="1" customWidth="1"/>
    <col min="9483" max="9483" width="1.140625" style="69" customWidth="1"/>
    <col min="9484" max="9484" width="9.140625" style="69" bestFit="1" customWidth="1"/>
    <col min="9485" max="9728" width="9.140625" style="69"/>
    <col min="9729" max="9729" width="3.85546875" style="69" customWidth="1"/>
    <col min="9730" max="9730" width="35.140625" style="69" bestFit="1" customWidth="1"/>
    <col min="9731" max="9731" width="9.42578125" style="69" bestFit="1" customWidth="1"/>
    <col min="9732" max="9732" width="8.85546875" style="69" bestFit="1" customWidth="1"/>
    <col min="9733" max="9736" width="9.42578125" style="69" bestFit="1" customWidth="1"/>
    <col min="9737" max="9738" width="9.85546875" style="69" bestFit="1" customWidth="1"/>
    <col min="9739" max="9739" width="1.140625" style="69" customWidth="1"/>
    <col min="9740" max="9740" width="9.140625" style="69" bestFit="1" customWidth="1"/>
    <col min="9741" max="9984" width="9.140625" style="69"/>
    <col min="9985" max="9985" width="3.85546875" style="69" customWidth="1"/>
    <col min="9986" max="9986" width="35.140625" style="69" bestFit="1" customWidth="1"/>
    <col min="9987" max="9987" width="9.42578125" style="69" bestFit="1" customWidth="1"/>
    <col min="9988" max="9988" width="8.85546875" style="69" bestFit="1" customWidth="1"/>
    <col min="9989" max="9992" width="9.42578125" style="69" bestFit="1" customWidth="1"/>
    <col min="9993" max="9994" width="9.85546875" style="69" bestFit="1" customWidth="1"/>
    <col min="9995" max="9995" width="1.140625" style="69" customWidth="1"/>
    <col min="9996" max="9996" width="9.140625" style="69" bestFit="1" customWidth="1"/>
    <col min="9997" max="10240" width="9.140625" style="69"/>
    <col min="10241" max="10241" width="3.85546875" style="69" customWidth="1"/>
    <col min="10242" max="10242" width="35.140625" style="69" bestFit="1" customWidth="1"/>
    <col min="10243" max="10243" width="9.42578125" style="69" bestFit="1" customWidth="1"/>
    <col min="10244" max="10244" width="8.85546875" style="69" bestFit="1" customWidth="1"/>
    <col min="10245" max="10248" width="9.42578125" style="69" bestFit="1" customWidth="1"/>
    <col min="10249" max="10250" width="9.85546875" style="69" bestFit="1" customWidth="1"/>
    <col min="10251" max="10251" width="1.140625" style="69" customWidth="1"/>
    <col min="10252" max="10252" width="9.140625" style="69" bestFit="1" customWidth="1"/>
    <col min="10253" max="10496" width="9.140625" style="69"/>
    <col min="10497" max="10497" width="3.85546875" style="69" customWidth="1"/>
    <col min="10498" max="10498" width="35.140625" style="69" bestFit="1" customWidth="1"/>
    <col min="10499" max="10499" width="9.42578125" style="69" bestFit="1" customWidth="1"/>
    <col min="10500" max="10500" width="8.85546875" style="69" bestFit="1" customWidth="1"/>
    <col min="10501" max="10504" width="9.42578125" style="69" bestFit="1" customWidth="1"/>
    <col min="10505" max="10506" width="9.85546875" style="69" bestFit="1" customWidth="1"/>
    <col min="10507" max="10507" width="1.140625" style="69" customWidth="1"/>
    <col min="10508" max="10508" width="9.140625" style="69" bestFit="1" customWidth="1"/>
    <col min="10509" max="10752" width="9.140625" style="69"/>
    <col min="10753" max="10753" width="3.85546875" style="69" customWidth="1"/>
    <col min="10754" max="10754" width="35.140625" style="69" bestFit="1" customWidth="1"/>
    <col min="10755" max="10755" width="9.42578125" style="69" bestFit="1" customWidth="1"/>
    <col min="10756" max="10756" width="8.85546875" style="69" bestFit="1" customWidth="1"/>
    <col min="10757" max="10760" width="9.42578125" style="69" bestFit="1" customWidth="1"/>
    <col min="10761" max="10762" width="9.85546875" style="69" bestFit="1" customWidth="1"/>
    <col min="10763" max="10763" width="1.140625" style="69" customWidth="1"/>
    <col min="10764" max="10764" width="9.140625" style="69" bestFit="1" customWidth="1"/>
    <col min="10765" max="11008" width="9.140625" style="69"/>
    <col min="11009" max="11009" width="3.85546875" style="69" customWidth="1"/>
    <col min="11010" max="11010" width="35.140625" style="69" bestFit="1" customWidth="1"/>
    <col min="11011" max="11011" width="9.42578125" style="69" bestFit="1" customWidth="1"/>
    <col min="11012" max="11012" width="8.85546875" style="69" bestFit="1" customWidth="1"/>
    <col min="11013" max="11016" width="9.42578125" style="69" bestFit="1" customWidth="1"/>
    <col min="11017" max="11018" width="9.85546875" style="69" bestFit="1" customWidth="1"/>
    <col min="11019" max="11019" width="1.140625" style="69" customWidth="1"/>
    <col min="11020" max="11020" width="9.140625" style="69" bestFit="1" customWidth="1"/>
    <col min="11021" max="11264" width="9.140625" style="69"/>
    <col min="11265" max="11265" width="3.85546875" style="69" customWidth="1"/>
    <col min="11266" max="11266" width="35.140625" style="69" bestFit="1" customWidth="1"/>
    <col min="11267" max="11267" width="9.42578125" style="69" bestFit="1" customWidth="1"/>
    <col min="11268" max="11268" width="8.85546875" style="69" bestFit="1" customWidth="1"/>
    <col min="11269" max="11272" width="9.42578125" style="69" bestFit="1" customWidth="1"/>
    <col min="11273" max="11274" width="9.85546875" style="69" bestFit="1" customWidth="1"/>
    <col min="11275" max="11275" width="1.140625" style="69" customWidth="1"/>
    <col min="11276" max="11276" width="9.140625" style="69" bestFit="1" customWidth="1"/>
    <col min="11277" max="11520" width="9.140625" style="69"/>
    <col min="11521" max="11521" width="3.85546875" style="69" customWidth="1"/>
    <col min="11522" max="11522" width="35.140625" style="69" bestFit="1" customWidth="1"/>
    <col min="11523" max="11523" width="9.42578125" style="69" bestFit="1" customWidth="1"/>
    <col min="11524" max="11524" width="8.85546875" style="69" bestFit="1" customWidth="1"/>
    <col min="11525" max="11528" width="9.42578125" style="69" bestFit="1" customWidth="1"/>
    <col min="11529" max="11530" width="9.85546875" style="69" bestFit="1" customWidth="1"/>
    <col min="11531" max="11531" width="1.140625" style="69" customWidth="1"/>
    <col min="11532" max="11532" width="9.140625" style="69" bestFit="1" customWidth="1"/>
    <col min="11533" max="11776" width="9.140625" style="69"/>
    <col min="11777" max="11777" width="3.85546875" style="69" customWidth="1"/>
    <col min="11778" max="11778" width="35.140625" style="69" bestFit="1" customWidth="1"/>
    <col min="11779" max="11779" width="9.42578125" style="69" bestFit="1" customWidth="1"/>
    <col min="11780" max="11780" width="8.85546875" style="69" bestFit="1" customWidth="1"/>
    <col min="11781" max="11784" width="9.42578125" style="69" bestFit="1" customWidth="1"/>
    <col min="11785" max="11786" width="9.85546875" style="69" bestFit="1" customWidth="1"/>
    <col min="11787" max="11787" width="1.140625" style="69" customWidth="1"/>
    <col min="11788" max="11788" width="9.140625" style="69" bestFit="1" customWidth="1"/>
    <col min="11789" max="12032" width="9.140625" style="69"/>
    <col min="12033" max="12033" width="3.85546875" style="69" customWidth="1"/>
    <col min="12034" max="12034" width="35.140625" style="69" bestFit="1" customWidth="1"/>
    <col min="12035" max="12035" width="9.42578125" style="69" bestFit="1" customWidth="1"/>
    <col min="12036" max="12036" width="8.85546875" style="69" bestFit="1" customWidth="1"/>
    <col min="12037" max="12040" width="9.42578125" style="69" bestFit="1" customWidth="1"/>
    <col min="12041" max="12042" width="9.85546875" style="69" bestFit="1" customWidth="1"/>
    <col min="12043" max="12043" width="1.140625" style="69" customWidth="1"/>
    <col min="12044" max="12044" width="9.140625" style="69" bestFit="1" customWidth="1"/>
    <col min="12045" max="12288" width="9.140625" style="69"/>
    <col min="12289" max="12289" width="3.85546875" style="69" customWidth="1"/>
    <col min="12290" max="12290" width="35.140625" style="69" bestFit="1" customWidth="1"/>
    <col min="12291" max="12291" width="9.42578125" style="69" bestFit="1" customWidth="1"/>
    <col min="12292" max="12292" width="8.85546875" style="69" bestFit="1" customWidth="1"/>
    <col min="12293" max="12296" width="9.42578125" style="69" bestFit="1" customWidth="1"/>
    <col min="12297" max="12298" width="9.85546875" style="69" bestFit="1" customWidth="1"/>
    <col min="12299" max="12299" width="1.140625" style="69" customWidth="1"/>
    <col min="12300" max="12300" width="9.140625" style="69" bestFit="1" customWidth="1"/>
    <col min="12301" max="12544" width="9.140625" style="69"/>
    <col min="12545" max="12545" width="3.85546875" style="69" customWidth="1"/>
    <col min="12546" max="12546" width="35.140625" style="69" bestFit="1" customWidth="1"/>
    <col min="12547" max="12547" width="9.42578125" style="69" bestFit="1" customWidth="1"/>
    <col min="12548" max="12548" width="8.85546875" style="69" bestFit="1" customWidth="1"/>
    <col min="12549" max="12552" width="9.42578125" style="69" bestFit="1" customWidth="1"/>
    <col min="12553" max="12554" width="9.85546875" style="69" bestFit="1" customWidth="1"/>
    <col min="12555" max="12555" width="1.140625" style="69" customWidth="1"/>
    <col min="12556" max="12556" width="9.140625" style="69" bestFit="1" customWidth="1"/>
    <col min="12557" max="12800" width="9.140625" style="69"/>
    <col min="12801" max="12801" width="3.85546875" style="69" customWidth="1"/>
    <col min="12802" max="12802" width="35.140625" style="69" bestFit="1" customWidth="1"/>
    <col min="12803" max="12803" width="9.42578125" style="69" bestFit="1" customWidth="1"/>
    <col min="12804" max="12804" width="8.85546875" style="69" bestFit="1" customWidth="1"/>
    <col min="12805" max="12808" width="9.42578125" style="69" bestFit="1" customWidth="1"/>
    <col min="12809" max="12810" width="9.85546875" style="69" bestFit="1" customWidth="1"/>
    <col min="12811" max="12811" width="1.140625" style="69" customWidth="1"/>
    <col min="12812" max="12812" width="9.140625" style="69" bestFit="1" customWidth="1"/>
    <col min="12813" max="13056" width="9.140625" style="69"/>
    <col min="13057" max="13057" width="3.85546875" style="69" customWidth="1"/>
    <col min="13058" max="13058" width="35.140625" style="69" bestFit="1" customWidth="1"/>
    <col min="13059" max="13059" width="9.42578125" style="69" bestFit="1" customWidth="1"/>
    <col min="13060" max="13060" width="8.85546875" style="69" bestFit="1" customWidth="1"/>
    <col min="13061" max="13064" width="9.42578125" style="69" bestFit="1" customWidth="1"/>
    <col min="13065" max="13066" width="9.85546875" style="69" bestFit="1" customWidth="1"/>
    <col min="13067" max="13067" width="1.140625" style="69" customWidth="1"/>
    <col min="13068" max="13068" width="9.140625" style="69" bestFit="1" customWidth="1"/>
    <col min="13069" max="13312" width="9.140625" style="69"/>
    <col min="13313" max="13313" width="3.85546875" style="69" customWidth="1"/>
    <col min="13314" max="13314" width="35.140625" style="69" bestFit="1" customWidth="1"/>
    <col min="13315" max="13315" width="9.42578125" style="69" bestFit="1" customWidth="1"/>
    <col min="13316" max="13316" width="8.85546875" style="69" bestFit="1" customWidth="1"/>
    <col min="13317" max="13320" width="9.42578125" style="69" bestFit="1" customWidth="1"/>
    <col min="13321" max="13322" width="9.85546875" style="69" bestFit="1" customWidth="1"/>
    <col min="13323" max="13323" width="1.140625" style="69" customWidth="1"/>
    <col min="13324" max="13324" width="9.140625" style="69" bestFit="1" customWidth="1"/>
    <col min="13325" max="13568" width="9.140625" style="69"/>
    <col min="13569" max="13569" width="3.85546875" style="69" customWidth="1"/>
    <col min="13570" max="13570" width="35.140625" style="69" bestFit="1" customWidth="1"/>
    <col min="13571" max="13571" width="9.42578125" style="69" bestFit="1" customWidth="1"/>
    <col min="13572" max="13572" width="8.85546875" style="69" bestFit="1" customWidth="1"/>
    <col min="13573" max="13576" width="9.42578125" style="69" bestFit="1" customWidth="1"/>
    <col min="13577" max="13578" width="9.85546875" style="69" bestFit="1" customWidth="1"/>
    <col min="13579" max="13579" width="1.140625" style="69" customWidth="1"/>
    <col min="13580" max="13580" width="9.140625" style="69" bestFit="1" customWidth="1"/>
    <col min="13581" max="13824" width="9.140625" style="69"/>
    <col min="13825" max="13825" width="3.85546875" style="69" customWidth="1"/>
    <col min="13826" max="13826" width="35.140625" style="69" bestFit="1" customWidth="1"/>
    <col min="13827" max="13827" width="9.42578125" style="69" bestFit="1" customWidth="1"/>
    <col min="13828" max="13828" width="8.85546875" style="69" bestFit="1" customWidth="1"/>
    <col min="13829" max="13832" width="9.42578125" style="69" bestFit="1" customWidth="1"/>
    <col min="13833" max="13834" width="9.85546875" style="69" bestFit="1" customWidth="1"/>
    <col min="13835" max="13835" width="1.140625" style="69" customWidth="1"/>
    <col min="13836" max="13836" width="9.140625" style="69" bestFit="1" customWidth="1"/>
    <col min="13837" max="14080" width="9.140625" style="69"/>
    <col min="14081" max="14081" width="3.85546875" style="69" customWidth="1"/>
    <col min="14082" max="14082" width="35.140625" style="69" bestFit="1" customWidth="1"/>
    <col min="14083" max="14083" width="9.42578125" style="69" bestFit="1" customWidth="1"/>
    <col min="14084" max="14084" width="8.85546875" style="69" bestFit="1" customWidth="1"/>
    <col min="14085" max="14088" width="9.42578125" style="69" bestFit="1" customWidth="1"/>
    <col min="14089" max="14090" width="9.85546875" style="69" bestFit="1" customWidth="1"/>
    <col min="14091" max="14091" width="1.140625" style="69" customWidth="1"/>
    <col min="14092" max="14092" width="9.140625" style="69" bestFit="1" customWidth="1"/>
    <col min="14093" max="14336" width="9.140625" style="69"/>
    <col min="14337" max="14337" width="3.85546875" style="69" customWidth="1"/>
    <col min="14338" max="14338" width="35.140625" style="69" bestFit="1" customWidth="1"/>
    <col min="14339" max="14339" width="9.42578125" style="69" bestFit="1" customWidth="1"/>
    <col min="14340" max="14340" width="8.85546875" style="69" bestFit="1" customWidth="1"/>
    <col min="14341" max="14344" width="9.42578125" style="69" bestFit="1" customWidth="1"/>
    <col min="14345" max="14346" width="9.85546875" style="69" bestFit="1" customWidth="1"/>
    <col min="14347" max="14347" width="1.140625" style="69" customWidth="1"/>
    <col min="14348" max="14348" width="9.140625" style="69" bestFit="1" customWidth="1"/>
    <col min="14349" max="14592" width="9.140625" style="69"/>
    <col min="14593" max="14593" width="3.85546875" style="69" customWidth="1"/>
    <col min="14594" max="14594" width="35.140625" style="69" bestFit="1" customWidth="1"/>
    <col min="14595" max="14595" width="9.42578125" style="69" bestFit="1" customWidth="1"/>
    <col min="14596" max="14596" width="8.85546875" style="69" bestFit="1" customWidth="1"/>
    <col min="14597" max="14600" width="9.42578125" style="69" bestFit="1" customWidth="1"/>
    <col min="14601" max="14602" width="9.85546875" style="69" bestFit="1" customWidth="1"/>
    <col min="14603" max="14603" width="1.140625" style="69" customWidth="1"/>
    <col min="14604" max="14604" width="9.140625" style="69" bestFit="1" customWidth="1"/>
    <col min="14605" max="14848" width="9.140625" style="69"/>
    <col min="14849" max="14849" width="3.85546875" style="69" customWidth="1"/>
    <col min="14850" max="14850" width="35.140625" style="69" bestFit="1" customWidth="1"/>
    <col min="14851" max="14851" width="9.42578125" style="69" bestFit="1" customWidth="1"/>
    <col min="14852" max="14852" width="8.85546875" style="69" bestFit="1" customWidth="1"/>
    <col min="14853" max="14856" width="9.42578125" style="69" bestFit="1" customWidth="1"/>
    <col min="14857" max="14858" width="9.85546875" style="69" bestFit="1" customWidth="1"/>
    <col min="14859" max="14859" width="1.140625" style="69" customWidth="1"/>
    <col min="14860" max="14860" width="9.140625" style="69" bestFit="1" customWidth="1"/>
    <col min="14861" max="15104" width="9.140625" style="69"/>
    <col min="15105" max="15105" width="3.85546875" style="69" customWidth="1"/>
    <col min="15106" max="15106" width="35.140625" style="69" bestFit="1" customWidth="1"/>
    <col min="15107" max="15107" width="9.42578125" style="69" bestFit="1" customWidth="1"/>
    <col min="15108" max="15108" width="8.85546875" style="69" bestFit="1" customWidth="1"/>
    <col min="15109" max="15112" width="9.42578125" style="69" bestFit="1" customWidth="1"/>
    <col min="15113" max="15114" width="9.85546875" style="69" bestFit="1" customWidth="1"/>
    <col min="15115" max="15115" width="1.140625" style="69" customWidth="1"/>
    <col min="15116" max="15116" width="9.140625" style="69" bestFit="1" customWidth="1"/>
    <col min="15117" max="15360" width="9.140625" style="69"/>
    <col min="15361" max="15361" width="3.85546875" style="69" customWidth="1"/>
    <col min="15362" max="15362" width="35.140625" style="69" bestFit="1" customWidth="1"/>
    <col min="15363" max="15363" width="9.42578125" style="69" bestFit="1" customWidth="1"/>
    <col min="15364" max="15364" width="8.85546875" style="69" bestFit="1" customWidth="1"/>
    <col min="15365" max="15368" width="9.42578125" style="69" bestFit="1" customWidth="1"/>
    <col min="15369" max="15370" width="9.85546875" style="69" bestFit="1" customWidth="1"/>
    <col min="15371" max="15371" width="1.140625" style="69" customWidth="1"/>
    <col min="15372" max="15372" width="9.140625" style="69" bestFit="1" customWidth="1"/>
    <col min="15373" max="15616" width="9.140625" style="69"/>
    <col min="15617" max="15617" width="3.85546875" style="69" customWidth="1"/>
    <col min="15618" max="15618" width="35.140625" style="69" bestFit="1" customWidth="1"/>
    <col min="15619" max="15619" width="9.42578125" style="69" bestFit="1" customWidth="1"/>
    <col min="15620" max="15620" width="8.85546875" style="69" bestFit="1" customWidth="1"/>
    <col min="15621" max="15624" width="9.42578125" style="69" bestFit="1" customWidth="1"/>
    <col min="15625" max="15626" width="9.85546875" style="69" bestFit="1" customWidth="1"/>
    <col min="15627" max="15627" width="1.140625" style="69" customWidth="1"/>
    <col min="15628" max="15628" width="9.140625" style="69" bestFit="1" customWidth="1"/>
    <col min="15629" max="15872" width="9.140625" style="69"/>
    <col min="15873" max="15873" width="3.85546875" style="69" customWidth="1"/>
    <col min="15874" max="15874" width="35.140625" style="69" bestFit="1" customWidth="1"/>
    <col min="15875" max="15875" width="9.42578125" style="69" bestFit="1" customWidth="1"/>
    <col min="15876" max="15876" width="8.85546875" style="69" bestFit="1" customWidth="1"/>
    <col min="15877" max="15880" width="9.42578125" style="69" bestFit="1" customWidth="1"/>
    <col min="15881" max="15882" width="9.85546875" style="69" bestFit="1" customWidth="1"/>
    <col min="15883" max="15883" width="1.140625" style="69" customWidth="1"/>
    <col min="15884" max="15884" width="9.140625" style="69" bestFit="1" customWidth="1"/>
    <col min="15885" max="16128" width="9.140625" style="69"/>
    <col min="16129" max="16129" width="3.85546875" style="69" customWidth="1"/>
    <col min="16130" max="16130" width="35.140625" style="69" bestFit="1" customWidth="1"/>
    <col min="16131" max="16131" width="9.42578125" style="69" bestFit="1" customWidth="1"/>
    <col min="16132" max="16132" width="8.85546875" style="69" bestFit="1" customWidth="1"/>
    <col min="16133" max="16136" width="9.42578125" style="69" bestFit="1" customWidth="1"/>
    <col min="16137" max="16138" width="9.85546875" style="69" bestFit="1" customWidth="1"/>
    <col min="16139" max="16139" width="1.140625" style="69" customWidth="1"/>
    <col min="16140" max="16140" width="9.140625" style="69" bestFit="1" customWidth="1"/>
    <col min="16141" max="16384" width="9.140625" style="69"/>
  </cols>
  <sheetData>
    <row r="1" spans="2:20" s="64" customFormat="1" x14ac:dyDescent="0.25">
      <c r="C1" s="65"/>
      <c r="D1" s="65"/>
      <c r="E1" s="65"/>
      <c r="F1" s="65"/>
      <c r="G1" s="65"/>
      <c r="H1" s="65"/>
      <c r="I1" s="65"/>
      <c r="J1" s="65"/>
      <c r="K1" s="65"/>
    </row>
    <row r="2" spans="2:20" s="64" customFormat="1" ht="14.25" x14ac:dyDescent="0.25">
      <c r="B2" s="185" t="s">
        <v>147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</row>
    <row r="3" spans="2:20" s="64" customFormat="1" x14ac:dyDescent="0.2">
      <c r="B3" s="79"/>
      <c r="C3" s="66" t="s">
        <v>101</v>
      </c>
      <c r="D3" s="451">
        <f>'BS Input'!C3</f>
        <v>2016</v>
      </c>
      <c r="E3" s="451">
        <f>D3+1</f>
        <v>2017</v>
      </c>
      <c r="F3" s="451">
        <f t="shared" ref="F3:K3" si="0">E3+1</f>
        <v>2018</v>
      </c>
      <c r="G3" s="451">
        <f t="shared" si="0"/>
        <v>2019</v>
      </c>
      <c r="H3" s="452">
        <f t="shared" si="0"/>
        <v>2020</v>
      </c>
      <c r="I3" s="452">
        <f t="shared" si="0"/>
        <v>2021</v>
      </c>
      <c r="J3" s="452">
        <f t="shared" si="0"/>
        <v>2022</v>
      </c>
      <c r="K3" s="452">
        <f t="shared" si="0"/>
        <v>2023</v>
      </c>
      <c r="L3" s="452">
        <f t="shared" ref="L3" si="1">K3+1</f>
        <v>2024</v>
      </c>
      <c r="M3" s="452">
        <f t="shared" ref="M3" si="2">L3+1</f>
        <v>2025</v>
      </c>
      <c r="N3" s="452">
        <f t="shared" ref="N3" si="3">M3+1</f>
        <v>2026</v>
      </c>
      <c r="O3" s="452">
        <f t="shared" ref="O3" si="4">N3+1</f>
        <v>2027</v>
      </c>
      <c r="P3" s="452">
        <f t="shared" ref="P3" si="5">O3+1</f>
        <v>2028</v>
      </c>
      <c r="Q3" s="452">
        <f t="shared" ref="Q3" si="6">P3+1</f>
        <v>2029</v>
      </c>
    </row>
    <row r="4" spans="2:20" s="64" customFormat="1" x14ac:dyDescent="0.2">
      <c r="B4" s="79"/>
      <c r="C4" s="66"/>
      <c r="D4" s="103" t="s">
        <v>96</v>
      </c>
      <c r="E4" s="103" t="s">
        <v>96</v>
      </c>
      <c r="F4" s="103" t="s">
        <v>96</v>
      </c>
      <c r="G4" s="103" t="s">
        <v>96</v>
      </c>
      <c r="H4" s="169" t="s">
        <v>97</v>
      </c>
      <c r="I4" s="170" t="s">
        <v>98</v>
      </c>
      <c r="J4" s="170" t="s">
        <v>98</v>
      </c>
      <c r="K4" s="170" t="s">
        <v>98</v>
      </c>
      <c r="L4" s="170" t="s">
        <v>98</v>
      </c>
      <c r="M4" s="170" t="s">
        <v>98</v>
      </c>
      <c r="N4" s="170" t="s">
        <v>98</v>
      </c>
      <c r="O4" s="170" t="s">
        <v>98</v>
      </c>
      <c r="P4" s="170" t="s">
        <v>98</v>
      </c>
      <c r="Q4" s="170" t="s">
        <v>98</v>
      </c>
    </row>
    <row r="5" spans="2:20" s="64" customFormat="1" ht="13.5" thickBot="1" x14ac:dyDescent="0.3">
      <c r="B5" s="206" t="s">
        <v>136</v>
      </c>
      <c r="C5" s="166"/>
      <c r="D5" s="167">
        <v>12</v>
      </c>
      <c r="E5" s="167">
        <v>12</v>
      </c>
      <c r="F5" s="167">
        <v>12</v>
      </c>
      <c r="G5" s="167">
        <f>F5</f>
        <v>12</v>
      </c>
      <c r="H5" s="171">
        <f>G5</f>
        <v>12</v>
      </c>
      <c r="I5" s="171">
        <v>12</v>
      </c>
      <c r="J5" s="171">
        <v>12</v>
      </c>
      <c r="K5" s="171">
        <v>12</v>
      </c>
      <c r="L5" s="171">
        <v>12</v>
      </c>
      <c r="M5" s="171">
        <v>12</v>
      </c>
      <c r="N5" s="171">
        <v>12</v>
      </c>
      <c r="O5" s="171">
        <v>12</v>
      </c>
      <c r="P5" s="171">
        <v>12</v>
      </c>
      <c r="Q5" s="171">
        <v>12</v>
      </c>
    </row>
    <row r="6" spans="2:20" s="64" customFormat="1" x14ac:dyDescent="0.25">
      <c r="B6" s="78"/>
      <c r="C6" s="67"/>
      <c r="D6" s="66"/>
      <c r="E6" s="66"/>
      <c r="F6" s="66"/>
      <c r="G6" s="66"/>
      <c r="H6" s="172"/>
      <c r="I6" s="172"/>
      <c r="J6" s="172"/>
      <c r="K6" s="172"/>
      <c r="L6" s="172"/>
      <c r="M6" s="172"/>
      <c r="N6" s="172"/>
      <c r="O6" s="172"/>
      <c r="P6" s="172"/>
      <c r="Q6" s="172"/>
    </row>
    <row r="7" spans="2:20" s="64" customFormat="1" x14ac:dyDescent="0.25">
      <c r="B7" s="74" t="s">
        <v>138</v>
      </c>
      <c r="C7" s="99"/>
      <c r="D7" s="67"/>
      <c r="E7" s="67"/>
      <c r="F7" s="67"/>
      <c r="G7" s="67"/>
      <c r="H7" s="173"/>
      <c r="I7" s="173"/>
      <c r="J7" s="173"/>
      <c r="K7" s="173"/>
      <c r="L7" s="173"/>
      <c r="M7" s="173"/>
      <c r="N7" s="173"/>
      <c r="O7" s="173"/>
      <c r="P7" s="173"/>
      <c r="Q7" s="173"/>
    </row>
    <row r="8" spans="2:20" s="64" customFormat="1" ht="25.5" x14ac:dyDescent="0.25">
      <c r="B8" s="78" t="s">
        <v>139</v>
      </c>
      <c r="C8" s="67" t="s">
        <v>102</v>
      </c>
      <c r="D8" s="209">
        <v>1580000</v>
      </c>
      <c r="E8" s="209">
        <f>+D8</f>
        <v>1580000</v>
      </c>
      <c r="F8" s="209">
        <f>E8+F9</f>
        <v>2080000</v>
      </c>
      <c r="G8" s="209">
        <f>F8+G9</f>
        <v>2080000</v>
      </c>
      <c r="H8" s="208">
        <f>G8+H9</f>
        <v>2330000</v>
      </c>
      <c r="I8" s="208">
        <f>H8+I9</f>
        <v>2330000</v>
      </c>
      <c r="J8" s="208">
        <f t="shared" ref="J8:K8" si="7">I8+J9</f>
        <v>2331495.0195212136</v>
      </c>
      <c r="K8" s="208">
        <f t="shared" si="7"/>
        <v>2554202.012434219</v>
      </c>
      <c r="L8" s="208">
        <f t="shared" ref="L8" si="8">K8+L9</f>
        <v>2798776.2113486272</v>
      </c>
      <c r="M8" s="208">
        <f t="shared" ref="M8" si="9">L8+M9</f>
        <v>3067421.7760363561</v>
      </c>
      <c r="N8" s="208">
        <f t="shared" ref="N8" si="10">M8+N9</f>
        <v>3362570.6766621834</v>
      </c>
      <c r="O8" s="208">
        <f t="shared" ref="O8" si="11">N8+O9</f>
        <v>3686906.8109105821</v>
      </c>
      <c r="P8" s="208">
        <f t="shared" ref="P8" si="12">O8+P9</f>
        <v>4043392.7337733582</v>
      </c>
      <c r="Q8" s="208">
        <f t="shared" ref="Q8" si="13">P8+Q9</f>
        <v>4435299.2893768502</v>
      </c>
      <c r="R8" s="69"/>
      <c r="S8" s="69"/>
      <c r="T8" s="69"/>
    </row>
    <row r="9" spans="2:20" s="64" customFormat="1" x14ac:dyDescent="0.25">
      <c r="B9" s="78" t="s">
        <v>103</v>
      </c>
      <c r="C9" s="67"/>
      <c r="D9" s="68"/>
      <c r="E9" s="67"/>
      <c r="F9" s="209">
        <v>500000</v>
      </c>
      <c r="G9" s="209">
        <v>0</v>
      </c>
      <c r="H9" s="207">
        <v>250000</v>
      </c>
      <c r="I9" s="207">
        <f>IF(I16&gt;H8,I16-H8,0)</f>
        <v>0</v>
      </c>
      <c r="J9" s="207">
        <f>IF(J16&gt;I8,J16-I8,0)</f>
        <v>1495.0195212136023</v>
      </c>
      <c r="K9" s="207">
        <f t="shared" ref="K9:Q9" si="14">IF(K16&gt;J8,K16-J8,0)</f>
        <v>222706.99291300541</v>
      </c>
      <c r="L9" s="207">
        <f t="shared" si="14"/>
        <v>244574.19891440822</v>
      </c>
      <c r="M9" s="207">
        <f t="shared" si="14"/>
        <v>268645.56468772888</v>
      </c>
      <c r="N9" s="207">
        <f t="shared" si="14"/>
        <v>295148.90062582726</v>
      </c>
      <c r="O9" s="207">
        <f t="shared" si="14"/>
        <v>324336.13424839871</v>
      </c>
      <c r="P9" s="207">
        <f t="shared" si="14"/>
        <v>356485.92286277609</v>
      </c>
      <c r="Q9" s="207">
        <f t="shared" si="14"/>
        <v>391906.55560349207</v>
      </c>
      <c r="R9" s="69"/>
      <c r="S9" s="69"/>
      <c r="T9" s="69"/>
    </row>
    <row r="10" spans="2:20" s="64" customFormat="1" x14ac:dyDescent="0.25">
      <c r="B10" s="78"/>
      <c r="C10" s="67"/>
      <c r="D10" s="67"/>
      <c r="E10" s="67"/>
      <c r="F10" s="67"/>
      <c r="G10" s="67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70"/>
      <c r="S10" s="70"/>
      <c r="T10" s="69"/>
    </row>
    <row r="11" spans="2:20" s="64" customFormat="1" x14ac:dyDescent="0.25">
      <c r="B11" s="79" t="s">
        <v>137</v>
      </c>
      <c r="C11" s="66" t="s">
        <v>104</v>
      </c>
      <c r="D11" s="155">
        <f t="shared" ref="D11:Q11" si="15">D16/D8</f>
        <v>0.8179841772151899</v>
      </c>
      <c r="E11" s="155">
        <f t="shared" si="15"/>
        <v>0.90458734177215194</v>
      </c>
      <c r="F11" s="155">
        <f t="shared" si="15"/>
        <v>0.73971298076923075</v>
      </c>
      <c r="G11" s="155">
        <f t="shared" si="15"/>
        <v>0.85556442307692304</v>
      </c>
      <c r="H11" s="175">
        <f t="shared" si="15"/>
        <v>0.83428180112334382</v>
      </c>
      <c r="I11" s="175">
        <f t="shared" si="15"/>
        <v>0.91358674624260683</v>
      </c>
      <c r="J11" s="175">
        <f t="shared" si="15"/>
        <v>1</v>
      </c>
      <c r="K11" s="175">
        <f t="shared" si="15"/>
        <v>1</v>
      </c>
      <c r="L11" s="175">
        <f t="shared" si="15"/>
        <v>1</v>
      </c>
      <c r="M11" s="175">
        <f t="shared" si="15"/>
        <v>1</v>
      </c>
      <c r="N11" s="175">
        <f t="shared" si="15"/>
        <v>1</v>
      </c>
      <c r="O11" s="175">
        <f t="shared" si="15"/>
        <v>1</v>
      </c>
      <c r="P11" s="175">
        <f t="shared" si="15"/>
        <v>1</v>
      </c>
      <c r="Q11" s="175">
        <f t="shared" si="15"/>
        <v>1</v>
      </c>
      <c r="R11" s="70"/>
      <c r="S11" s="70"/>
      <c r="T11" s="69"/>
    </row>
    <row r="12" spans="2:20" s="64" customFormat="1" x14ac:dyDescent="0.25">
      <c r="B12" s="78"/>
      <c r="C12" s="67"/>
      <c r="D12" s="71"/>
      <c r="E12" s="155"/>
      <c r="F12" s="155"/>
      <c r="G12" s="15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69"/>
      <c r="S12" s="69"/>
      <c r="T12" s="69"/>
    </row>
    <row r="13" spans="2:20" s="64" customFormat="1" x14ac:dyDescent="0.25">
      <c r="B13" s="74" t="s">
        <v>142</v>
      </c>
      <c r="C13" s="99"/>
      <c r="D13" s="67"/>
      <c r="E13" s="67"/>
      <c r="F13" s="71"/>
      <c r="G13" s="71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69"/>
      <c r="S13" s="69"/>
      <c r="T13" s="69"/>
    </row>
    <row r="14" spans="2:20" s="64" customFormat="1" x14ac:dyDescent="0.25">
      <c r="B14" s="78" t="s">
        <v>57</v>
      </c>
      <c r="C14" s="67" t="s">
        <v>102</v>
      </c>
      <c r="D14" s="198">
        <v>1170702</v>
      </c>
      <c r="E14" s="198">
        <v>1305351</v>
      </c>
      <c r="F14" s="198">
        <v>1414541</v>
      </c>
      <c r="G14" s="198">
        <v>1653500</v>
      </c>
      <c r="H14" s="174">
        <f>G14/G$16*H$16</f>
        <v>1806162.5717766478</v>
      </c>
      <c r="I14" s="174">
        <f t="shared" ref="I14:K14" si="16">H14/H$16*I$16</f>
        <v>1977852.3095107651</v>
      </c>
      <c r="J14" s="174">
        <f t="shared" si="16"/>
        <v>2166320.1500911606</v>
      </c>
      <c r="K14" s="174">
        <f t="shared" si="16"/>
        <v>2373249.4560832991</v>
      </c>
      <c r="L14" s="174">
        <f t="shared" ref="L14:Q14" si="17">K14/K$16*L$16</f>
        <v>2600496.7848850093</v>
      </c>
      <c r="M14" s="174">
        <f t="shared" si="17"/>
        <v>2850110.1424701167</v>
      </c>
      <c r="N14" s="174">
        <f t="shared" si="17"/>
        <v>3124349.2059677881</v>
      </c>
      <c r="O14" s="174">
        <f t="shared" si="17"/>
        <v>3425707.7322104322</v>
      </c>
      <c r="P14" s="174">
        <f t="shared" si="17"/>
        <v>3756938.3938483298</v>
      </c>
      <c r="Q14" s="174">
        <f t="shared" si="17"/>
        <v>4121080.3119087052</v>
      </c>
      <c r="R14" s="68"/>
      <c r="S14" s="68"/>
      <c r="T14" s="69"/>
    </row>
    <row r="15" spans="2:20" s="64" customFormat="1" x14ac:dyDescent="0.25">
      <c r="B15" s="78" t="s">
        <v>58</v>
      </c>
      <c r="C15" s="67" t="s">
        <v>102</v>
      </c>
      <c r="D15" s="198">
        <v>121713</v>
      </c>
      <c r="E15" s="198">
        <v>123897</v>
      </c>
      <c r="F15" s="198">
        <v>124062</v>
      </c>
      <c r="G15" s="198">
        <v>126074</v>
      </c>
      <c r="H15" s="174">
        <f>G15/G$16*H$16</f>
        <v>137714.02484074334</v>
      </c>
      <c r="I15" s="174">
        <f t="shared" ref="I15:K15" si="18">H15/H$16*I$16</f>
        <v>150804.80923450875</v>
      </c>
      <c r="J15" s="174">
        <f t="shared" si="18"/>
        <v>165174.86943005319</v>
      </c>
      <c r="K15" s="174">
        <f t="shared" si="18"/>
        <v>180952.5563509198</v>
      </c>
      <c r="L15" s="174">
        <f t="shared" ref="L15:Q15" si="19">K15/K$16*L$16</f>
        <v>198279.42646361818</v>
      </c>
      <c r="M15" s="174">
        <f t="shared" si="19"/>
        <v>217311.63356623976</v>
      </c>
      <c r="N15" s="174">
        <f t="shared" si="19"/>
        <v>238221.47069439545</v>
      </c>
      <c r="O15" s="174">
        <f t="shared" si="19"/>
        <v>261199.07870014998</v>
      </c>
      <c r="P15" s="174">
        <f t="shared" si="19"/>
        <v>286454.33992502833</v>
      </c>
      <c r="Q15" s="174">
        <f t="shared" si="19"/>
        <v>314218.9774681452</v>
      </c>
    </row>
    <row r="16" spans="2:20" s="64" customFormat="1" ht="13.5" thickBot="1" x14ac:dyDescent="0.3">
      <c r="B16" s="188" t="s">
        <v>12</v>
      </c>
      <c r="C16" s="189" t="s">
        <v>102</v>
      </c>
      <c r="D16" s="190">
        <f t="shared" ref="D16:E16" si="20">D14+D15</f>
        <v>1292415</v>
      </c>
      <c r="E16" s="190">
        <f t="shared" si="20"/>
        <v>1429248</v>
      </c>
      <c r="F16" s="190">
        <f>F14+F15</f>
        <v>1538603</v>
      </c>
      <c r="G16" s="190">
        <f>G14+G15</f>
        <v>1779574</v>
      </c>
      <c r="H16" s="191">
        <f>H26*H37</f>
        <v>1943876.5966173911</v>
      </c>
      <c r="I16" s="191">
        <f>I26*I37</f>
        <v>2128657.1187452739</v>
      </c>
      <c r="J16" s="191">
        <f>J26*J37</f>
        <v>2331495.0195212136</v>
      </c>
      <c r="K16" s="191">
        <f>K26*K37</f>
        <v>2554202.012434219</v>
      </c>
      <c r="L16" s="191">
        <f t="shared" ref="L16:Q16" si="21">L26*L37</f>
        <v>2798776.2113486272</v>
      </c>
      <c r="M16" s="191">
        <f t="shared" si="21"/>
        <v>3067421.7760363561</v>
      </c>
      <c r="N16" s="191">
        <f t="shared" si="21"/>
        <v>3362570.6766621834</v>
      </c>
      <c r="O16" s="191">
        <f t="shared" si="21"/>
        <v>3686906.8109105821</v>
      </c>
      <c r="P16" s="191">
        <f t="shared" si="21"/>
        <v>4043392.7337733582</v>
      </c>
      <c r="Q16" s="191">
        <f t="shared" si="21"/>
        <v>4435299.2893768502</v>
      </c>
    </row>
    <row r="17" spans="2:17" s="64" customFormat="1" x14ac:dyDescent="0.25">
      <c r="B17" s="79"/>
      <c r="C17" s="66"/>
      <c r="D17" s="157"/>
      <c r="E17" s="157"/>
      <c r="F17" s="157"/>
      <c r="G17" s="157"/>
      <c r="H17" s="179"/>
      <c r="I17" s="179"/>
      <c r="J17" s="179"/>
      <c r="K17" s="179"/>
      <c r="L17" s="179"/>
      <c r="M17" s="179"/>
      <c r="N17" s="179"/>
      <c r="O17" s="179"/>
      <c r="P17" s="179"/>
      <c r="Q17" s="179"/>
    </row>
    <row r="18" spans="2:17" s="64" customFormat="1" x14ac:dyDescent="0.25">
      <c r="B18" s="74" t="s">
        <v>141</v>
      </c>
      <c r="C18" s="67"/>
      <c r="D18" s="72"/>
      <c r="E18" s="72"/>
      <c r="F18" s="72"/>
      <c r="G18" s="72"/>
      <c r="H18" s="177"/>
      <c r="I18" s="177"/>
      <c r="J18" s="177"/>
      <c r="K18" s="177"/>
      <c r="L18" s="177"/>
      <c r="M18" s="177"/>
      <c r="N18" s="177"/>
      <c r="O18" s="177"/>
      <c r="P18" s="177"/>
      <c r="Q18" s="177"/>
    </row>
    <row r="19" spans="2:17" s="64" customFormat="1" x14ac:dyDescent="0.25">
      <c r="B19" s="78" t="s">
        <v>59</v>
      </c>
      <c r="C19" s="67" t="s">
        <v>104</v>
      </c>
      <c r="D19" s="67" t="s">
        <v>140</v>
      </c>
      <c r="E19" s="155">
        <f t="shared" ref="E19:Q19" si="22">E14/D14-1</f>
        <v>0.1150156060210028</v>
      </c>
      <c r="F19" s="155">
        <f t="shared" si="22"/>
        <v>8.3647999656797367E-2</v>
      </c>
      <c r="G19" s="155">
        <f t="shared" si="22"/>
        <v>0.16893041629758354</v>
      </c>
      <c r="H19" s="175">
        <f t="shared" si="22"/>
        <v>9.2326925779647961E-2</v>
      </c>
      <c r="I19" s="175">
        <f t="shared" si="22"/>
        <v>9.5057743094096647E-2</v>
      </c>
      <c r="J19" s="175">
        <f t="shared" si="22"/>
        <v>9.5289137451832318E-2</v>
      </c>
      <c r="K19" s="175">
        <f t="shared" si="22"/>
        <v>9.552111029546162E-2</v>
      </c>
      <c r="L19" s="175">
        <f t="shared" si="22"/>
        <v>9.575366307120059E-2</v>
      </c>
      <c r="M19" s="175">
        <f t="shared" si="22"/>
        <v>9.5986797228878373E-2</v>
      </c>
      <c r="N19" s="175">
        <f t="shared" si="22"/>
        <v>9.6220514221950548E-2</v>
      </c>
      <c r="O19" s="175">
        <f t="shared" si="22"/>
        <v>9.6454815507505343E-2</v>
      </c>
      <c r="P19" s="175">
        <f t="shared" si="22"/>
        <v>9.668970254627407E-2</v>
      </c>
      <c r="Q19" s="175">
        <f t="shared" si="22"/>
        <v>9.6925176802640012E-2</v>
      </c>
    </row>
    <row r="20" spans="2:17" s="64" customFormat="1" x14ac:dyDescent="0.25">
      <c r="B20" s="78" t="s">
        <v>60</v>
      </c>
      <c r="C20" s="67" t="s">
        <v>104</v>
      </c>
      <c r="D20" s="67" t="s">
        <v>140</v>
      </c>
      <c r="E20" s="155">
        <f t="shared" ref="E20:Q20" si="23">E15/D15-1</f>
        <v>1.794385151955824E-2</v>
      </c>
      <c r="F20" s="155">
        <f t="shared" si="23"/>
        <v>1.331751374125334E-3</v>
      </c>
      <c r="G20" s="155">
        <f t="shared" si="23"/>
        <v>1.6217697602811443E-2</v>
      </c>
      <c r="H20" s="175">
        <f t="shared" si="23"/>
        <v>9.2326925779647961E-2</v>
      </c>
      <c r="I20" s="175">
        <f t="shared" si="23"/>
        <v>9.5057743094096647E-2</v>
      </c>
      <c r="J20" s="175">
        <f t="shared" si="23"/>
        <v>9.5289137451832318E-2</v>
      </c>
      <c r="K20" s="175">
        <f t="shared" si="23"/>
        <v>9.5521110295461842E-2</v>
      </c>
      <c r="L20" s="175">
        <f t="shared" si="23"/>
        <v>9.5753663071200368E-2</v>
      </c>
      <c r="M20" s="175">
        <f t="shared" si="23"/>
        <v>9.5986797228878151E-2</v>
      </c>
      <c r="N20" s="175">
        <f t="shared" si="23"/>
        <v>9.6220514221950548E-2</v>
      </c>
      <c r="O20" s="175">
        <f t="shared" si="23"/>
        <v>9.6454815507505565E-2</v>
      </c>
      <c r="P20" s="175">
        <f t="shared" si="23"/>
        <v>9.668970254627407E-2</v>
      </c>
      <c r="Q20" s="175">
        <f t="shared" si="23"/>
        <v>9.692517680263979E-2</v>
      </c>
    </row>
    <row r="21" spans="2:17" s="64" customFormat="1" ht="13.5" thickBot="1" x14ac:dyDescent="0.3">
      <c r="B21" s="188" t="s">
        <v>61</v>
      </c>
      <c r="C21" s="189" t="s">
        <v>104</v>
      </c>
      <c r="D21" s="189" t="s">
        <v>140</v>
      </c>
      <c r="E21" s="192">
        <f t="shared" ref="E21:Q21" si="24">E16/D16-1</f>
        <v>0.10587388725757596</v>
      </c>
      <c r="F21" s="192">
        <f t="shared" si="24"/>
        <v>7.6512263791868262E-2</v>
      </c>
      <c r="G21" s="192">
        <f t="shared" si="24"/>
        <v>0.15661674908992129</v>
      </c>
      <c r="H21" s="193">
        <f t="shared" si="24"/>
        <v>9.2326925779647961E-2</v>
      </c>
      <c r="I21" s="193">
        <f t="shared" si="24"/>
        <v>9.5057743094096647E-2</v>
      </c>
      <c r="J21" s="193">
        <f t="shared" si="24"/>
        <v>9.5289137451832318E-2</v>
      </c>
      <c r="K21" s="193">
        <f t="shared" si="24"/>
        <v>9.552111029546162E-2</v>
      </c>
      <c r="L21" s="193">
        <f t="shared" si="24"/>
        <v>9.5753663071200368E-2</v>
      </c>
      <c r="M21" s="193">
        <f t="shared" si="24"/>
        <v>9.5986797228878373E-2</v>
      </c>
      <c r="N21" s="193">
        <f t="shared" si="24"/>
        <v>9.6220514221950548E-2</v>
      </c>
      <c r="O21" s="193">
        <f t="shared" si="24"/>
        <v>9.6454815507505565E-2</v>
      </c>
      <c r="P21" s="193">
        <f t="shared" si="24"/>
        <v>9.668970254627407E-2</v>
      </c>
      <c r="Q21" s="193">
        <f t="shared" si="24"/>
        <v>9.692517680263979E-2</v>
      </c>
    </row>
    <row r="22" spans="2:17" s="64" customFormat="1" x14ac:dyDescent="0.25">
      <c r="B22" s="78"/>
      <c r="C22" s="67"/>
      <c r="D22" s="67"/>
      <c r="E22" s="67"/>
      <c r="F22" s="67"/>
      <c r="G22" s="67"/>
      <c r="H22" s="173"/>
      <c r="I22" s="173"/>
      <c r="J22" s="173"/>
      <c r="K22" s="173"/>
      <c r="L22" s="173"/>
      <c r="M22" s="173"/>
      <c r="N22" s="173"/>
      <c r="O22" s="173"/>
      <c r="P22" s="173"/>
      <c r="Q22" s="173"/>
    </row>
    <row r="23" spans="2:17" s="64" customFormat="1" x14ac:dyDescent="0.25">
      <c r="B23" s="74" t="s">
        <v>62</v>
      </c>
      <c r="C23" s="99"/>
      <c r="D23" s="156"/>
      <c r="E23" s="67"/>
      <c r="F23" s="67"/>
      <c r="G23" s="67"/>
      <c r="H23" s="173"/>
      <c r="I23" s="173"/>
      <c r="J23" s="173"/>
      <c r="K23" s="173"/>
      <c r="L23" s="173"/>
      <c r="M23" s="173"/>
      <c r="N23" s="173"/>
      <c r="O23" s="173"/>
      <c r="P23" s="173"/>
      <c r="Q23" s="173"/>
    </row>
    <row r="24" spans="2:17" s="64" customFormat="1" x14ac:dyDescent="0.25">
      <c r="B24" s="78" t="s">
        <v>63</v>
      </c>
      <c r="C24" s="67" t="s">
        <v>102</v>
      </c>
      <c r="D24" s="198">
        <v>2601236</v>
      </c>
      <c r="E24" s="198">
        <v>2789208</v>
      </c>
      <c r="F24" s="198">
        <v>3046727</v>
      </c>
      <c r="G24" s="198">
        <v>3288000</v>
      </c>
      <c r="H24" s="178">
        <f>G24/G$26*H$26</f>
        <v>3591570.9319634819</v>
      </c>
      <c r="I24" s="178">
        <f t="shared" ref="I24:K24" si="25">H24/H$26*I$26</f>
        <v>3923169.6348312143</v>
      </c>
      <c r="J24" s="178">
        <f t="shared" si="25"/>
        <v>4286289.3620064845</v>
      </c>
      <c r="K24" s="178">
        <f t="shared" si="25"/>
        <v>4684010.454776031</v>
      </c>
      <c r="L24" s="178">
        <f t="shared" ref="L24:L25" si="26">K24/K$26*L$26</f>
        <v>5119722.3079148484</v>
      </c>
      <c r="M24" s="178">
        <f t="shared" ref="M24:M25" si="27">L24/L$26*M$26</f>
        <v>5597155.1670352481</v>
      </c>
      <c r="N24" s="178">
        <f t="shared" ref="N24:N25" si="28">M24/M$26*N$26</f>
        <v>6120415.2771944413</v>
      </c>
      <c r="O24" s="178">
        <f t="shared" ref="O24:O25" si="29">N24/N$26*O$26</f>
        <v>6694023.7442249879</v>
      </c>
      <c r="P24" s="178">
        <f t="shared" ref="P24:P25" si="30">O24/O$26*P$26</f>
        <v>7322959.5101165073</v>
      </c>
      <c r="Q24" s="178">
        <f t="shared" ref="Q24:Q25" si="31">P24/P$26*Q$26</f>
        <v>8012706.8881327901</v>
      </c>
    </row>
    <row r="25" spans="2:17" s="64" customFormat="1" x14ac:dyDescent="0.25">
      <c r="B25" s="78" t="s">
        <v>58</v>
      </c>
      <c r="C25" s="67" t="s">
        <v>102</v>
      </c>
      <c r="D25" s="198">
        <v>621341</v>
      </c>
      <c r="E25" s="198">
        <v>653053</v>
      </c>
      <c r="F25" s="198">
        <v>758830</v>
      </c>
      <c r="G25" s="198">
        <v>747000</v>
      </c>
      <c r="H25" s="178">
        <f>G25/G$26*H$26</f>
        <v>815968.2135573969</v>
      </c>
      <c r="I25" s="178">
        <f>H25/H$26*I$26</f>
        <v>891304.05024906236</v>
      </c>
      <c r="J25" s="178">
        <f t="shared" ref="J25:K25" si="32">I25/I$26*J$26</f>
        <v>973801.14155074314</v>
      </c>
      <c r="K25" s="178">
        <f t="shared" si="32"/>
        <v>1064159.3095248463</v>
      </c>
      <c r="L25" s="178">
        <f t="shared" si="26"/>
        <v>1163148.5900280993</v>
      </c>
      <c r="M25" s="178">
        <f t="shared" si="27"/>
        <v>1271616.4567443214</v>
      </c>
      <c r="N25" s="178">
        <f t="shared" si="28"/>
        <v>1390495.8065888826</v>
      </c>
      <c r="O25" s="178">
        <f t="shared" si="29"/>
        <v>1520813.7886058588</v>
      </c>
      <c r="P25" s="178">
        <f t="shared" si="30"/>
        <v>1663701.5675355925</v>
      </c>
      <c r="Q25" s="178">
        <f t="shared" si="31"/>
        <v>1820405.1233075401</v>
      </c>
    </row>
    <row r="26" spans="2:17" s="64" customFormat="1" ht="13.5" thickBot="1" x14ac:dyDescent="0.3">
      <c r="B26" s="188" t="s">
        <v>12</v>
      </c>
      <c r="C26" s="189" t="s">
        <v>102</v>
      </c>
      <c r="D26" s="190">
        <f>D24+D25</f>
        <v>3222577</v>
      </c>
      <c r="E26" s="190">
        <f t="shared" ref="E26:G26" si="33">E24+E25</f>
        <v>3442261</v>
      </c>
      <c r="F26" s="190">
        <f t="shared" si="33"/>
        <v>3805557</v>
      </c>
      <c r="G26" s="190">
        <f t="shared" si="33"/>
        <v>4035000</v>
      </c>
      <c r="H26" s="191">
        <f>G26*(1+H27)</f>
        <v>4407539.145520879</v>
      </c>
      <c r="I26" s="191">
        <f t="shared" ref="I26:K26" si="34">H26*(1+I27)</f>
        <v>4814473.6850802768</v>
      </c>
      <c r="J26" s="191">
        <f t="shared" si="34"/>
        <v>5260090.5035572276</v>
      </c>
      <c r="K26" s="191">
        <f t="shared" si="34"/>
        <v>5748169.7643008763</v>
      </c>
      <c r="L26" s="191">
        <f t="shared" ref="L26" si="35">K26*(1+L27)</f>
        <v>6282870.8979429463</v>
      </c>
      <c r="M26" s="191">
        <f t="shared" ref="M26" si="36">L26*(1+M27)</f>
        <v>6868771.6237795679</v>
      </c>
      <c r="N26" s="191">
        <f t="shared" ref="N26" si="37">M26*(1+N27)</f>
        <v>7510911.083783322</v>
      </c>
      <c r="O26" s="191">
        <f t="shared" ref="O26" si="38">N26*(1+O27)</f>
        <v>8214837.5328308437</v>
      </c>
      <c r="P26" s="191">
        <f t="shared" ref="P26" si="39">O26*(1+P27)</f>
        <v>8986661.0776520967</v>
      </c>
      <c r="Q26" s="191">
        <f t="shared" ref="Q26" si="40">P26*(1+Q27)</f>
        <v>9833112.0114403274</v>
      </c>
    </row>
    <row r="27" spans="2:17" s="102" customFormat="1" x14ac:dyDescent="0.25">
      <c r="B27" s="158" t="s">
        <v>146</v>
      </c>
      <c r="C27" s="159" t="s">
        <v>104</v>
      </c>
      <c r="D27" s="67" t="s">
        <v>140</v>
      </c>
      <c r="E27" s="160">
        <f>E24/D24-1</f>
        <v>7.2262570562609429E-2</v>
      </c>
      <c r="F27" s="160">
        <f>F24/E24-1</f>
        <v>9.2326925779647739E-2</v>
      </c>
      <c r="G27" s="160">
        <f>G24/F24-1</f>
        <v>7.919088254379214E-2</v>
      </c>
      <c r="H27" s="180">
        <f t="array" ref="H27:Q27">CHOOSE(Scenario,H30:Q30,H31:Q31,H32:Q32)</f>
        <v>9.2326925779647739E-2</v>
      </c>
      <c r="I27" s="180">
        <v>9.2326925779647739E-2</v>
      </c>
      <c r="J27" s="180">
        <v>9.2557743094096853E-2</v>
      </c>
      <c r="K27" s="180">
        <v>9.2789137451832093E-2</v>
      </c>
      <c r="L27" s="180">
        <v>9.3021110295461673E-2</v>
      </c>
      <c r="M27" s="180">
        <v>9.3253663071200324E-2</v>
      </c>
      <c r="N27" s="180">
        <v>9.3486797228878316E-2</v>
      </c>
      <c r="O27" s="180">
        <v>9.3720514221950504E-2</v>
      </c>
      <c r="P27" s="180">
        <v>9.3954815507505382E-2</v>
      </c>
      <c r="Q27" s="180">
        <v>9.4189702546274137E-2</v>
      </c>
    </row>
    <row r="28" spans="2:17" s="102" customFormat="1" x14ac:dyDescent="0.25">
      <c r="B28" s="158"/>
      <c r="C28" s="159"/>
      <c r="D28" s="67"/>
      <c r="E28" s="160"/>
      <c r="F28" s="160"/>
      <c r="G28" s="160"/>
      <c r="H28" s="180"/>
      <c r="I28" s="180"/>
      <c r="J28" s="180"/>
      <c r="K28" s="180"/>
      <c r="L28" s="180"/>
      <c r="M28" s="180"/>
      <c r="N28" s="180"/>
      <c r="O28" s="180"/>
      <c r="P28" s="180"/>
      <c r="Q28" s="180"/>
    </row>
    <row r="29" spans="2:17" s="102" customFormat="1" x14ac:dyDescent="0.25">
      <c r="B29" s="158" t="s">
        <v>190</v>
      </c>
      <c r="C29" s="159"/>
      <c r="D29" s="67"/>
      <c r="E29" s="160"/>
      <c r="F29" s="160"/>
      <c r="G29" s="160"/>
      <c r="H29" s="180"/>
      <c r="I29" s="180"/>
      <c r="J29" s="180"/>
      <c r="K29" s="180"/>
      <c r="L29" s="180"/>
      <c r="M29" s="180"/>
      <c r="N29" s="180"/>
      <c r="O29" s="180"/>
      <c r="P29" s="180"/>
      <c r="Q29" s="180"/>
    </row>
    <row r="30" spans="2:17" s="102" customFormat="1" x14ac:dyDescent="0.25">
      <c r="B30" s="158" t="s">
        <v>193</v>
      </c>
      <c r="C30" s="159"/>
      <c r="D30" s="186"/>
      <c r="E30" s="187"/>
      <c r="F30" s="187"/>
      <c r="G30" s="187"/>
      <c r="H30" s="197">
        <f>MAX(D27:G27)</f>
        <v>9.2326925779647739E-2</v>
      </c>
      <c r="I30" s="197">
        <f>MAX(E27:H27)</f>
        <v>9.2326925779647739E-2</v>
      </c>
      <c r="J30" s="197">
        <f>I30*(1+Assumptions!$D$12)</f>
        <v>9.2557743094096853E-2</v>
      </c>
      <c r="K30" s="197">
        <f>J30*(1+Assumptions!$D$12)</f>
        <v>9.2789137451832093E-2</v>
      </c>
      <c r="L30" s="197">
        <f>K30*(1+Assumptions!$D$12)</f>
        <v>9.3021110295461673E-2</v>
      </c>
      <c r="M30" s="197">
        <f>L30*(1+Assumptions!$D$12)</f>
        <v>9.3253663071200324E-2</v>
      </c>
      <c r="N30" s="197">
        <f>M30*(1+Assumptions!$D$12)</f>
        <v>9.3486797228878316E-2</v>
      </c>
      <c r="O30" s="197">
        <f>N30*(1+Assumptions!$D$12)</f>
        <v>9.3720514221950504E-2</v>
      </c>
      <c r="P30" s="197">
        <f>O30*(1+Assumptions!$D$12)</f>
        <v>9.3954815507505382E-2</v>
      </c>
      <c r="Q30" s="197">
        <f>P30*(1+Assumptions!$D$12)</f>
        <v>9.4189702546274137E-2</v>
      </c>
    </row>
    <row r="31" spans="2:17" s="102" customFormat="1" x14ac:dyDescent="0.25">
      <c r="B31" s="158" t="s">
        <v>191</v>
      </c>
      <c r="C31" s="159"/>
      <c r="D31" s="186"/>
      <c r="E31" s="187"/>
      <c r="F31" s="187"/>
      <c r="G31" s="187"/>
      <c r="H31" s="197">
        <v>-0.2</v>
      </c>
      <c r="I31" s="197">
        <f>AVERAGE($D27:G27)</f>
        <v>8.1260126295349774E-2</v>
      </c>
      <c r="J31" s="197">
        <f>I31*(1+Assumptions!$D$12)</f>
        <v>8.146327661108814E-2</v>
      </c>
      <c r="K31" s="197">
        <f>J31*(1+Assumptions!$D$12)</f>
        <v>8.1666934802615859E-2</v>
      </c>
      <c r="L31" s="197">
        <f>K31*(1+Assumptions!$D$12)</f>
        <v>8.1871102139622398E-2</v>
      </c>
      <c r="M31" s="197">
        <f>L31*(1+Assumptions!$D$12)</f>
        <v>8.2075779894971446E-2</v>
      </c>
      <c r="N31" s="197">
        <f>M31*(1+Assumptions!$D$12)</f>
        <v>8.2280969344708868E-2</v>
      </c>
      <c r="O31" s="197">
        <f>N31*(1+Assumptions!$D$12)</f>
        <v>8.2486671768070632E-2</v>
      </c>
      <c r="P31" s="197">
        <f>O31*(1+Assumptions!$D$12)</f>
        <v>8.26928884474908E-2</v>
      </c>
      <c r="Q31" s="197">
        <f>P31*(1+Assumptions!$D$12)</f>
        <v>8.2899620668609522E-2</v>
      </c>
    </row>
    <row r="32" spans="2:17" s="102" customFormat="1" x14ac:dyDescent="0.25">
      <c r="B32" s="158" t="s">
        <v>192</v>
      </c>
      <c r="C32" s="159"/>
      <c r="D32" s="186"/>
      <c r="E32" s="187"/>
      <c r="F32" s="187"/>
      <c r="G32" s="187"/>
      <c r="H32" s="197">
        <f>MIN(D27:G27)</f>
        <v>7.2262570562609429E-2</v>
      </c>
      <c r="I32" s="197">
        <f>MIN(E27:H27)</f>
        <v>7.2262570562609429E-2</v>
      </c>
      <c r="J32" s="197">
        <f>I32*(1+Assumptions!$D$12)</f>
        <v>7.2443226989015952E-2</v>
      </c>
      <c r="K32" s="197">
        <f>J32*(1+Assumptions!$D$12)</f>
        <v>7.2624335056488493E-2</v>
      </c>
      <c r="L32" s="197">
        <f>K32*(1+Assumptions!$D$12)</f>
        <v>7.280589589412971E-2</v>
      </c>
      <c r="M32" s="197">
        <f>L32*(1+Assumptions!$D$12)</f>
        <v>7.2987910633865033E-2</v>
      </c>
      <c r="N32" s="197">
        <f>M32*(1+Assumptions!$D$12)</f>
        <v>7.3170380410449695E-2</v>
      </c>
      <c r="O32" s="197">
        <f>N32*(1+Assumptions!$D$12)</f>
        <v>7.3353306361475815E-2</v>
      </c>
      <c r="P32" s="197">
        <f>O32*(1+Assumptions!$D$12)</f>
        <v>7.3536689627379498E-2</v>
      </c>
      <c r="Q32" s="197">
        <f>P32*(1+Assumptions!$D$12)</f>
        <v>7.3720531351447946E-2</v>
      </c>
    </row>
    <row r="33" spans="2:17" s="64" customFormat="1" x14ac:dyDescent="0.25">
      <c r="B33" s="74"/>
      <c r="C33" s="99"/>
      <c r="D33" s="154"/>
      <c r="E33" s="154"/>
      <c r="F33" s="154"/>
      <c r="G33" s="154"/>
      <c r="H33" s="173"/>
      <c r="I33" s="173"/>
      <c r="J33" s="173"/>
      <c r="K33" s="173"/>
      <c r="L33" s="173"/>
      <c r="M33" s="173"/>
      <c r="N33" s="173"/>
      <c r="O33" s="173"/>
      <c r="P33" s="173"/>
      <c r="Q33" s="173"/>
    </row>
    <row r="34" spans="2:17" s="64" customFormat="1" x14ac:dyDescent="0.25">
      <c r="B34" s="74" t="s">
        <v>64</v>
      </c>
      <c r="C34" s="67"/>
      <c r="D34" s="67"/>
      <c r="E34" s="67"/>
      <c r="F34" s="67"/>
      <c r="G34" s="67"/>
      <c r="H34" s="173"/>
      <c r="I34" s="173"/>
      <c r="J34" s="173"/>
      <c r="K34" s="173"/>
      <c r="L34" s="173"/>
      <c r="M34" s="173"/>
      <c r="N34" s="173"/>
      <c r="O34" s="173"/>
      <c r="P34" s="173"/>
      <c r="Q34" s="173"/>
    </row>
    <row r="35" spans="2:17" s="64" customFormat="1" x14ac:dyDescent="0.25">
      <c r="B35" s="78" t="s">
        <v>57</v>
      </c>
      <c r="C35" s="159" t="s">
        <v>104</v>
      </c>
      <c r="D35" s="155">
        <f t="shared" ref="D35:Q35" si="41">D14/D24</f>
        <v>0.45005605027763723</v>
      </c>
      <c r="E35" s="155">
        <f t="shared" si="41"/>
        <v>0.46800059371692609</v>
      </c>
      <c r="F35" s="155">
        <f t="shared" si="41"/>
        <v>0.46428216246483522</v>
      </c>
      <c r="G35" s="155">
        <f t="shared" si="41"/>
        <v>0.50288929440389296</v>
      </c>
      <c r="H35" s="175">
        <f>H14/H24</f>
        <v>0.50288929440389296</v>
      </c>
      <c r="I35" s="175">
        <f t="shared" si="41"/>
        <v>0.50414651763990259</v>
      </c>
      <c r="J35" s="175">
        <f t="shared" si="41"/>
        <v>0.50540688393400246</v>
      </c>
      <c r="K35" s="175">
        <f t="shared" si="41"/>
        <v>0.50667040114383721</v>
      </c>
      <c r="L35" s="175">
        <f t="shared" si="41"/>
        <v>0.50793707714669689</v>
      </c>
      <c r="M35" s="175">
        <f t="shared" si="41"/>
        <v>0.50920691983956357</v>
      </c>
      <c r="N35" s="175">
        <f t="shared" si="41"/>
        <v>0.51047993713916251</v>
      </c>
      <c r="O35" s="175">
        <f t="shared" si="41"/>
        <v>0.51175613698201028</v>
      </c>
      <c r="P35" s="175">
        <f t="shared" si="41"/>
        <v>0.51303552732446522</v>
      </c>
      <c r="Q35" s="175">
        <f t="shared" si="41"/>
        <v>0.51431811614277645</v>
      </c>
    </row>
    <row r="36" spans="2:17" s="64" customFormat="1" ht="12.75" customHeight="1" x14ac:dyDescent="0.25">
      <c r="B36" s="78" t="s">
        <v>58</v>
      </c>
      <c r="C36" s="159" t="s">
        <v>104</v>
      </c>
      <c r="D36" s="155">
        <f t="shared" ref="D36:Q36" si="42">D15/D25</f>
        <v>0.19588760439114752</v>
      </c>
      <c r="E36" s="155">
        <f t="shared" si="42"/>
        <v>0.18971967053210076</v>
      </c>
      <c r="F36" s="155">
        <f t="shared" si="42"/>
        <v>0.16349116402883387</v>
      </c>
      <c r="G36" s="155">
        <f t="shared" si="42"/>
        <v>0.16877376171352074</v>
      </c>
      <c r="H36" s="175">
        <f t="shared" si="42"/>
        <v>0.16877376171352079</v>
      </c>
      <c r="I36" s="175">
        <f t="shared" si="42"/>
        <v>0.16919569611780455</v>
      </c>
      <c r="J36" s="175">
        <f t="shared" si="42"/>
        <v>0.16961868535809907</v>
      </c>
      <c r="K36" s="175">
        <f t="shared" si="42"/>
        <v>0.17004273207149428</v>
      </c>
      <c r="L36" s="175">
        <f t="shared" si="42"/>
        <v>0.17046783890167305</v>
      </c>
      <c r="M36" s="175">
        <f t="shared" si="42"/>
        <v>0.17089400849892722</v>
      </c>
      <c r="N36" s="175">
        <f t="shared" si="42"/>
        <v>0.17132124352017453</v>
      </c>
      <c r="O36" s="175">
        <f t="shared" si="42"/>
        <v>0.17174954662897493</v>
      </c>
      <c r="P36" s="175">
        <f t="shared" si="42"/>
        <v>0.17217892049554737</v>
      </c>
      <c r="Q36" s="175">
        <f t="shared" si="42"/>
        <v>0.17260936779678623</v>
      </c>
    </row>
    <row r="37" spans="2:17" s="64" customFormat="1" ht="13.5" customHeight="1" thickBot="1" x14ac:dyDescent="0.3">
      <c r="B37" s="188" t="s">
        <v>65</v>
      </c>
      <c r="C37" s="194" t="s">
        <v>104</v>
      </c>
      <c r="D37" s="192">
        <f>D16/D26</f>
        <v>0.40105015334001326</v>
      </c>
      <c r="E37" s="192">
        <f>E16/E26</f>
        <v>0.41520616827137746</v>
      </c>
      <c r="F37" s="192">
        <f>F16/F26</f>
        <v>0.40430428449764383</v>
      </c>
      <c r="G37" s="192">
        <f>G16/G26</f>
        <v>0.44103444857496904</v>
      </c>
      <c r="H37" s="193">
        <f t="array" ref="H37:Q37">CHOOSE(Scenario,H40:Q40,H41:Q41,H42:Q42)</f>
        <v>0.44103444857496904</v>
      </c>
      <c r="I37" s="193">
        <v>0.44213703469640642</v>
      </c>
      <c r="J37" s="193">
        <v>0.44324237728314742</v>
      </c>
      <c r="K37" s="193">
        <v>0.44435048322635529</v>
      </c>
      <c r="L37" s="193">
        <v>0.44546135943442117</v>
      </c>
      <c r="M37" s="193">
        <v>0.44657501283300721</v>
      </c>
      <c r="N37" s="193">
        <v>0.44769145036508973</v>
      </c>
      <c r="O37" s="193">
        <v>0.44881067899100241</v>
      </c>
      <c r="P37" s="193">
        <v>0.44993270568847987</v>
      </c>
      <c r="Q37" s="193">
        <v>0.45105753745270105</v>
      </c>
    </row>
    <row r="38" spans="2:17" s="64" customFormat="1" ht="13.5" customHeight="1" x14ac:dyDescent="0.25">
      <c r="B38" s="78"/>
      <c r="C38" s="159"/>
      <c r="D38" s="155"/>
      <c r="E38" s="155"/>
      <c r="F38" s="155"/>
      <c r="G38" s="155"/>
      <c r="H38" s="175"/>
      <c r="I38" s="175"/>
      <c r="J38" s="175"/>
      <c r="K38" s="175"/>
      <c r="L38" s="175"/>
      <c r="M38" s="175"/>
      <c r="N38" s="175"/>
      <c r="O38" s="175"/>
      <c r="P38" s="175"/>
      <c r="Q38" s="175"/>
    </row>
    <row r="39" spans="2:17" s="64" customFormat="1" ht="13.5" customHeight="1" x14ac:dyDescent="0.25">
      <c r="B39" s="158" t="s">
        <v>190</v>
      </c>
      <c r="C39" s="159"/>
      <c r="D39" s="67"/>
      <c r="E39" s="160"/>
      <c r="F39" s="160"/>
      <c r="G39" s="160"/>
      <c r="H39" s="180"/>
      <c r="I39" s="180"/>
      <c r="J39" s="180"/>
      <c r="K39" s="180"/>
      <c r="L39" s="180"/>
      <c r="M39" s="180"/>
      <c r="N39" s="180"/>
      <c r="O39" s="180"/>
      <c r="P39" s="180"/>
      <c r="Q39" s="180"/>
    </row>
    <row r="40" spans="2:17" x14ac:dyDescent="0.25">
      <c r="B40" s="158" t="s">
        <v>193</v>
      </c>
      <c r="C40" s="159"/>
      <c r="D40" s="186"/>
      <c r="E40" s="187"/>
      <c r="F40" s="187"/>
      <c r="G40" s="187"/>
      <c r="H40" s="197">
        <f>MAX(D37:G37)</f>
        <v>0.44103444857496904</v>
      </c>
      <c r="I40" s="197">
        <f>H40*(1+Assumptions!$D$14)</f>
        <v>0.44213703469640642</v>
      </c>
      <c r="J40" s="197">
        <f>I40*(1+Assumptions!$D$14)</f>
        <v>0.44324237728314742</v>
      </c>
      <c r="K40" s="197">
        <f>J40*(1+Assumptions!$D$14)</f>
        <v>0.44435048322635529</v>
      </c>
      <c r="L40" s="197">
        <f>K40*(1+Assumptions!$D$14)</f>
        <v>0.44546135943442117</v>
      </c>
      <c r="M40" s="197">
        <f>L40*(1+Assumptions!$D$14)</f>
        <v>0.44657501283300721</v>
      </c>
      <c r="N40" s="197">
        <f>M40*(1+Assumptions!$D$14)</f>
        <v>0.44769145036508973</v>
      </c>
      <c r="O40" s="197">
        <f>N40*(1+Assumptions!$D$14)</f>
        <v>0.44881067899100241</v>
      </c>
      <c r="P40" s="197">
        <f>O40*(1+Assumptions!$D$14)</f>
        <v>0.44993270568847987</v>
      </c>
      <c r="Q40" s="197">
        <f>P40*(1+Assumptions!$D$14)</f>
        <v>0.45105753745270105</v>
      </c>
    </row>
    <row r="41" spans="2:17" x14ac:dyDescent="0.25">
      <c r="B41" s="158" t="s">
        <v>191</v>
      </c>
      <c r="C41" s="159"/>
      <c r="D41" s="186"/>
      <c r="E41" s="187"/>
      <c r="F41" s="187"/>
      <c r="G41" s="187"/>
      <c r="H41" s="197">
        <f>AVERAGE($D37:G37)</f>
        <v>0.41539876367100093</v>
      </c>
      <c r="I41" s="197">
        <f>H41*(1+Assumptions!$D$14)</f>
        <v>0.41643726058017838</v>
      </c>
      <c r="J41" s="197">
        <f>I41*(1+Assumptions!$D$14)</f>
        <v>0.41747835373162878</v>
      </c>
      <c r="K41" s="197">
        <f>J41*(1+Assumptions!$D$14)</f>
        <v>0.41852204961595785</v>
      </c>
      <c r="L41" s="197">
        <f>K41*(1+Assumptions!$D$14)</f>
        <v>0.41956835473999771</v>
      </c>
      <c r="M41" s="197">
        <f>L41*(1+Assumptions!$D$14)</f>
        <v>0.4206172756268477</v>
      </c>
      <c r="N41" s="197">
        <f>M41*(1+Assumptions!$D$14)</f>
        <v>0.42166881881591478</v>
      </c>
      <c r="O41" s="197">
        <f>N41*(1+Assumptions!$D$14)</f>
        <v>0.42272299086295456</v>
      </c>
      <c r="P41" s="197">
        <f>O41*(1+Assumptions!$D$14)</f>
        <v>0.42377979834011192</v>
      </c>
      <c r="Q41" s="197">
        <f>P41*(1+Assumptions!$D$14)</f>
        <v>0.42483924783596216</v>
      </c>
    </row>
    <row r="42" spans="2:17" x14ac:dyDescent="0.25">
      <c r="B42" s="158" t="s">
        <v>192</v>
      </c>
      <c r="C42" s="159"/>
      <c r="D42" s="186"/>
      <c r="E42" s="187"/>
      <c r="F42" s="187"/>
      <c r="G42" s="187"/>
      <c r="H42" s="197">
        <f>MIN(D37:G37)</f>
        <v>0.40105015334001326</v>
      </c>
      <c r="I42" s="197">
        <f>H42*(1+Assumptions!$D$14)</f>
        <v>0.40205277872336326</v>
      </c>
      <c r="J42" s="197">
        <f>I42*(1+Assumptions!$D$14)</f>
        <v>0.40305791067017166</v>
      </c>
      <c r="K42" s="197">
        <f>J42*(1+Assumptions!$D$14)</f>
        <v>0.40406555544684708</v>
      </c>
      <c r="L42" s="197">
        <f>K42*(1+Assumptions!$D$14)</f>
        <v>0.40507571933546416</v>
      </c>
      <c r="M42" s="197">
        <f>L42*(1+Assumptions!$D$14)</f>
        <v>0.4060884086338028</v>
      </c>
      <c r="N42" s="197">
        <f>M42*(1+Assumptions!$D$14)</f>
        <v>0.40710362965538727</v>
      </c>
      <c r="O42" s="197">
        <f>N42*(1+Assumptions!$D$14)</f>
        <v>0.40812138872952569</v>
      </c>
      <c r="P42" s="197">
        <f>O42*(1+Assumptions!$D$14)</f>
        <v>0.40914169220134949</v>
      </c>
      <c r="Q42" s="197">
        <f>P42*(1+Assumptions!$D$14)</f>
        <v>0.41016454643185285</v>
      </c>
    </row>
    <row r="43" spans="2:17" x14ac:dyDescent="0.25">
      <c r="B43" s="74"/>
      <c r="C43" s="99"/>
      <c r="D43" s="154"/>
      <c r="E43" s="154"/>
      <c r="F43" s="154"/>
      <c r="G43" s="154"/>
      <c r="H43" s="173"/>
      <c r="I43" s="173"/>
      <c r="J43" s="173"/>
      <c r="K43" s="173"/>
      <c r="L43" s="173"/>
      <c r="M43" s="173"/>
      <c r="N43" s="173"/>
      <c r="O43" s="173"/>
      <c r="P43" s="173"/>
      <c r="Q43" s="173"/>
    </row>
    <row r="44" spans="2:17" x14ac:dyDescent="0.25">
      <c r="B44" s="78"/>
      <c r="C44" s="159"/>
      <c r="D44" s="155"/>
      <c r="E44" s="155"/>
      <c r="F44" s="155"/>
      <c r="G44" s="155"/>
      <c r="H44" s="175"/>
      <c r="I44" s="175"/>
      <c r="J44" s="175"/>
      <c r="K44" s="175"/>
      <c r="L44" s="175"/>
      <c r="M44" s="175"/>
      <c r="N44" s="175"/>
      <c r="O44" s="175"/>
      <c r="P44" s="175"/>
      <c r="Q44" s="175"/>
    </row>
    <row r="45" spans="2:17" ht="13.5" thickBot="1" x14ac:dyDescent="0.3">
      <c r="B45" s="188" t="s">
        <v>143</v>
      </c>
      <c r="C45" s="189" t="s">
        <v>144</v>
      </c>
      <c r="D45" s="195">
        <f>'P&amp;L Input'!C6</f>
        <v>575890</v>
      </c>
      <c r="E45" s="195">
        <f>'P&amp;L Input'!D6</f>
        <v>680850</v>
      </c>
      <c r="F45" s="195">
        <f>'P&amp;L Input'!E6</f>
        <v>798094</v>
      </c>
      <c r="G45" s="195">
        <f>'P&amp;L Input'!F6</f>
        <v>860685</v>
      </c>
      <c r="H45" s="196">
        <f t="shared" ref="H45:Q45" si="43">(H16*H47)/10^6</f>
        <v>977866.96690716466</v>
      </c>
      <c r="I45" s="196">
        <f t="shared" si="43"/>
        <v>1113888.1262070334</v>
      </c>
      <c r="J45" s="196">
        <f t="shared" si="43"/>
        <v>1269220.5945420125</v>
      </c>
      <c r="K45" s="196">
        <f t="shared" si="43"/>
        <v>1446660.7351810592</v>
      </c>
      <c r="L45" s="196">
        <f t="shared" si="43"/>
        <v>1649417.648623907</v>
      </c>
      <c r="M45" s="196">
        <f t="shared" si="43"/>
        <v>1881175.2300772297</v>
      </c>
      <c r="N45" s="196">
        <f t="shared" si="43"/>
        <v>2146163.726754196</v>
      </c>
      <c r="O45" s="196">
        <f t="shared" si="43"/>
        <v>2449242.2748375363</v>
      </c>
      <c r="P45" s="196">
        <f t="shared" si="43"/>
        <v>2795994.1304141795</v>
      </c>
      <c r="Q45" s="196">
        <f t="shared" si="43"/>
        <v>3192836.5809256211</v>
      </c>
    </row>
    <row r="46" spans="2:17" x14ac:dyDescent="0.25">
      <c r="B46" s="158" t="s">
        <v>72</v>
      </c>
      <c r="C46" s="67" t="s">
        <v>104</v>
      </c>
      <c r="D46" s="161" t="s">
        <v>140</v>
      </c>
      <c r="E46" s="162">
        <f t="shared" ref="E46:K46" si="44">E45/D45-1</f>
        <v>0.18225702825192314</v>
      </c>
      <c r="F46" s="162">
        <f t="shared" si="44"/>
        <v>0.17220239406624072</v>
      </c>
      <c r="G46" s="162">
        <f t="shared" si="44"/>
        <v>7.8425598989592782E-2</v>
      </c>
      <c r="H46" s="181">
        <f t="shared" si="44"/>
        <v>0.13614965627048758</v>
      </c>
      <c r="I46" s="181">
        <f t="shared" si="44"/>
        <v>0.13909986112945583</v>
      </c>
      <c r="J46" s="181">
        <f t="shared" si="44"/>
        <v>0.13945069049610126</v>
      </c>
      <c r="K46" s="181">
        <f t="shared" si="44"/>
        <v>0.13980244364304095</v>
      </c>
      <c r="L46" s="181">
        <f t="shared" ref="L46" si="45">L45/K45-1</f>
        <v>0.14015512311355538</v>
      </c>
      <c r="M46" s="181">
        <f t="shared" ref="M46" si="46">M45/L45-1</f>
        <v>0.14050873145844878</v>
      </c>
      <c r="N46" s="181">
        <f t="shared" ref="N46" si="47">N45/M45-1</f>
        <v>0.14086327123608133</v>
      </c>
      <c r="O46" s="181">
        <f t="shared" ref="O46" si="48">O45/N45-1</f>
        <v>0.1412187450123894</v>
      </c>
      <c r="P46" s="181">
        <f t="shared" ref="P46" si="49">P45/O45-1</f>
        <v>0.14157515536091436</v>
      </c>
      <c r="Q46" s="181">
        <f t="shared" ref="Q46" si="50">Q45/P45-1</f>
        <v>0.14193250486282527</v>
      </c>
    </row>
    <row r="47" spans="2:17" x14ac:dyDescent="0.25">
      <c r="B47" s="79" t="s">
        <v>66</v>
      </c>
      <c r="C47" s="66" t="s">
        <v>71</v>
      </c>
      <c r="D47" s="163">
        <f>D45/D16*10^6</f>
        <v>445592.16660283267</v>
      </c>
      <c r="E47" s="163">
        <f>E45/E16*10^6</f>
        <v>476369.39145620633</v>
      </c>
      <c r="F47" s="163">
        <f>F45/F16*10^6</f>
        <v>518713.40430247434</v>
      </c>
      <c r="G47" s="163">
        <f>G45/G16*10^6</f>
        <v>483646.64801800885</v>
      </c>
      <c r="H47" s="182">
        <f t="shared" ref="H47:K47" si="51">G47*(1+H48)</f>
        <v>503049.92025151482</v>
      </c>
      <c r="I47" s="182">
        <f t="shared" si="51"/>
        <v>523282.08070617274</v>
      </c>
      <c r="J47" s="182">
        <f t="shared" si="51"/>
        <v>544380.57294355892</v>
      </c>
      <c r="K47" s="182">
        <f t="shared" si="51"/>
        <v>566384.61959489062</v>
      </c>
      <c r="L47" s="182">
        <f t="shared" ref="L47" si="52">K47*(1+L48)</f>
        <v>589335.31088900939</v>
      </c>
      <c r="M47" s="182">
        <f t="shared" ref="M47" si="53">L47*(1+M48)</f>
        <v>613275.69777770701</v>
      </c>
      <c r="N47" s="182">
        <f t="shared" ref="N47" si="54">M47*(1+N48)</f>
        <v>638250.88990681386</v>
      </c>
      <c r="O47" s="182">
        <f t="shared" ref="O47" si="55">N47*(1+O48)</f>
        <v>664308.15869539941</v>
      </c>
      <c r="P47" s="182">
        <f t="shared" ref="P47" si="56">O47*(1+P48)</f>
        <v>691497.04580017726</v>
      </c>
      <c r="Q47" s="182">
        <f t="shared" ref="Q47" si="57">P47*(1+Q48)</f>
        <v>719869.47725780366</v>
      </c>
    </row>
    <row r="48" spans="2:17" x14ac:dyDescent="0.25">
      <c r="B48" s="158" t="s">
        <v>52</v>
      </c>
      <c r="C48" s="159" t="s">
        <v>104</v>
      </c>
      <c r="D48" s="164" t="s">
        <v>140</v>
      </c>
      <c r="E48" s="165">
        <f t="shared" ref="E48:G48" si="58">E47/D47-1</f>
        <v>6.9070390280909333E-2</v>
      </c>
      <c r="F48" s="165">
        <f t="shared" si="58"/>
        <v>8.8889029408097064E-2</v>
      </c>
      <c r="G48" s="165">
        <f t="shared" si="58"/>
        <v>-6.7603335471194459E-2</v>
      </c>
      <c r="H48" s="183">
        <f t="array" ref="H48:Q48">CHOOSE(Scenario,H51:Q51,H52:Q52,H53:Q53)</f>
        <v>4.0118694739270648E-2</v>
      </c>
      <c r="I48" s="183">
        <v>4.0218991476118821E-2</v>
      </c>
      <c r="J48" s="183">
        <v>4.0319538954809116E-2</v>
      </c>
      <c r="K48" s="183">
        <v>4.0420337802196137E-2</v>
      </c>
      <c r="L48" s="183">
        <v>4.0521388646701621E-2</v>
      </c>
      <c r="M48" s="183">
        <v>4.0622692118318371E-2</v>
      </c>
      <c r="N48" s="183">
        <v>4.0724248848614163E-2</v>
      </c>
      <c r="O48" s="183">
        <v>4.0826059470735698E-2</v>
      </c>
      <c r="P48" s="183">
        <v>4.0928124619412538E-2</v>
      </c>
      <c r="Q48" s="183">
        <v>4.1030444930961064E-2</v>
      </c>
    </row>
    <row r="49" spans="2:17" x14ac:dyDescent="0.25">
      <c r="B49" s="78"/>
      <c r="C49" s="159"/>
      <c r="D49" s="155"/>
      <c r="E49" s="155"/>
      <c r="F49" s="155"/>
      <c r="G49" s="155"/>
      <c r="H49" s="175"/>
      <c r="I49" s="175"/>
      <c r="J49" s="175"/>
      <c r="K49" s="175"/>
      <c r="L49" s="175"/>
      <c r="M49" s="175"/>
      <c r="N49" s="175"/>
      <c r="O49" s="175"/>
      <c r="P49" s="175"/>
      <c r="Q49" s="175"/>
    </row>
    <row r="50" spans="2:17" x14ac:dyDescent="0.25">
      <c r="B50" s="158" t="s">
        <v>190</v>
      </c>
      <c r="C50" s="159"/>
      <c r="D50" s="67"/>
      <c r="E50" s="160"/>
      <c r="F50" s="160"/>
      <c r="G50" s="160"/>
      <c r="H50" s="180"/>
      <c r="I50" s="180"/>
      <c r="J50" s="180"/>
      <c r="K50" s="180"/>
      <c r="L50" s="180"/>
      <c r="M50" s="180"/>
      <c r="N50" s="180"/>
      <c r="O50" s="180"/>
      <c r="P50" s="180"/>
      <c r="Q50" s="180"/>
    </row>
    <row r="51" spans="2:17" x14ac:dyDescent="0.25">
      <c r="B51" s="158" t="s">
        <v>193</v>
      </c>
      <c r="C51" s="159"/>
      <c r="D51" s="186"/>
      <c r="E51" s="187"/>
      <c r="F51" s="187"/>
      <c r="G51" s="187"/>
      <c r="H51" s="197">
        <f>H52+1%</f>
        <v>4.0118694739270648E-2</v>
      </c>
      <c r="I51" s="197">
        <f>H51*(1+Assumptions!$D$13)</f>
        <v>4.0218991476118821E-2</v>
      </c>
      <c r="J51" s="197">
        <f>I51*(1+Assumptions!$D$13)</f>
        <v>4.0319538954809116E-2</v>
      </c>
      <c r="K51" s="197">
        <f>J51*(1+Assumptions!$D$13)</f>
        <v>4.0420337802196137E-2</v>
      </c>
      <c r="L51" s="197">
        <f>K51*(1+Assumptions!$D$13)</f>
        <v>4.0521388646701621E-2</v>
      </c>
      <c r="M51" s="197">
        <f>L51*(1+Assumptions!$D$13)</f>
        <v>4.0622692118318371E-2</v>
      </c>
      <c r="N51" s="197">
        <f>M51*(1+Assumptions!$D$13)</f>
        <v>4.0724248848614163E-2</v>
      </c>
      <c r="O51" s="197">
        <f>N51*(1+Assumptions!$D$13)</f>
        <v>4.0826059470735698E-2</v>
      </c>
      <c r="P51" s="197">
        <f>O51*(1+Assumptions!$D$13)</f>
        <v>4.0928124619412538E-2</v>
      </c>
      <c r="Q51" s="197">
        <f>P51*(1+Assumptions!$D$13)</f>
        <v>4.1030444930961064E-2</v>
      </c>
    </row>
    <row r="52" spans="2:17" x14ac:dyDescent="0.25">
      <c r="B52" s="158" t="s">
        <v>191</v>
      </c>
      <c r="C52" s="159"/>
      <c r="D52" s="186"/>
      <c r="E52" s="187"/>
      <c r="F52" s="187"/>
      <c r="G52" s="187"/>
      <c r="H52" s="197">
        <f>AVERAGE($D48:G48)</f>
        <v>3.0118694739270646E-2</v>
      </c>
      <c r="I52" s="197">
        <f>H52*(1+Assumptions!$D$13)</f>
        <v>3.0193991476118821E-2</v>
      </c>
      <c r="J52" s="197">
        <f>I52*(1+Assumptions!$D$13)</f>
        <v>3.0269476454809117E-2</v>
      </c>
      <c r="K52" s="197">
        <f>J52*(1+Assumptions!$D$13)</f>
        <v>3.0345150145946138E-2</v>
      </c>
      <c r="L52" s="197">
        <f>K52*(1+Assumptions!$D$13)</f>
        <v>3.0421013021311002E-2</v>
      </c>
      <c r="M52" s="197">
        <f>L52*(1+Assumptions!$D$13)</f>
        <v>3.0497065553864278E-2</v>
      </c>
      <c r="N52" s="197">
        <f>M52*(1+Assumptions!$D$13)</f>
        <v>3.0573308217748937E-2</v>
      </c>
      <c r="O52" s="197">
        <f>N52*(1+Assumptions!$D$13)</f>
        <v>3.064974148829331E-2</v>
      </c>
      <c r="P52" s="197">
        <f>O52*(1+Assumptions!$D$13)</f>
        <v>3.072636584201404E-2</v>
      </c>
      <c r="Q52" s="197">
        <f>P52*(1+Assumptions!$D$13)</f>
        <v>3.0803181756619075E-2</v>
      </c>
    </row>
    <row r="53" spans="2:17" x14ac:dyDescent="0.25">
      <c r="B53" s="158" t="s">
        <v>192</v>
      </c>
      <c r="C53" s="159"/>
      <c r="D53" s="186"/>
      <c r="E53" s="187"/>
      <c r="F53" s="187"/>
      <c r="G53" s="187"/>
      <c r="H53" s="197">
        <f>H52-1%</f>
        <v>2.0118694739270644E-2</v>
      </c>
      <c r="I53" s="197">
        <f>H53*(1+Assumptions!$D$13)</f>
        <v>2.0168991476118819E-2</v>
      </c>
      <c r="J53" s="197">
        <f>I53*(1+Assumptions!$D$13)</f>
        <v>2.0219413954809116E-2</v>
      </c>
      <c r="K53" s="197">
        <f>J53*(1+Assumptions!$D$13)</f>
        <v>2.0269962489696137E-2</v>
      </c>
      <c r="L53" s="197">
        <f>K53*(1+Assumptions!$D$13)</f>
        <v>2.0320637395920375E-2</v>
      </c>
      <c r="M53" s="197">
        <f>L53*(1+Assumptions!$D$13)</f>
        <v>2.0371438989410174E-2</v>
      </c>
      <c r="N53" s="197">
        <f>M53*(1+Assumptions!$D$13)</f>
        <v>2.0422367586883698E-2</v>
      </c>
      <c r="O53" s="197">
        <f>N53*(1+Assumptions!$D$13)</f>
        <v>2.0473423505850907E-2</v>
      </c>
      <c r="P53" s="197">
        <f>O53*(1+Assumptions!$D$13)</f>
        <v>2.0524607064615532E-2</v>
      </c>
      <c r="Q53" s="197">
        <f>P53*(1+Assumptions!$D$13)</f>
        <v>2.0575918582277069E-2</v>
      </c>
    </row>
    <row r="54" spans="2:17" x14ac:dyDescent="0.25">
      <c r="B54" s="74"/>
      <c r="C54" s="99"/>
      <c r="D54" s="154"/>
      <c r="E54" s="154"/>
      <c r="F54" s="154"/>
      <c r="G54" s="154"/>
      <c r="H54" s="173"/>
      <c r="I54" s="173"/>
      <c r="J54" s="173"/>
      <c r="K54" s="173"/>
      <c r="L54" s="173"/>
      <c r="M54" s="173"/>
      <c r="N54" s="173"/>
      <c r="O54" s="173"/>
      <c r="P54" s="173"/>
      <c r="Q54" s="173"/>
    </row>
    <row r="55" spans="2:17" ht="25.5" x14ac:dyDescent="0.25">
      <c r="B55" s="79" t="s">
        <v>233</v>
      </c>
      <c r="C55" s="66" t="s">
        <v>104</v>
      </c>
      <c r="D55" s="160">
        <f>'Common sizing'!D7</f>
        <v>2.570977096320478E-2</v>
      </c>
      <c r="E55" s="160">
        <f>'Common sizing'!E7</f>
        <v>3.3628552544613353E-2</v>
      </c>
      <c r="F55" s="160">
        <f>'Common sizing'!F7</f>
        <v>2.5633571985254868E-2</v>
      </c>
      <c r="G55" s="160">
        <f>'Common sizing'!G7</f>
        <v>2.9762340461376696E-2</v>
      </c>
      <c r="H55" s="197">
        <f>AVERAGE($D55:G55)</f>
        <v>2.8683558988612426E-2</v>
      </c>
      <c r="I55" s="197">
        <f>H55</f>
        <v>2.8683558988612426E-2</v>
      </c>
      <c r="J55" s="197">
        <f t="shared" ref="J55:Q55" si="59">I55</f>
        <v>2.8683558988612426E-2</v>
      </c>
      <c r="K55" s="197">
        <f t="shared" si="59"/>
        <v>2.8683558988612426E-2</v>
      </c>
      <c r="L55" s="197">
        <f t="shared" si="59"/>
        <v>2.8683558988612426E-2</v>
      </c>
      <c r="M55" s="197">
        <f t="shared" si="59"/>
        <v>2.8683558988612426E-2</v>
      </c>
      <c r="N55" s="197">
        <f t="shared" si="59"/>
        <v>2.8683558988612426E-2</v>
      </c>
      <c r="O55" s="197">
        <f t="shared" si="59"/>
        <v>2.8683558988612426E-2</v>
      </c>
      <c r="P55" s="197">
        <f t="shared" si="59"/>
        <v>2.8683558988612426E-2</v>
      </c>
      <c r="Q55" s="197">
        <f t="shared" si="59"/>
        <v>2.8683558988612426E-2</v>
      </c>
    </row>
    <row r="56" spans="2:17" x14ac:dyDescent="0.25">
      <c r="B56" s="78"/>
      <c r="C56" s="67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</row>
    <row r="67" spans="2:11" ht="14.25" x14ac:dyDescent="0.2">
      <c r="B67" s="104"/>
      <c r="C67" s="104"/>
      <c r="D67" s="104"/>
      <c r="E67" s="104"/>
      <c r="F67" s="104"/>
      <c r="G67" s="104"/>
      <c r="H67" s="104"/>
      <c r="I67" s="104"/>
      <c r="J67" s="104"/>
      <c r="K67" s="104"/>
    </row>
    <row r="68" spans="2:11" x14ac:dyDescent="0.25">
      <c r="B68" s="79"/>
      <c r="C68" s="66"/>
      <c r="D68" s="73"/>
      <c r="E68" s="73"/>
    </row>
    <row r="70" spans="2:11" x14ac:dyDescent="0.25">
      <c r="B70" s="80"/>
      <c r="C70" s="100"/>
    </row>
    <row r="73" spans="2:11" x14ac:dyDescent="0.25">
      <c r="F73" s="75"/>
      <c r="G73" s="75"/>
      <c r="H73" s="75"/>
      <c r="I73" s="75"/>
      <c r="J73" s="75"/>
      <c r="K73" s="75"/>
    </row>
    <row r="74" spans="2:11" x14ac:dyDescent="0.25">
      <c r="F74" s="75"/>
      <c r="G74" s="75"/>
      <c r="H74" s="75"/>
      <c r="I74" s="75"/>
      <c r="J74" s="75"/>
      <c r="K74" s="75"/>
    </row>
    <row r="75" spans="2:11" x14ac:dyDescent="0.25">
      <c r="B75" s="80"/>
      <c r="C75" s="100"/>
      <c r="F75" s="75"/>
      <c r="G75" s="75"/>
      <c r="H75" s="75"/>
      <c r="I75" s="75"/>
      <c r="J75" s="75"/>
      <c r="K75" s="75"/>
    </row>
    <row r="76" spans="2:11" x14ac:dyDescent="0.25">
      <c r="D76" s="75"/>
      <c r="E76" s="75"/>
    </row>
    <row r="77" spans="2:11" x14ac:dyDescent="0.25">
      <c r="D77" s="75"/>
      <c r="E77" s="75"/>
    </row>
    <row r="78" spans="2:11" x14ac:dyDescent="0.25">
      <c r="D78" s="75"/>
      <c r="E78" s="75"/>
    </row>
    <row r="80" spans="2:11" x14ac:dyDescent="0.25">
      <c r="B80" s="80"/>
      <c r="C80" s="100"/>
    </row>
    <row r="83" spans="2:11" x14ac:dyDescent="0.25">
      <c r="F83" s="76"/>
      <c r="G83" s="76"/>
      <c r="H83" s="76"/>
      <c r="I83" s="76"/>
      <c r="J83" s="76"/>
      <c r="K83" s="76"/>
    </row>
    <row r="84" spans="2:11" x14ac:dyDescent="0.25">
      <c r="F84" s="76"/>
      <c r="G84" s="76"/>
      <c r="H84" s="76"/>
      <c r="I84" s="76"/>
      <c r="J84" s="76"/>
      <c r="K84" s="76"/>
    </row>
    <row r="85" spans="2:11" x14ac:dyDescent="0.25">
      <c r="B85" s="81"/>
      <c r="C85" s="101"/>
      <c r="D85" s="82"/>
      <c r="F85" s="76"/>
      <c r="G85" s="76"/>
      <c r="H85" s="76"/>
      <c r="I85" s="76"/>
      <c r="J85" s="76"/>
      <c r="K85" s="76"/>
    </row>
    <row r="86" spans="2:11" x14ac:dyDescent="0.25">
      <c r="D86" s="76"/>
      <c r="E86" s="76"/>
      <c r="F86" s="83"/>
      <c r="G86" s="83"/>
      <c r="H86" s="83"/>
      <c r="I86" s="83"/>
      <c r="J86" s="83"/>
      <c r="K86" s="83"/>
    </row>
    <row r="87" spans="2:11" x14ac:dyDescent="0.25">
      <c r="D87" s="76"/>
      <c r="E87" s="76"/>
    </row>
    <row r="88" spans="2:11" x14ac:dyDescent="0.25">
      <c r="D88" s="76"/>
      <c r="E88" s="76"/>
    </row>
    <row r="89" spans="2:11" x14ac:dyDescent="0.25">
      <c r="B89" s="81"/>
      <c r="C89" s="101"/>
      <c r="D89" s="83"/>
      <c r="E89" s="83"/>
    </row>
    <row r="91" spans="2:11" x14ac:dyDescent="0.25">
      <c r="B91" s="80"/>
      <c r="C91" s="100"/>
    </row>
    <row r="92" spans="2:11" x14ac:dyDescent="0.25">
      <c r="F92" s="71"/>
      <c r="G92" s="71"/>
      <c r="H92" s="71"/>
      <c r="I92" s="71"/>
      <c r="J92" s="71"/>
      <c r="K92" s="71"/>
    </row>
    <row r="95" spans="2:11" x14ac:dyDescent="0.25">
      <c r="D95" s="71"/>
      <c r="E95" s="71"/>
    </row>
    <row r="96" spans="2:11" x14ac:dyDescent="0.25">
      <c r="F96" s="95"/>
      <c r="G96" s="95"/>
      <c r="H96" s="95"/>
      <c r="I96" s="95"/>
      <c r="J96" s="95"/>
      <c r="K96" s="95"/>
    </row>
    <row r="99" spans="2:11" x14ac:dyDescent="0.25">
      <c r="B99" s="81"/>
      <c r="C99" s="101"/>
      <c r="D99" s="95"/>
      <c r="E99" s="95"/>
      <c r="F99" s="76"/>
      <c r="G99" s="76"/>
      <c r="H99" s="76"/>
      <c r="I99" s="76"/>
      <c r="J99" s="76"/>
      <c r="K99" s="76"/>
    </row>
    <row r="100" spans="2:11" x14ac:dyDescent="0.25">
      <c r="F100" s="76"/>
      <c r="G100" s="76"/>
      <c r="H100" s="76"/>
      <c r="I100" s="76"/>
      <c r="J100" s="76"/>
      <c r="K100" s="76"/>
    </row>
    <row r="101" spans="2:11" x14ac:dyDescent="0.25">
      <c r="F101" s="76"/>
      <c r="G101" s="76"/>
      <c r="H101" s="76"/>
      <c r="I101" s="76"/>
      <c r="J101" s="76"/>
      <c r="K101" s="76"/>
    </row>
    <row r="102" spans="2:11" x14ac:dyDescent="0.25">
      <c r="B102" s="81"/>
      <c r="C102" s="101"/>
      <c r="D102" s="76"/>
      <c r="E102" s="76"/>
      <c r="F102" s="76"/>
      <c r="G102" s="76"/>
      <c r="H102" s="76"/>
      <c r="I102" s="76"/>
      <c r="J102" s="76"/>
      <c r="K102" s="76"/>
    </row>
    <row r="103" spans="2:11" x14ac:dyDescent="0.25">
      <c r="D103" s="76"/>
      <c r="E103" s="76"/>
      <c r="F103" s="76"/>
      <c r="G103" s="76"/>
      <c r="H103" s="76"/>
      <c r="I103" s="76"/>
      <c r="J103" s="76"/>
      <c r="K103" s="76"/>
    </row>
    <row r="104" spans="2:11" x14ac:dyDescent="0.25">
      <c r="D104" s="76"/>
      <c r="E104" s="76"/>
      <c r="F104" s="76"/>
      <c r="G104" s="76"/>
      <c r="H104" s="76"/>
      <c r="I104" s="76"/>
      <c r="J104" s="76"/>
      <c r="K104" s="76"/>
    </row>
    <row r="105" spans="2:11" x14ac:dyDescent="0.25">
      <c r="D105" s="76"/>
      <c r="E105" s="76"/>
      <c r="F105" s="84"/>
      <c r="G105" s="84"/>
      <c r="H105" s="84"/>
      <c r="I105" s="84"/>
      <c r="J105" s="84"/>
      <c r="K105" s="84"/>
    </row>
    <row r="106" spans="2:11" x14ac:dyDescent="0.25">
      <c r="B106" s="85"/>
      <c r="C106" s="76"/>
      <c r="D106" s="76"/>
      <c r="E106" s="76"/>
      <c r="F106" s="76"/>
      <c r="G106" s="76"/>
      <c r="H106" s="76"/>
      <c r="I106" s="76"/>
      <c r="J106" s="76"/>
      <c r="K106" s="76"/>
    </row>
    <row r="107" spans="2:11" x14ac:dyDescent="0.25">
      <c r="B107" s="85"/>
      <c r="C107" s="76"/>
      <c r="D107" s="76"/>
      <c r="E107" s="76"/>
      <c r="F107" s="76"/>
      <c r="G107" s="76"/>
      <c r="H107" s="76"/>
      <c r="I107" s="76"/>
      <c r="J107" s="76"/>
      <c r="K107" s="76"/>
    </row>
    <row r="108" spans="2:11" x14ac:dyDescent="0.25">
      <c r="D108" s="84"/>
      <c r="E108" s="84"/>
      <c r="F108" s="84"/>
      <c r="G108" s="84"/>
      <c r="H108" s="84"/>
      <c r="I108" s="84"/>
      <c r="J108" s="84"/>
      <c r="K108" s="84"/>
    </row>
    <row r="109" spans="2:11" x14ac:dyDescent="0.25">
      <c r="B109" s="85"/>
      <c r="C109" s="76"/>
      <c r="D109" s="76"/>
      <c r="E109" s="76"/>
      <c r="F109" s="76"/>
      <c r="G109" s="76"/>
      <c r="H109" s="76"/>
      <c r="I109" s="76"/>
      <c r="J109" s="76"/>
      <c r="K109" s="76"/>
    </row>
    <row r="110" spans="2:11" x14ac:dyDescent="0.25">
      <c r="D110" s="76"/>
      <c r="E110" s="76"/>
      <c r="F110" s="76"/>
      <c r="G110" s="76"/>
      <c r="H110" s="76"/>
      <c r="I110" s="76"/>
      <c r="J110" s="76"/>
      <c r="K110" s="76"/>
    </row>
    <row r="111" spans="2:11" x14ac:dyDescent="0.25">
      <c r="D111" s="84"/>
      <c r="E111" s="84"/>
      <c r="F111" s="84"/>
      <c r="G111" s="84"/>
      <c r="H111" s="84"/>
      <c r="I111" s="84"/>
      <c r="J111" s="84"/>
      <c r="K111" s="84"/>
    </row>
    <row r="112" spans="2:11" x14ac:dyDescent="0.25">
      <c r="D112" s="76"/>
      <c r="E112" s="76"/>
      <c r="F112" s="76"/>
      <c r="G112" s="76"/>
      <c r="H112" s="76"/>
      <c r="I112" s="76"/>
      <c r="J112" s="76"/>
      <c r="K112" s="76"/>
    </row>
    <row r="113" spans="2:11" x14ac:dyDescent="0.25">
      <c r="D113" s="76"/>
      <c r="E113" s="76"/>
    </row>
    <row r="114" spans="2:11" x14ac:dyDescent="0.25">
      <c r="D114" s="84"/>
      <c r="E114" s="84"/>
      <c r="F114" s="76"/>
      <c r="G114" s="76"/>
      <c r="H114" s="76"/>
      <c r="I114" s="76"/>
      <c r="J114" s="76"/>
      <c r="K114" s="76"/>
    </row>
    <row r="115" spans="2:11" x14ac:dyDescent="0.25">
      <c r="D115" s="76"/>
      <c r="E115" s="76"/>
      <c r="F115" s="76"/>
      <c r="G115" s="76"/>
      <c r="H115" s="76"/>
      <c r="I115" s="76"/>
      <c r="J115" s="76"/>
      <c r="K115" s="76"/>
    </row>
    <row r="116" spans="2:11" x14ac:dyDescent="0.25">
      <c r="B116" s="85"/>
      <c r="C116" s="76"/>
      <c r="F116" s="76"/>
      <c r="G116" s="76"/>
      <c r="H116" s="76"/>
      <c r="I116" s="76"/>
      <c r="J116" s="76"/>
      <c r="K116" s="76"/>
    </row>
    <row r="117" spans="2:11" x14ac:dyDescent="0.25">
      <c r="D117" s="76"/>
      <c r="E117" s="76"/>
    </row>
    <row r="118" spans="2:11" x14ac:dyDescent="0.25">
      <c r="D118" s="76"/>
      <c r="E118" s="76"/>
    </row>
    <row r="119" spans="2:11" x14ac:dyDescent="0.25">
      <c r="D119" s="76"/>
      <c r="E119" s="76"/>
      <c r="F119" s="76"/>
      <c r="G119" s="76"/>
      <c r="H119" s="76"/>
      <c r="I119" s="76"/>
      <c r="J119" s="76"/>
      <c r="K119" s="76"/>
    </row>
    <row r="120" spans="2:11" x14ac:dyDescent="0.25">
      <c r="B120" s="85"/>
      <c r="C120" s="76"/>
      <c r="F120" s="76"/>
      <c r="G120" s="76"/>
      <c r="H120" s="76"/>
      <c r="I120" s="76"/>
      <c r="J120" s="76"/>
      <c r="K120" s="76"/>
    </row>
    <row r="121" spans="2:11" x14ac:dyDescent="0.25">
      <c r="B121" s="80"/>
      <c r="C121" s="100"/>
      <c r="F121" s="95"/>
      <c r="G121" s="95"/>
      <c r="H121" s="95"/>
      <c r="I121" s="95"/>
      <c r="J121" s="95"/>
      <c r="K121" s="95"/>
    </row>
    <row r="122" spans="2:11" x14ac:dyDescent="0.25">
      <c r="D122" s="76"/>
      <c r="E122" s="76"/>
      <c r="F122" s="76"/>
      <c r="G122" s="76"/>
      <c r="H122" s="76"/>
      <c r="I122" s="76"/>
      <c r="J122" s="76"/>
      <c r="K122" s="76"/>
    </row>
    <row r="123" spans="2:11" x14ac:dyDescent="0.25">
      <c r="D123" s="76"/>
      <c r="E123" s="76"/>
    </row>
    <row r="124" spans="2:11" x14ac:dyDescent="0.25">
      <c r="D124" s="95"/>
      <c r="E124" s="95"/>
      <c r="F124" s="76"/>
      <c r="G124" s="76"/>
      <c r="H124" s="76"/>
      <c r="I124" s="76"/>
      <c r="J124" s="76"/>
      <c r="K124" s="76"/>
    </row>
    <row r="125" spans="2:11" x14ac:dyDescent="0.25">
      <c r="B125" s="85"/>
      <c r="C125" s="76"/>
      <c r="D125" s="76"/>
      <c r="E125" s="76"/>
    </row>
    <row r="126" spans="2:11" x14ac:dyDescent="0.25">
      <c r="F126" s="76"/>
      <c r="G126" s="76"/>
      <c r="H126" s="76"/>
      <c r="I126" s="76"/>
      <c r="J126" s="76"/>
      <c r="K126" s="76"/>
    </row>
    <row r="127" spans="2:11" x14ac:dyDescent="0.25">
      <c r="D127" s="76"/>
      <c r="E127" s="76"/>
      <c r="F127" s="76"/>
      <c r="G127" s="76"/>
      <c r="H127" s="76"/>
      <c r="I127" s="76"/>
      <c r="J127" s="76"/>
      <c r="K127" s="76"/>
    </row>
    <row r="128" spans="2:11" x14ac:dyDescent="0.25">
      <c r="F128" s="76"/>
      <c r="G128" s="76"/>
      <c r="H128" s="76"/>
      <c r="I128" s="76"/>
      <c r="J128" s="76"/>
      <c r="K128" s="76"/>
    </row>
    <row r="129" spans="2:11" x14ac:dyDescent="0.25">
      <c r="D129" s="76"/>
      <c r="E129" s="76"/>
      <c r="F129" s="83"/>
      <c r="G129" s="83"/>
      <c r="H129" s="83"/>
      <c r="I129" s="83"/>
      <c r="J129" s="83"/>
      <c r="K129" s="83"/>
    </row>
    <row r="130" spans="2:11" x14ac:dyDescent="0.25">
      <c r="D130" s="76"/>
      <c r="E130" s="76"/>
    </row>
    <row r="131" spans="2:11" x14ac:dyDescent="0.25">
      <c r="D131" s="76"/>
      <c r="E131" s="76"/>
    </row>
    <row r="132" spans="2:11" x14ac:dyDescent="0.25">
      <c r="D132" s="83"/>
      <c r="E132" s="83"/>
    </row>
    <row r="133" spans="2:11" x14ac:dyDescent="0.25">
      <c r="F133" s="96"/>
      <c r="G133" s="96"/>
      <c r="H133" s="96"/>
      <c r="I133" s="96"/>
      <c r="J133" s="96"/>
      <c r="K133" s="96"/>
    </row>
    <row r="134" spans="2:11" x14ac:dyDescent="0.25">
      <c r="F134" s="97"/>
      <c r="G134" s="97"/>
      <c r="H134" s="97"/>
      <c r="I134" s="97"/>
      <c r="J134" s="97"/>
      <c r="K134" s="97"/>
    </row>
    <row r="135" spans="2:11" x14ac:dyDescent="0.25">
      <c r="F135" s="97"/>
      <c r="G135" s="97"/>
      <c r="H135" s="97"/>
      <c r="I135" s="97"/>
      <c r="J135" s="97"/>
      <c r="K135" s="97"/>
    </row>
    <row r="136" spans="2:11" x14ac:dyDescent="0.25">
      <c r="B136" s="81"/>
      <c r="C136" s="101"/>
      <c r="D136" s="96"/>
      <c r="E136" s="96"/>
      <c r="F136" s="85"/>
      <c r="G136" s="85"/>
      <c r="H136" s="85"/>
      <c r="I136" s="85"/>
      <c r="J136" s="85"/>
      <c r="K136" s="85"/>
    </row>
    <row r="137" spans="2:11" x14ac:dyDescent="0.25">
      <c r="D137" s="97"/>
      <c r="E137" s="97"/>
      <c r="F137" s="69"/>
      <c r="G137" s="69"/>
      <c r="H137" s="69"/>
      <c r="I137" s="69"/>
      <c r="J137" s="69"/>
      <c r="K137" s="69"/>
    </row>
    <row r="138" spans="2:11" x14ac:dyDescent="0.25">
      <c r="D138" s="97"/>
      <c r="E138" s="97"/>
      <c r="F138" s="85"/>
      <c r="G138" s="85"/>
      <c r="H138" s="85"/>
      <c r="I138" s="85"/>
      <c r="J138" s="85"/>
      <c r="K138" s="85"/>
    </row>
    <row r="139" spans="2:11" x14ac:dyDescent="0.25">
      <c r="B139" s="85"/>
      <c r="C139" s="76"/>
      <c r="D139" s="85"/>
      <c r="E139" s="85"/>
      <c r="F139" s="69"/>
      <c r="G139" s="69"/>
      <c r="H139" s="69"/>
      <c r="I139" s="69"/>
      <c r="J139" s="69"/>
      <c r="K139" s="69"/>
    </row>
    <row r="140" spans="2:11" x14ac:dyDescent="0.25">
      <c r="D140" s="69"/>
      <c r="E140" s="69"/>
      <c r="F140" s="97"/>
      <c r="G140" s="97"/>
      <c r="H140" s="97"/>
      <c r="I140" s="97"/>
      <c r="J140" s="97"/>
      <c r="K140" s="97"/>
    </row>
    <row r="141" spans="2:11" x14ac:dyDescent="0.25">
      <c r="D141" s="85"/>
      <c r="E141" s="85"/>
      <c r="F141" s="97"/>
      <c r="G141" s="97"/>
      <c r="H141" s="97"/>
      <c r="I141" s="97"/>
      <c r="J141" s="97"/>
      <c r="K141" s="97"/>
    </row>
    <row r="142" spans="2:11" x14ac:dyDescent="0.25">
      <c r="D142" s="69"/>
      <c r="E142" s="69"/>
      <c r="F142" s="85"/>
      <c r="G142" s="85"/>
      <c r="H142" s="85"/>
      <c r="I142" s="85"/>
      <c r="J142" s="85"/>
      <c r="K142" s="85"/>
    </row>
    <row r="143" spans="2:11" x14ac:dyDescent="0.25">
      <c r="D143" s="97"/>
      <c r="E143" s="97"/>
      <c r="F143" s="86"/>
      <c r="G143" s="86"/>
      <c r="H143" s="86"/>
      <c r="I143" s="86"/>
      <c r="J143" s="86"/>
      <c r="K143" s="86"/>
    </row>
    <row r="144" spans="2:11" x14ac:dyDescent="0.25">
      <c r="D144" s="97"/>
      <c r="E144" s="97"/>
    </row>
    <row r="145" spans="4:11" x14ac:dyDescent="0.25">
      <c r="D145" s="85"/>
      <c r="E145" s="85"/>
    </row>
    <row r="146" spans="4:11" x14ac:dyDescent="0.25">
      <c r="D146" s="86"/>
      <c r="E146" s="86"/>
      <c r="F146" s="98"/>
      <c r="G146" s="98"/>
      <c r="H146" s="98"/>
      <c r="I146" s="98"/>
      <c r="J146" s="98"/>
      <c r="K146" s="98"/>
    </row>
    <row r="147" spans="4:11" x14ac:dyDescent="0.25">
      <c r="F147" s="76"/>
      <c r="G147" s="76"/>
      <c r="H147" s="76"/>
      <c r="I147" s="76"/>
      <c r="J147" s="76"/>
      <c r="K147" s="76"/>
    </row>
    <row r="148" spans="4:11" x14ac:dyDescent="0.25">
      <c r="F148" s="98"/>
      <c r="G148" s="98"/>
      <c r="H148" s="98"/>
      <c r="I148" s="98"/>
      <c r="J148" s="98"/>
      <c r="K148" s="98"/>
    </row>
    <row r="149" spans="4:11" x14ac:dyDescent="0.25">
      <c r="D149" s="98"/>
      <c r="E149" s="98"/>
    </row>
    <row r="150" spans="4:11" x14ac:dyDescent="0.25">
      <c r="D150" s="76"/>
      <c r="E150" s="76"/>
      <c r="F150" s="82"/>
      <c r="G150" s="82"/>
      <c r="H150" s="82"/>
      <c r="I150" s="82"/>
      <c r="J150" s="82"/>
      <c r="K150" s="82"/>
    </row>
    <row r="151" spans="4:11" x14ac:dyDescent="0.25">
      <c r="D151" s="98"/>
      <c r="E151" s="98"/>
    </row>
    <row r="152" spans="4:11" x14ac:dyDescent="0.25">
      <c r="F152" s="71"/>
      <c r="G152" s="71"/>
      <c r="H152" s="71"/>
      <c r="I152" s="71"/>
      <c r="J152" s="71"/>
      <c r="K152" s="71"/>
    </row>
    <row r="153" spans="4:11" x14ac:dyDescent="0.25">
      <c r="D153" s="82"/>
      <c r="E153" s="82"/>
    </row>
    <row r="155" spans="4:11" x14ac:dyDescent="0.25">
      <c r="D155" s="71"/>
      <c r="E155" s="71"/>
    </row>
  </sheetData>
  <conditionalFormatting sqref="H11:Q11">
    <cfRule type="cellIs" dxfId="1" priority="1" operator="greaterThan">
      <formula>1</formula>
    </cfRule>
  </conditionalFormatting>
  <dataValidations count="1">
    <dataValidation type="whole" errorStyle="warning" operator="greaterThan" allowBlank="1" showInputMessage="1" showErrorMessage="1" errorTitle="Please Check!" error="Capacity exceeding 100%" sqref="H11:Q11" xr:uid="{00000000-0002-0000-0400-000000000000}">
      <formula1>100</formula1>
    </dataValidation>
  </dataValidations>
  <pageMargins left="0.7" right="0.7" top="0.75" bottom="0.75" header="0.3" footer="0.3"/>
  <pageSetup paperSize="9" orientation="portrait" r:id="rId1"/>
  <ignoredErrors>
    <ignoredError sqref="E47:F4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7" tint="0.59999389629810485"/>
  </sheetPr>
  <dimension ref="B1:Q19"/>
  <sheetViews>
    <sheetView showGridLines="0" workbookViewId="0">
      <pane xSplit="3" ySplit="5" topLeftCell="D6" activePane="bottomRight" state="frozen"/>
      <selection activeCell="B26" sqref="B26"/>
      <selection pane="topRight" activeCell="B26" sqref="B26"/>
      <selection pane="bottomLeft" activeCell="B26" sqref="B26"/>
      <selection pane="bottomRight" activeCell="D6" sqref="D6"/>
    </sheetView>
  </sheetViews>
  <sheetFormatPr defaultColWidth="8.85546875" defaultRowHeight="12.75" x14ac:dyDescent="0.2"/>
  <cols>
    <col min="1" max="1" width="2.85546875" style="89" customWidth="1"/>
    <col min="2" max="2" width="19.42578125" style="89" customWidth="1"/>
    <col min="3" max="3" width="9.85546875" style="89" customWidth="1"/>
    <col min="4" max="4" width="10.85546875" style="89" bestFit="1" customWidth="1"/>
    <col min="5" max="9" width="9.85546875" style="89" bestFit="1" customWidth="1"/>
    <col min="10" max="11" width="9.140625" style="89" bestFit="1" customWidth="1"/>
    <col min="12" max="12" width="8.85546875" style="89"/>
    <col min="13" max="17" width="9.5703125" style="89" bestFit="1" customWidth="1"/>
    <col min="18" max="16384" width="8.85546875" style="89"/>
  </cols>
  <sheetData>
    <row r="1" spans="2:17" s="64" customFormat="1" x14ac:dyDescent="0.25">
      <c r="D1" s="65"/>
      <c r="E1" s="65"/>
      <c r="F1" s="65"/>
      <c r="G1" s="65"/>
      <c r="H1" s="65"/>
      <c r="I1" s="65"/>
      <c r="J1" s="65"/>
      <c r="K1" s="65"/>
      <c r="L1" s="65"/>
    </row>
    <row r="2" spans="2:17" s="64" customFormat="1" ht="14.25" x14ac:dyDescent="0.25">
      <c r="B2" s="185" t="s">
        <v>148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</row>
    <row r="3" spans="2:17" s="64" customFormat="1" x14ac:dyDescent="0.2">
      <c r="B3" s="79"/>
      <c r="C3" s="66" t="s">
        <v>101</v>
      </c>
      <c r="D3" s="451">
        <f>'Revenue Build up'!D3</f>
        <v>2016</v>
      </c>
      <c r="E3" s="451">
        <f>D3+1</f>
        <v>2017</v>
      </c>
      <c r="F3" s="451">
        <f t="shared" ref="F3:Q3" si="0">E3+1</f>
        <v>2018</v>
      </c>
      <c r="G3" s="451">
        <f t="shared" si="0"/>
        <v>2019</v>
      </c>
      <c r="H3" s="452">
        <f t="shared" si="0"/>
        <v>2020</v>
      </c>
      <c r="I3" s="452">
        <f t="shared" si="0"/>
        <v>2021</v>
      </c>
      <c r="J3" s="452">
        <f t="shared" si="0"/>
        <v>2022</v>
      </c>
      <c r="K3" s="452">
        <f t="shared" si="0"/>
        <v>2023</v>
      </c>
      <c r="L3" s="452">
        <f t="shared" si="0"/>
        <v>2024</v>
      </c>
      <c r="M3" s="452">
        <f t="shared" si="0"/>
        <v>2025</v>
      </c>
      <c r="N3" s="452">
        <f t="shared" si="0"/>
        <v>2026</v>
      </c>
      <c r="O3" s="452">
        <f t="shared" si="0"/>
        <v>2027</v>
      </c>
      <c r="P3" s="452">
        <f t="shared" si="0"/>
        <v>2028</v>
      </c>
      <c r="Q3" s="452">
        <f t="shared" si="0"/>
        <v>2029</v>
      </c>
    </row>
    <row r="4" spans="2:17" s="64" customFormat="1" x14ac:dyDescent="0.2">
      <c r="B4" s="79"/>
      <c r="C4" s="66"/>
      <c r="D4" s="103" t="s">
        <v>96</v>
      </c>
      <c r="E4" s="103" t="s">
        <v>96</v>
      </c>
      <c r="F4" s="103" t="s">
        <v>96</v>
      </c>
      <c r="G4" s="103" t="s">
        <v>96</v>
      </c>
      <c r="H4" s="169" t="s">
        <v>97</v>
      </c>
      <c r="I4" s="170" t="s">
        <v>98</v>
      </c>
      <c r="J4" s="170" t="s">
        <v>98</v>
      </c>
      <c r="K4" s="170" t="s">
        <v>98</v>
      </c>
      <c r="L4" s="170" t="s">
        <v>98</v>
      </c>
      <c r="M4" s="170" t="s">
        <v>98</v>
      </c>
      <c r="N4" s="170" t="s">
        <v>98</v>
      </c>
      <c r="O4" s="170" t="s">
        <v>98</v>
      </c>
      <c r="P4" s="170" t="s">
        <v>98</v>
      </c>
      <c r="Q4" s="170" t="s">
        <v>98</v>
      </c>
    </row>
    <row r="5" spans="2:17" s="64" customFormat="1" ht="13.5" thickBot="1" x14ac:dyDescent="0.3">
      <c r="B5" s="206" t="s">
        <v>136</v>
      </c>
      <c r="C5" s="167"/>
      <c r="D5" s="167">
        <v>12</v>
      </c>
      <c r="E5" s="167">
        <v>12</v>
      </c>
      <c r="F5" s="167">
        <f>E5</f>
        <v>12</v>
      </c>
      <c r="G5" s="167">
        <f>F5</f>
        <v>12</v>
      </c>
      <c r="H5" s="171">
        <v>12</v>
      </c>
      <c r="I5" s="171">
        <v>12</v>
      </c>
      <c r="J5" s="171">
        <v>12</v>
      </c>
      <c r="K5" s="171">
        <v>12</v>
      </c>
      <c r="L5" s="171">
        <v>12</v>
      </c>
      <c r="M5" s="171">
        <v>12</v>
      </c>
      <c r="N5" s="171">
        <v>12</v>
      </c>
      <c r="O5" s="171">
        <v>12</v>
      </c>
      <c r="P5" s="171">
        <v>12</v>
      </c>
      <c r="Q5" s="171">
        <v>12</v>
      </c>
    </row>
    <row r="7" spans="2:17" ht="15" x14ac:dyDescent="0.35">
      <c r="B7" s="212" t="s">
        <v>217</v>
      </c>
    </row>
    <row r="8" spans="2:17" x14ac:dyDescent="0.2">
      <c r="B8" s="89" t="s">
        <v>215</v>
      </c>
      <c r="C8" s="67" t="s">
        <v>144</v>
      </c>
      <c r="D8" s="215">
        <f>'P&amp;L Input'!C6</f>
        <v>575890</v>
      </c>
      <c r="E8" s="215">
        <f>'P&amp;L Input'!D6</f>
        <v>680850</v>
      </c>
      <c r="F8" s="215">
        <f>'P&amp;L Input'!E6</f>
        <v>798094</v>
      </c>
      <c r="G8" s="215">
        <f>'P&amp;L Input'!F6</f>
        <v>860685</v>
      </c>
      <c r="H8" s="215">
        <f>'Revenue Build up'!H45</f>
        <v>977866.96690716466</v>
      </c>
      <c r="I8" s="215">
        <f>'Revenue Build up'!I45</f>
        <v>1113888.1262070334</v>
      </c>
      <c r="J8" s="215">
        <f>'Revenue Build up'!J45</f>
        <v>1269220.5945420125</v>
      </c>
      <c r="K8" s="215">
        <f>'Revenue Build up'!K45</f>
        <v>1446660.7351810592</v>
      </c>
      <c r="L8" s="215">
        <f>'Revenue Build up'!L45</f>
        <v>1649417.648623907</v>
      </c>
      <c r="M8" s="215">
        <f>'Revenue Build up'!M45</f>
        <v>1881175.2300772297</v>
      </c>
      <c r="N8" s="215">
        <f>'Revenue Build up'!N45</f>
        <v>2146163.726754196</v>
      </c>
      <c r="O8" s="215">
        <f>'Revenue Build up'!O45</f>
        <v>2449242.2748375363</v>
      </c>
      <c r="P8" s="215">
        <f>'Revenue Build up'!P45</f>
        <v>2795994.1304141795</v>
      </c>
      <c r="Q8" s="215">
        <f>'Revenue Build up'!Q45</f>
        <v>3192836.5809256211</v>
      </c>
    </row>
    <row r="9" spans="2:17" x14ac:dyDescent="0.2">
      <c r="B9" s="89" t="s">
        <v>202</v>
      </c>
      <c r="C9" s="211" t="s">
        <v>104</v>
      </c>
      <c r="D9" s="216">
        <f>'P&amp;L Input'!C47</f>
        <v>0.3278924794665648</v>
      </c>
      <c r="E9" s="216">
        <f>'P&amp;L Input'!D47</f>
        <v>0.31347286480135123</v>
      </c>
      <c r="F9" s="216">
        <f>'P&amp;L Input'!E47</f>
        <v>0.31103228441762498</v>
      </c>
      <c r="G9" s="216">
        <f>'P&amp;L Input'!F47</f>
        <v>0.29981468249127147</v>
      </c>
      <c r="H9" s="197">
        <f>AVERAGE(D9:G9)</f>
        <v>0.31305307779420311</v>
      </c>
      <c r="I9" s="197">
        <f>H9</f>
        <v>0.31305307779420311</v>
      </c>
      <c r="J9" s="197">
        <f t="shared" ref="J9:Q9" si="1">I9</f>
        <v>0.31305307779420311</v>
      </c>
      <c r="K9" s="197">
        <f t="shared" si="1"/>
        <v>0.31305307779420311</v>
      </c>
      <c r="L9" s="197">
        <f t="shared" si="1"/>
        <v>0.31305307779420311</v>
      </c>
      <c r="M9" s="197">
        <f t="shared" si="1"/>
        <v>0.31305307779420311</v>
      </c>
      <c r="N9" s="197">
        <f t="shared" si="1"/>
        <v>0.31305307779420311</v>
      </c>
      <c r="O9" s="197">
        <f t="shared" si="1"/>
        <v>0.31305307779420311</v>
      </c>
      <c r="P9" s="197">
        <f t="shared" si="1"/>
        <v>0.31305307779420311</v>
      </c>
      <c r="Q9" s="197">
        <f t="shared" si="1"/>
        <v>0.31305307779420311</v>
      </c>
    </row>
    <row r="10" spans="2:17" x14ac:dyDescent="0.2">
      <c r="B10" s="89" t="s">
        <v>216</v>
      </c>
      <c r="C10" s="211" t="s">
        <v>104</v>
      </c>
      <c r="D10" s="216">
        <f>1-D9</f>
        <v>0.67210752053343525</v>
      </c>
      <c r="E10" s="216">
        <f t="shared" ref="E10:I10" si="2">1-E9</f>
        <v>0.68652713519864883</v>
      </c>
      <c r="F10" s="216">
        <f t="shared" si="2"/>
        <v>0.68896771558237502</v>
      </c>
      <c r="G10" s="216">
        <f t="shared" si="2"/>
        <v>0.70018531750872848</v>
      </c>
      <c r="H10" s="216">
        <f t="shared" si="2"/>
        <v>0.68694692220579689</v>
      </c>
      <c r="I10" s="216">
        <f t="shared" si="2"/>
        <v>0.68694692220579689</v>
      </c>
      <c r="J10" s="216">
        <f t="shared" ref="J10" si="3">1-J9</f>
        <v>0.68694692220579689</v>
      </c>
      <c r="K10" s="216">
        <f t="shared" ref="K10" si="4">1-K9</f>
        <v>0.68694692220579689</v>
      </c>
      <c r="L10" s="216">
        <f t="shared" ref="L10" si="5">1-L9</f>
        <v>0.68694692220579689</v>
      </c>
      <c r="M10" s="216">
        <f t="shared" ref="M10" si="6">1-M9</f>
        <v>0.68694692220579689</v>
      </c>
      <c r="N10" s="216">
        <f t="shared" ref="N10" si="7">1-N9</f>
        <v>0.68694692220579689</v>
      </c>
      <c r="O10" s="216">
        <f t="shared" ref="O10" si="8">1-O9</f>
        <v>0.68694692220579689</v>
      </c>
      <c r="P10" s="216">
        <f t="shared" ref="P10" si="9">1-P9</f>
        <v>0.68694692220579689</v>
      </c>
      <c r="Q10" s="216">
        <f t="shared" ref="Q10" si="10">1-Q9</f>
        <v>0.68694692220579689</v>
      </c>
    </row>
    <row r="11" spans="2:17" ht="26.25" thickBot="1" x14ac:dyDescent="0.25">
      <c r="B11" s="127" t="s">
        <v>217</v>
      </c>
      <c r="C11" s="66" t="s">
        <v>144</v>
      </c>
      <c r="D11" s="369">
        <f>D8*D10</f>
        <v>387060</v>
      </c>
      <c r="E11" s="369">
        <f t="shared" ref="E11:I11" si="11">E8*E10</f>
        <v>467422.00000000006</v>
      </c>
      <c r="F11" s="369">
        <f t="shared" si="11"/>
        <v>549861</v>
      </c>
      <c r="G11" s="369">
        <f t="shared" si="11"/>
        <v>602639</v>
      </c>
      <c r="H11" s="369">
        <f t="shared" si="11"/>
        <v>671742.70324359462</v>
      </c>
      <c r="I11" s="369">
        <f t="shared" si="11"/>
        <v>765182.01997950382</v>
      </c>
      <c r="J11" s="369">
        <f t="shared" ref="J11" si="12">J8*J10</f>
        <v>871887.18102084717</v>
      </c>
      <c r="K11" s="369">
        <f t="shared" ref="K11" si="13">K8*K10</f>
        <v>993779.13950860407</v>
      </c>
      <c r="L11" s="369">
        <f t="shared" ref="L11" si="14">L8*L10</f>
        <v>1133062.3771541156</v>
      </c>
      <c r="M11" s="369">
        <f t="shared" ref="M11" si="15">M8*M10</f>
        <v>1292267.5344313348</v>
      </c>
      <c r="N11" s="369">
        <f t="shared" ref="N11" si="16">N8*N10</f>
        <v>1474300.5666435179</v>
      </c>
      <c r="O11" s="369">
        <f t="shared" ref="O11" si="17">O8*O10</f>
        <v>1682499.4424359701</v>
      </c>
      <c r="P11" s="369">
        <f t="shared" ref="P11" si="18">P8*P10</f>
        <v>1920699.5623934942</v>
      </c>
      <c r="Q11" s="369">
        <f t="shared" ref="Q11" si="19">Q8*Q10</f>
        <v>2193309.2623729352</v>
      </c>
    </row>
    <row r="12" spans="2:17" x14ac:dyDescent="0.2"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</row>
    <row r="13" spans="2:17" ht="15" x14ac:dyDescent="0.35">
      <c r="B13" s="212" t="s">
        <v>232</v>
      </c>
      <c r="C13" s="67" t="s">
        <v>144</v>
      </c>
      <c r="D13" s="215">
        <f>SUM('P&amp;L Input'!C15:C17)</f>
        <v>99943</v>
      </c>
      <c r="E13" s="215">
        <f>SUM('P&amp;L Input'!D15:D17)</f>
        <v>109847</v>
      </c>
      <c r="F13" s="215">
        <f>SUM('P&amp;L Input'!E15:E17)</f>
        <v>127599</v>
      </c>
      <c r="G13" s="215">
        <f>SUM('P&amp;L Input'!F15:F17)</f>
        <v>148014</v>
      </c>
      <c r="H13" s="215">
        <f>H8*H14</f>
        <v>162994.61032517499</v>
      </c>
      <c r="I13" s="215">
        <f>I8*I14</f>
        <v>185667.1379862566</v>
      </c>
      <c r="J13" s="215">
        <f t="shared" ref="J13:Q13" si="20">J8*J14</f>
        <v>211558.54858087498</v>
      </c>
      <c r="K13" s="215">
        <f t="shared" si="20"/>
        <v>241134.9506460563</v>
      </c>
      <c r="L13" s="215">
        <f t="shared" si="20"/>
        <v>274931.24934083538</v>
      </c>
      <c r="M13" s="215">
        <f t="shared" si="20"/>
        <v>313561.4904240027</v>
      </c>
      <c r="N13" s="215">
        <f t="shared" si="20"/>
        <v>357730.78769878886</v>
      </c>
      <c r="O13" s="215">
        <f t="shared" si="20"/>
        <v>408249.08058990532</v>
      </c>
      <c r="P13" s="215">
        <f t="shared" si="20"/>
        <v>466047.00760037161</v>
      </c>
      <c r="Q13" s="215">
        <f t="shared" si="20"/>
        <v>532194.2267729165</v>
      </c>
    </row>
    <row r="14" spans="2:17" x14ac:dyDescent="0.2">
      <c r="B14" s="89" t="s">
        <v>218</v>
      </c>
      <c r="C14" s="211" t="s">
        <v>104</v>
      </c>
      <c r="D14" s="216">
        <f>D13/D8</f>
        <v>0.17354529510844086</v>
      </c>
      <c r="E14" s="216">
        <f>E13/E8</f>
        <v>0.16133803334067709</v>
      </c>
      <c r="F14" s="216">
        <f t="shared" ref="F14:G14" si="21">F13/F8</f>
        <v>0.15987966329780703</v>
      </c>
      <c r="G14" s="216">
        <f t="shared" si="21"/>
        <v>0.17197232436954285</v>
      </c>
      <c r="H14" s="197">
        <f>AVERAGE(D14:G14)</f>
        <v>0.16668382902911694</v>
      </c>
      <c r="I14" s="197">
        <f>H14</f>
        <v>0.16668382902911694</v>
      </c>
      <c r="J14" s="197">
        <f t="shared" ref="J14:Q14" si="22">I14</f>
        <v>0.16668382902911694</v>
      </c>
      <c r="K14" s="197">
        <f t="shared" si="22"/>
        <v>0.16668382902911694</v>
      </c>
      <c r="L14" s="197">
        <f t="shared" si="22"/>
        <v>0.16668382902911694</v>
      </c>
      <c r="M14" s="197">
        <f t="shared" si="22"/>
        <v>0.16668382902911694</v>
      </c>
      <c r="N14" s="197">
        <f t="shared" si="22"/>
        <v>0.16668382902911694</v>
      </c>
      <c r="O14" s="197">
        <f t="shared" si="22"/>
        <v>0.16668382902911694</v>
      </c>
      <c r="P14" s="197">
        <f t="shared" si="22"/>
        <v>0.16668382902911694</v>
      </c>
      <c r="Q14" s="197">
        <f t="shared" si="22"/>
        <v>0.16668382902911694</v>
      </c>
    </row>
    <row r="17" spans="2:17" ht="15" x14ac:dyDescent="0.35">
      <c r="B17" s="212" t="s">
        <v>3</v>
      </c>
      <c r="C17" s="67" t="s">
        <v>144</v>
      </c>
      <c r="D17" s="215">
        <f>'P&amp;L Input'!C27</f>
        <v>817</v>
      </c>
      <c r="E17" s="215">
        <f>'P&amp;L Input'!D27</f>
        <v>894</v>
      </c>
      <c r="F17" s="215">
        <f>'P&amp;L Input'!E27</f>
        <v>3458</v>
      </c>
      <c r="G17" s="215">
        <f>'P&amp;L Input'!F27</f>
        <v>759</v>
      </c>
      <c r="H17" s="207">
        <f>AVERAGE(D17:G17)</f>
        <v>1482</v>
      </c>
      <c r="I17" s="207">
        <f>H17</f>
        <v>1482</v>
      </c>
      <c r="J17" s="207">
        <f t="shared" ref="J17:Q17" si="23">I17</f>
        <v>1482</v>
      </c>
      <c r="K17" s="207">
        <f t="shared" si="23"/>
        <v>1482</v>
      </c>
      <c r="L17" s="207">
        <f t="shared" si="23"/>
        <v>1482</v>
      </c>
      <c r="M17" s="207">
        <f t="shared" si="23"/>
        <v>1482</v>
      </c>
      <c r="N17" s="207">
        <f t="shared" si="23"/>
        <v>1482</v>
      </c>
      <c r="O17" s="207">
        <f t="shared" si="23"/>
        <v>1482</v>
      </c>
      <c r="P17" s="207">
        <f t="shared" si="23"/>
        <v>1482</v>
      </c>
      <c r="Q17" s="207">
        <f t="shared" si="23"/>
        <v>1482</v>
      </c>
    </row>
    <row r="18" spans="2:17" x14ac:dyDescent="0.2">
      <c r="D18" s="107"/>
      <c r="E18" s="107"/>
      <c r="F18" s="107"/>
      <c r="G18" s="107"/>
    </row>
    <row r="19" spans="2:17" ht="15" x14ac:dyDescent="0.35">
      <c r="B19" s="212" t="s">
        <v>234</v>
      </c>
      <c r="C19" s="211" t="s">
        <v>104</v>
      </c>
      <c r="D19" s="216">
        <f>'P&amp;L Input'!C35/'P&amp;L Input'!C33</f>
        <v>0.27960834739746576</v>
      </c>
      <c r="E19" s="216">
        <f>'P&amp;L Input'!D35/'P&amp;L Input'!D33</f>
        <v>0.26281845214176647</v>
      </c>
      <c r="F19" s="216">
        <f>'P&amp;L Input'!E35/'P&amp;L Input'!E33</f>
        <v>0.2986477152931768</v>
      </c>
      <c r="G19" s="216">
        <f>'P&amp;L Input'!F35/'P&amp;L Input'!F33</f>
        <v>0.28402479915170853</v>
      </c>
      <c r="H19" s="218">
        <f>AVERAGE(D19:G19)</f>
        <v>0.28127482849602936</v>
      </c>
      <c r="I19" s="218">
        <f>H19</f>
        <v>0.28127482849602936</v>
      </c>
      <c r="J19" s="218">
        <f t="shared" ref="J19:Q19" si="24">I19</f>
        <v>0.28127482849602936</v>
      </c>
      <c r="K19" s="218">
        <f t="shared" si="24"/>
        <v>0.28127482849602936</v>
      </c>
      <c r="L19" s="218">
        <f t="shared" si="24"/>
        <v>0.28127482849602936</v>
      </c>
      <c r="M19" s="218">
        <f t="shared" si="24"/>
        <v>0.28127482849602936</v>
      </c>
      <c r="N19" s="218">
        <f t="shared" si="24"/>
        <v>0.28127482849602936</v>
      </c>
      <c r="O19" s="218">
        <f t="shared" si="24"/>
        <v>0.28127482849602936</v>
      </c>
      <c r="P19" s="218">
        <f t="shared" si="24"/>
        <v>0.28127482849602936</v>
      </c>
      <c r="Q19" s="218">
        <f t="shared" si="24"/>
        <v>0.28127482849602936</v>
      </c>
    </row>
  </sheetData>
  <pageMargins left="0.7" right="0.7" top="0.75" bottom="0.75" header="0.3" footer="0.3"/>
  <pageSetup paperSize="9" orientation="portrait" r:id="rId1"/>
  <ignoredErrors>
    <ignoredError sqref="D13:G1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7" tint="0.59999389629810485"/>
  </sheetPr>
  <dimension ref="B2:P23"/>
  <sheetViews>
    <sheetView showGridLines="0" zoomScaleNormal="100" workbookViewId="0"/>
  </sheetViews>
  <sheetFormatPr defaultColWidth="8.85546875" defaultRowHeight="12.75" x14ac:dyDescent="0.2"/>
  <cols>
    <col min="1" max="1" width="2.140625" style="89" customWidth="1"/>
    <col min="2" max="2" width="25.5703125" style="89" bestFit="1" customWidth="1"/>
    <col min="3" max="3" width="9.85546875" style="89" bestFit="1" customWidth="1"/>
    <col min="4" max="5" width="8.85546875" style="89" bestFit="1" customWidth="1"/>
    <col min="6" max="6" width="9" style="89" bestFit="1" customWidth="1"/>
    <col min="7" max="9" width="9.42578125" style="89" bestFit="1" customWidth="1"/>
    <col min="10" max="12" width="9.5703125" style="89" bestFit="1" customWidth="1"/>
    <col min="13" max="16" width="10.42578125" style="89" bestFit="1" customWidth="1"/>
    <col min="17" max="16384" width="8.85546875" style="89"/>
  </cols>
  <sheetData>
    <row r="2" spans="2:16" ht="14.25" x14ac:dyDescent="0.2">
      <c r="B2" s="185" t="s">
        <v>206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2:16" x14ac:dyDescent="0.2">
      <c r="B3" s="79"/>
      <c r="C3" s="451">
        <f>'Cost Build up'!D3</f>
        <v>2016</v>
      </c>
      <c r="D3" s="451">
        <f>C3+1</f>
        <v>2017</v>
      </c>
      <c r="E3" s="451">
        <f t="shared" ref="E3:P3" si="0">D3+1</f>
        <v>2018</v>
      </c>
      <c r="F3" s="451">
        <f t="shared" si="0"/>
        <v>2019</v>
      </c>
      <c r="G3" s="452">
        <f t="shared" si="0"/>
        <v>2020</v>
      </c>
      <c r="H3" s="452">
        <f t="shared" si="0"/>
        <v>2021</v>
      </c>
      <c r="I3" s="452">
        <f t="shared" si="0"/>
        <v>2022</v>
      </c>
      <c r="J3" s="452">
        <f t="shared" si="0"/>
        <v>2023</v>
      </c>
      <c r="K3" s="452">
        <f t="shared" si="0"/>
        <v>2024</v>
      </c>
      <c r="L3" s="452">
        <f t="shared" si="0"/>
        <v>2025</v>
      </c>
      <c r="M3" s="452">
        <f t="shared" si="0"/>
        <v>2026</v>
      </c>
      <c r="N3" s="452">
        <f t="shared" si="0"/>
        <v>2027</v>
      </c>
      <c r="O3" s="452">
        <f t="shared" si="0"/>
        <v>2028</v>
      </c>
      <c r="P3" s="452">
        <f t="shared" si="0"/>
        <v>2029</v>
      </c>
    </row>
    <row r="4" spans="2:16" x14ac:dyDescent="0.2">
      <c r="B4" s="79"/>
      <c r="C4" s="103" t="s">
        <v>96</v>
      </c>
      <c r="D4" s="103" t="s">
        <v>96</v>
      </c>
      <c r="E4" s="103" t="s">
        <v>96</v>
      </c>
      <c r="F4" s="103" t="s">
        <v>96</v>
      </c>
      <c r="G4" s="169" t="s">
        <v>97</v>
      </c>
      <c r="H4" s="170" t="s">
        <v>98</v>
      </c>
      <c r="I4" s="170" t="s">
        <v>98</v>
      </c>
      <c r="J4" s="170" t="s">
        <v>98</v>
      </c>
      <c r="K4" s="170" t="s">
        <v>98</v>
      </c>
      <c r="L4" s="170" t="s">
        <v>98</v>
      </c>
      <c r="M4" s="170" t="s">
        <v>98</v>
      </c>
      <c r="N4" s="170" t="s">
        <v>98</v>
      </c>
      <c r="O4" s="170" t="s">
        <v>98</v>
      </c>
      <c r="P4" s="170" t="s">
        <v>98</v>
      </c>
    </row>
    <row r="5" spans="2:16" ht="13.5" thickBot="1" x14ac:dyDescent="0.25">
      <c r="B5" s="206" t="s">
        <v>136</v>
      </c>
      <c r="C5" s="167">
        <v>12</v>
      </c>
      <c r="D5" s="167">
        <v>12</v>
      </c>
      <c r="E5" s="167">
        <v>12</v>
      </c>
      <c r="F5" s="167">
        <f>E5</f>
        <v>12</v>
      </c>
      <c r="G5" s="171">
        <f>F5</f>
        <v>12</v>
      </c>
      <c r="H5" s="171">
        <v>12</v>
      </c>
      <c r="I5" s="171">
        <v>12</v>
      </c>
      <c r="J5" s="171">
        <v>12</v>
      </c>
      <c r="K5" s="171">
        <v>12</v>
      </c>
      <c r="L5" s="171">
        <v>12</v>
      </c>
      <c r="M5" s="171">
        <v>12</v>
      </c>
      <c r="N5" s="171">
        <v>12</v>
      </c>
      <c r="O5" s="171">
        <v>12</v>
      </c>
      <c r="P5" s="171">
        <v>12</v>
      </c>
    </row>
    <row r="6" spans="2:16" x14ac:dyDescent="0.2">
      <c r="B6" s="210"/>
      <c r="C6" s="210"/>
      <c r="D6" s="210"/>
      <c r="E6" s="210"/>
      <c r="F6" s="210"/>
      <c r="G6" s="214"/>
      <c r="H6" s="214"/>
      <c r="I6" s="214"/>
      <c r="J6" s="214"/>
      <c r="K6" s="213"/>
      <c r="L6" s="213"/>
      <c r="M6" s="213"/>
      <c r="N6" s="213"/>
      <c r="O6" s="213"/>
      <c r="P6" s="213"/>
    </row>
    <row r="7" spans="2:16" x14ac:dyDescent="0.2">
      <c r="B7" s="295" t="s">
        <v>31</v>
      </c>
      <c r="C7" s="289">
        <f>'BS Input'!C45</f>
        <v>31326</v>
      </c>
      <c r="D7" s="289">
        <f>'BS Input'!D45</f>
        <v>32637</v>
      </c>
      <c r="E7" s="289">
        <f>'BS Input'!E45</f>
        <v>31602</v>
      </c>
      <c r="F7" s="289">
        <f>'BS Input'!F45</f>
        <v>33226</v>
      </c>
      <c r="G7" s="290">
        <f>-G14*'Income Statement'!G7/360</f>
        <v>54366.278927837666</v>
      </c>
      <c r="H7" s="290">
        <f>-H14*'Income Statement'!H7/360</f>
        <v>61928.620776825126</v>
      </c>
      <c r="I7" s="290">
        <f>-I14*'Income Statement'!I7/360</f>
        <v>70564.609705624607</v>
      </c>
      <c r="J7" s="290">
        <f>-J14*'Income Statement'!J7/360</f>
        <v>80429.714577188381</v>
      </c>
      <c r="K7" s="290">
        <f>-K14*'Income Statement'!K7/360</f>
        <v>91702.351125742323</v>
      </c>
      <c r="L7" s="290">
        <f>-L14*'Income Statement'!L7/360</f>
        <v>104587.33215417762</v>
      </c>
      <c r="M7" s="290">
        <f>-M14*'Income Statement'!M7/360</f>
        <v>119319.84589126967</v>
      </c>
      <c r="N7" s="290">
        <f>-N14*'Income Statement'!N7/360</f>
        <v>136170.04478310648</v>
      </c>
      <c r="O7" s="290">
        <f>-O14*'Income Statement'!O7/360</f>
        <v>155448.34002877746</v>
      </c>
      <c r="P7" s="290">
        <f>-P14*'Income Statement'!P7/360</f>
        <v>177511.51230583002</v>
      </c>
    </row>
    <row r="8" spans="2:16" x14ac:dyDescent="0.2">
      <c r="B8" s="295" t="s">
        <v>16</v>
      </c>
      <c r="C8" s="289">
        <f>'BS Input'!C46</f>
        <v>13234</v>
      </c>
      <c r="D8" s="289">
        <f>'BS Input'!D46</f>
        <v>12026</v>
      </c>
      <c r="E8" s="289">
        <f>'BS Input'!E46</f>
        <v>14654</v>
      </c>
      <c r="F8" s="289">
        <f>'BS Input'!F46</f>
        <v>23128</v>
      </c>
      <c r="G8" s="290">
        <f>G13*'Income Statement'!G6/360</f>
        <v>26276.869250223837</v>
      </c>
      <c r="H8" s="290">
        <f>H13*'Income Statement'!H6/360</f>
        <v>29931.978113846842</v>
      </c>
      <c r="I8" s="290">
        <f>I13*'Income Statement'!I6/360</f>
        <v>34106.013129736973</v>
      </c>
      <c r="J8" s="290">
        <f>J13*'Income Statement'!J6/360</f>
        <v>38874.117108195846</v>
      </c>
      <c r="K8" s="290">
        <f>K13*'Income Statement'!K6/360</f>
        <v>44322.523777425798</v>
      </c>
      <c r="L8" s="290">
        <f>L13*'Income Statement'!L6/360</f>
        <v>50550.22536842883</v>
      </c>
      <c r="M8" s="290">
        <f>M13*'Income Statement'!M6/360</f>
        <v>57670.895475546859</v>
      </c>
      <c r="N8" s="290">
        <f>N13*'Income Statement'!N6/360</f>
        <v>65815.106958344273</v>
      </c>
      <c r="O8" s="290">
        <f>O13*'Income Statement'!O6/360</f>
        <v>75132.890951067049</v>
      </c>
      <c r="P8" s="290">
        <f>P13*'Income Statement'!P6/360</f>
        <v>85796.690361337503</v>
      </c>
    </row>
    <row r="9" spans="2:16" x14ac:dyDescent="0.2">
      <c r="B9" s="258" t="s">
        <v>24</v>
      </c>
      <c r="C9" s="289">
        <f>'BS Input'!C24</f>
        <v>74089</v>
      </c>
      <c r="D9" s="289">
        <f>'BS Input'!D24</f>
        <v>83692</v>
      </c>
      <c r="E9" s="289">
        <f>'BS Input'!E24</f>
        <v>104993</v>
      </c>
      <c r="F9" s="289">
        <f>'BS Input'!F24</f>
        <v>96377</v>
      </c>
      <c r="G9" s="290">
        <f>-G15*'Income Statement'!G7/360</f>
        <v>107428.40491655523</v>
      </c>
      <c r="H9" s="290">
        <f>-H15*'Income Statement'!H7/360</f>
        <v>122371.68112180701</v>
      </c>
      <c r="I9" s="290">
        <f>-I15*'Income Statement'!I7/360</f>
        <v>139436.49655141169</v>
      </c>
      <c r="J9" s="290">
        <f>-J15*'Income Statement'!J7/360</f>
        <v>158930.05950232354</v>
      </c>
      <c r="K9" s="290">
        <f>-K15*'Income Statement'!K7/360</f>
        <v>181204.92155831636</v>
      </c>
      <c r="L9" s="290">
        <f>-L15*'Income Statement'!L7/360</f>
        <v>206665.79522050309</v>
      </c>
      <c r="M9" s="290">
        <f>-M15*'Income Statement'!M7/360</f>
        <v>235777.41518786925</v>
      </c>
      <c r="N9" s="290">
        <f>-N15*'Income Statement'!N7/360</f>
        <v>269073.60586296523</v>
      </c>
      <c r="O9" s="290">
        <f>-O15*'Income Statement'!O7/360</f>
        <v>307167.74341653596</v>
      </c>
      <c r="P9" s="290">
        <f>-P15*'Income Statement'!P7/360</f>
        <v>350764.8306527065</v>
      </c>
    </row>
    <row r="10" spans="2:16" ht="13.5" thickBot="1" x14ac:dyDescent="0.25">
      <c r="B10" s="296" t="s">
        <v>244</v>
      </c>
      <c r="C10" s="297">
        <f>C7+C8-C9</f>
        <v>-29529</v>
      </c>
      <c r="D10" s="297">
        <f>D7+D8-D9</f>
        <v>-39029</v>
      </c>
      <c r="E10" s="297">
        <f t="shared" ref="E10:P10" si="1">E7+E8-E9</f>
        <v>-58737</v>
      </c>
      <c r="F10" s="297">
        <f t="shared" si="1"/>
        <v>-40023</v>
      </c>
      <c r="G10" s="297">
        <f t="shared" si="1"/>
        <v>-26785.256738493728</v>
      </c>
      <c r="H10" s="297">
        <f t="shared" si="1"/>
        <v>-30511.082231135035</v>
      </c>
      <c r="I10" s="297">
        <f t="shared" si="1"/>
        <v>-34765.873716050119</v>
      </c>
      <c r="J10" s="297">
        <f t="shared" si="1"/>
        <v>-39626.22781693931</v>
      </c>
      <c r="K10" s="297">
        <f t="shared" si="1"/>
        <v>-45180.046655148239</v>
      </c>
      <c r="L10" s="297">
        <f t="shared" si="1"/>
        <v>-51528.237697896635</v>
      </c>
      <c r="M10" s="297">
        <f t="shared" si="1"/>
        <v>-58786.67382105274</v>
      </c>
      <c r="N10" s="297">
        <f t="shared" si="1"/>
        <v>-67088.454121514456</v>
      </c>
      <c r="O10" s="297">
        <f t="shared" si="1"/>
        <v>-76586.512436691439</v>
      </c>
      <c r="P10" s="297">
        <f t="shared" si="1"/>
        <v>-87456.627985538973</v>
      </c>
    </row>
    <row r="11" spans="2:16" x14ac:dyDescent="0.2">
      <c r="B11" s="90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283"/>
      <c r="O11" s="283"/>
      <c r="P11" s="283"/>
    </row>
    <row r="12" spans="2:16" x14ac:dyDescent="0.2">
      <c r="B12" s="284" t="s">
        <v>200</v>
      </c>
      <c r="C12" s="285"/>
      <c r="D12" s="285"/>
      <c r="E12" s="285"/>
      <c r="F12" s="285"/>
      <c r="G12" s="285"/>
      <c r="H12" s="285"/>
      <c r="I12" s="285"/>
      <c r="J12" s="285"/>
      <c r="K12" s="286"/>
      <c r="L12" s="286"/>
      <c r="M12" s="286"/>
      <c r="N12" s="286"/>
      <c r="O12" s="286"/>
      <c r="P12" s="286"/>
    </row>
    <row r="13" spans="2:16" x14ac:dyDescent="0.2">
      <c r="B13" s="287" t="s">
        <v>210</v>
      </c>
      <c r="C13" s="288">
        <f>'BS Input'!C46/'P&amp;L Input'!C6*360</f>
        <v>8.272829880706384</v>
      </c>
      <c r="D13" s="288">
        <f>'BS Input'!D46/'P&amp;L Input'!D6*360</f>
        <v>6.358757435558493</v>
      </c>
      <c r="E13" s="288">
        <f>'BS Input'!E46/'P&amp;L Input'!E6*360</f>
        <v>6.6100484404092752</v>
      </c>
      <c r="F13" s="288">
        <f>'BS Input'!F46/'P&amp;L Input'!F6*360</f>
        <v>9.6737830913748937</v>
      </c>
      <c r="G13" s="383">
        <f>MAX(C13:F13)</f>
        <v>9.6737830913748937</v>
      </c>
      <c r="H13" s="383">
        <f t="shared" ref="H13" si="2">G13</f>
        <v>9.6737830913748937</v>
      </c>
      <c r="I13" s="383">
        <f>H13</f>
        <v>9.6737830913748937</v>
      </c>
      <c r="J13" s="383">
        <f t="shared" ref="J13:P13" si="3">I13</f>
        <v>9.6737830913748937</v>
      </c>
      <c r="K13" s="383">
        <f t="shared" si="3"/>
        <v>9.6737830913748937</v>
      </c>
      <c r="L13" s="383">
        <f t="shared" si="3"/>
        <v>9.6737830913748937</v>
      </c>
      <c r="M13" s="383">
        <f t="shared" si="3"/>
        <v>9.6737830913748937</v>
      </c>
      <c r="N13" s="383">
        <f t="shared" si="3"/>
        <v>9.6737830913748937</v>
      </c>
      <c r="O13" s="383">
        <f t="shared" si="3"/>
        <v>9.6737830913748937</v>
      </c>
      <c r="P13" s="383">
        <f t="shared" si="3"/>
        <v>9.6737830913748937</v>
      </c>
    </row>
    <row r="14" spans="2:16" x14ac:dyDescent="0.2">
      <c r="B14" s="287" t="s">
        <v>211</v>
      </c>
      <c r="C14" s="288">
        <f>'BS Input'!C45/SUM('P&amp;L Input'!C12:C14)*360</f>
        <v>29.135947915051929</v>
      </c>
      <c r="D14" s="288">
        <f>'BS Input'!D45/SUM('P&amp;L Input'!D12:D14)*360</f>
        <v>25.136429179627829</v>
      </c>
      <c r="E14" s="288">
        <f>'BS Input'!E45/SUM('P&amp;L Input'!E12:E14)*360</f>
        <v>20.690174425900363</v>
      </c>
      <c r="F14" s="288">
        <f>'BS Input'!F45/SUM('P&amp;L Input'!F12:F14)*360</f>
        <v>19.84830055804553</v>
      </c>
      <c r="G14" s="383">
        <f>MAX(C14:F14)</f>
        <v>29.135947915051929</v>
      </c>
      <c r="H14" s="383">
        <f t="shared" ref="H14" si="4">G14</f>
        <v>29.135947915051929</v>
      </c>
      <c r="I14" s="383">
        <f t="shared" ref="I14:P15" si="5">H14</f>
        <v>29.135947915051929</v>
      </c>
      <c r="J14" s="383">
        <f t="shared" si="5"/>
        <v>29.135947915051929</v>
      </c>
      <c r="K14" s="383">
        <f t="shared" si="5"/>
        <v>29.135947915051929</v>
      </c>
      <c r="L14" s="383">
        <f t="shared" si="5"/>
        <v>29.135947915051929</v>
      </c>
      <c r="M14" s="383">
        <f t="shared" si="5"/>
        <v>29.135947915051929</v>
      </c>
      <c r="N14" s="383">
        <f t="shared" si="5"/>
        <v>29.135947915051929</v>
      </c>
      <c r="O14" s="383">
        <f t="shared" si="5"/>
        <v>29.135947915051929</v>
      </c>
      <c r="P14" s="383">
        <f t="shared" si="5"/>
        <v>29.135947915051929</v>
      </c>
    </row>
    <row r="15" spans="2:16" x14ac:dyDescent="0.2">
      <c r="B15" s="287" t="s">
        <v>212</v>
      </c>
      <c r="C15" s="288">
        <f>'BS Input'!C24/SUM('P&amp;L Input'!C12:C14)*360</f>
        <v>68.909316385056584</v>
      </c>
      <c r="D15" s="288">
        <f>'BS Input'!D24/SUM('P&amp;L Input'!D12:D14)*360</f>
        <v>64.4580700095417</v>
      </c>
      <c r="E15" s="288">
        <f>'BS Input'!E24/SUM('P&amp;L Input'!E12:E14)*360</f>
        <v>68.740063397840544</v>
      </c>
      <c r="F15" s="288">
        <f>'BS Input'!F24/SUM('P&amp;L Input'!F12:F14)*360</f>
        <v>57.572974865549696</v>
      </c>
      <c r="G15" s="383">
        <f>MIN(C15:F15)</f>
        <v>57.572974865549696</v>
      </c>
      <c r="H15" s="383">
        <f t="shared" ref="H15" si="6">G15</f>
        <v>57.572974865549696</v>
      </c>
      <c r="I15" s="383">
        <f t="shared" si="5"/>
        <v>57.572974865549696</v>
      </c>
      <c r="J15" s="383">
        <f t="shared" si="5"/>
        <v>57.572974865549696</v>
      </c>
      <c r="K15" s="383">
        <f t="shared" si="5"/>
        <v>57.572974865549696</v>
      </c>
      <c r="L15" s="383">
        <f t="shared" si="5"/>
        <v>57.572974865549696</v>
      </c>
      <c r="M15" s="383">
        <f t="shared" si="5"/>
        <v>57.572974865549696</v>
      </c>
      <c r="N15" s="383">
        <f t="shared" si="5"/>
        <v>57.572974865549696</v>
      </c>
      <c r="O15" s="383">
        <f t="shared" si="5"/>
        <v>57.572974865549696</v>
      </c>
      <c r="P15" s="383">
        <f t="shared" si="5"/>
        <v>57.572974865549696</v>
      </c>
    </row>
    <row r="16" spans="2:16" x14ac:dyDescent="0.2">
      <c r="B16" s="237" t="s">
        <v>243</v>
      </c>
      <c r="C16" s="298">
        <f>C13+C14-C15</f>
        <v>-31.500538589298273</v>
      </c>
      <c r="D16" s="298">
        <f t="shared" ref="D16:F16" si="7">D13+D14-D15</f>
        <v>-32.96288339435538</v>
      </c>
      <c r="E16" s="298">
        <f t="shared" si="7"/>
        <v>-41.439840531530905</v>
      </c>
      <c r="F16" s="298">
        <f t="shared" si="7"/>
        <v>-28.050891216129273</v>
      </c>
      <c r="G16" s="298">
        <f>G13+G14-G15</f>
        <v>-18.763243859122873</v>
      </c>
      <c r="H16" s="298">
        <f>H13+H14-H15</f>
        <v>-18.763243859122873</v>
      </c>
      <c r="I16" s="298">
        <f>I13+I14-I15</f>
        <v>-18.763243859122873</v>
      </c>
      <c r="J16" s="298">
        <f t="shared" ref="J16:P16" si="8">J13+J14-J15</f>
        <v>-18.763243859122873</v>
      </c>
      <c r="K16" s="298">
        <f t="shared" si="8"/>
        <v>-18.763243859122873</v>
      </c>
      <c r="L16" s="298">
        <f t="shared" si="8"/>
        <v>-18.763243859122873</v>
      </c>
      <c r="M16" s="298">
        <f t="shared" si="8"/>
        <v>-18.763243859122873</v>
      </c>
      <c r="N16" s="298">
        <f t="shared" si="8"/>
        <v>-18.763243859122873</v>
      </c>
      <c r="O16" s="298">
        <f t="shared" si="8"/>
        <v>-18.763243859122873</v>
      </c>
      <c r="P16" s="298">
        <f t="shared" si="8"/>
        <v>-18.763243859122873</v>
      </c>
    </row>
    <row r="17" spans="2:16" x14ac:dyDescent="0.2">
      <c r="B17" s="258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</row>
    <row r="18" spans="2:16" x14ac:dyDescent="0.2">
      <c r="B18" s="258" t="s">
        <v>19</v>
      </c>
      <c r="C18" s="289">
        <f>'BS Input'!C22</f>
        <v>7956</v>
      </c>
      <c r="D18" s="289">
        <f>'BS Input'!D22</f>
        <v>8036</v>
      </c>
      <c r="E18" s="289">
        <f>'BS Input'!E22</f>
        <v>8541</v>
      </c>
      <c r="F18" s="289">
        <f>'BS Input'!F22</f>
        <v>6729</v>
      </c>
      <c r="G18" s="290">
        <f>G19*'Income Statement'!G$6</f>
        <v>10790.265708925504</v>
      </c>
      <c r="H18" s="290">
        <f>H19*'Income Statement'!H$6</f>
        <v>12291.190170586971</v>
      </c>
      <c r="I18" s="290">
        <f>I19*'Income Statement'!I$6</f>
        <v>14005.205126894218</v>
      </c>
      <c r="J18" s="290">
        <f>J19*'Income Statement'!J$6</f>
        <v>15963.167027356074</v>
      </c>
      <c r="K18" s="290">
        <f>K19*'Income Statement'!K$6</f>
        <v>18200.486667357411</v>
      </c>
      <c r="L18" s="290">
        <f>L19*'Income Statement'!L$6</f>
        <v>20757.813960914213</v>
      </c>
      <c r="M18" s="290">
        <f>M19*'Income Statement'!M$6</f>
        <v>23681.827539158585</v>
      </c>
      <c r="N18" s="290">
        <f>N19*'Income Statement'!N$6</f>
        <v>27026.145503838405</v>
      </c>
      <c r="O18" s="290">
        <f>O19*'Income Statement'!O$6</f>
        <v>30852.376252351001</v>
      </c>
      <c r="P18" s="290">
        <f>P19*'Income Statement'!P$6</f>
        <v>35231.331294817523</v>
      </c>
    </row>
    <row r="19" spans="2:16" x14ac:dyDescent="0.2">
      <c r="B19" s="258"/>
      <c r="C19" s="291">
        <f>C18/'Income Statement'!C6</f>
        <v>1.3815138307662922E-2</v>
      </c>
      <c r="D19" s="291">
        <f>D18/'Income Statement'!D6</f>
        <v>1.1802893442021003E-2</v>
      </c>
      <c r="E19" s="291">
        <f>E18/'Income Statement'!E6</f>
        <v>1.0701746912017883E-2</v>
      </c>
      <c r="F19" s="291">
        <f>F18/'Income Statement'!F6</f>
        <v>7.818191324352115E-3</v>
      </c>
      <c r="G19" s="292">
        <f>AVERAGE(C19:F19)</f>
        <v>1.1034492496513481E-2</v>
      </c>
      <c r="H19" s="292">
        <f t="shared" ref="H19" si="9">G19</f>
        <v>1.1034492496513481E-2</v>
      </c>
      <c r="I19" s="292">
        <f t="shared" ref="I19" si="10">H19</f>
        <v>1.1034492496513481E-2</v>
      </c>
      <c r="J19" s="292">
        <f t="shared" ref="J19" si="11">I19</f>
        <v>1.1034492496513481E-2</v>
      </c>
      <c r="K19" s="292">
        <f t="shared" ref="K19" si="12">J19</f>
        <v>1.1034492496513481E-2</v>
      </c>
      <c r="L19" s="292">
        <f t="shared" ref="L19" si="13">K19</f>
        <v>1.1034492496513481E-2</v>
      </c>
      <c r="M19" s="292">
        <f t="shared" ref="M19" si="14">L19</f>
        <v>1.1034492496513481E-2</v>
      </c>
      <c r="N19" s="292">
        <f t="shared" ref="N19" si="15">M19</f>
        <v>1.1034492496513481E-2</v>
      </c>
      <c r="O19" s="292">
        <f t="shared" ref="O19" si="16">N19</f>
        <v>1.1034492496513481E-2</v>
      </c>
      <c r="P19" s="292">
        <f t="shared" ref="P19" si="17">O19</f>
        <v>1.1034492496513481E-2</v>
      </c>
    </row>
    <row r="20" spans="2:16" x14ac:dyDescent="0.2">
      <c r="B20" s="258" t="s">
        <v>23</v>
      </c>
      <c r="C20" s="289">
        <f>'BS Input'!C23</f>
        <v>774</v>
      </c>
      <c r="D20" s="289">
        <f>'BS Input'!D23</f>
        <v>4836</v>
      </c>
      <c r="E20" s="289">
        <f>'BS Input'!E23</f>
        <v>1108</v>
      </c>
      <c r="F20" s="289">
        <f>'BS Input'!F23</f>
        <v>1496</v>
      </c>
      <c r="G20" s="290">
        <f>G21*'Income Statement'!G$6</f>
        <v>2829.2993697022512</v>
      </c>
      <c r="H20" s="290">
        <f>H21*'Income Statement'!H$6</f>
        <v>3222.8545191214912</v>
      </c>
      <c r="I20" s="290">
        <f>I21*'Income Statement'!I$6</f>
        <v>3672.2838071814631</v>
      </c>
      <c r="J20" s="290">
        <f>J21*'Income Statement'!J$6</f>
        <v>4185.6780571762019</v>
      </c>
      <c r="K20" s="290">
        <f>K21*'Income Statement'!K$6</f>
        <v>4772.3222805934392</v>
      </c>
      <c r="L20" s="290">
        <f>L21*'Income Statement'!L$6</f>
        <v>5442.8752303505144</v>
      </c>
      <c r="M20" s="290">
        <f>M21*'Income Statement'!M$6</f>
        <v>6209.5764402275272</v>
      </c>
      <c r="N20" s="290">
        <f>N21*'Income Statement'!N$6</f>
        <v>7086.48503217496</v>
      </c>
      <c r="O20" s="290">
        <f>O21*'Income Statement'!O$6</f>
        <v>8089.7552515679226</v>
      </c>
      <c r="P20" s="290">
        <f>P21*'Income Statement'!P$6</f>
        <v>9237.9544781501536</v>
      </c>
    </row>
    <row r="21" spans="2:16" x14ac:dyDescent="0.2">
      <c r="B21" s="293"/>
      <c r="C21" s="294">
        <f>C20/'Income Statement'!C6</f>
        <v>1.3440066679400581E-3</v>
      </c>
      <c r="D21" s="294">
        <f>D20/'Income Statement'!D6</f>
        <v>7.1028860982595282E-3</v>
      </c>
      <c r="E21" s="294">
        <f>E20/'Income Statement'!E6</f>
        <v>1.3883076429593506E-3</v>
      </c>
      <c r="F21" s="294">
        <f>F20/'Income Statement'!F6</f>
        <v>1.7381504266950163E-3</v>
      </c>
      <c r="G21" s="292">
        <f>AVERAGE(C21:F21)</f>
        <v>2.8933377089634883E-3</v>
      </c>
      <c r="H21" s="292">
        <f t="shared" ref="H21" si="18">G21</f>
        <v>2.8933377089634883E-3</v>
      </c>
      <c r="I21" s="292">
        <f t="shared" ref="I21" si="19">H21</f>
        <v>2.8933377089634883E-3</v>
      </c>
      <c r="J21" s="292">
        <f t="shared" ref="J21" si="20">I21</f>
        <v>2.8933377089634883E-3</v>
      </c>
      <c r="K21" s="292">
        <f t="shared" ref="K21" si="21">J21</f>
        <v>2.8933377089634883E-3</v>
      </c>
      <c r="L21" s="292">
        <f t="shared" ref="L21" si="22">K21</f>
        <v>2.8933377089634883E-3</v>
      </c>
      <c r="M21" s="292">
        <f t="shared" ref="M21" si="23">L21</f>
        <v>2.8933377089634883E-3</v>
      </c>
      <c r="N21" s="292">
        <f t="shared" ref="N21" si="24">M21</f>
        <v>2.8933377089634883E-3</v>
      </c>
      <c r="O21" s="292">
        <f t="shared" ref="O21" si="25">N21</f>
        <v>2.8933377089634883E-3</v>
      </c>
      <c r="P21" s="292">
        <f t="shared" ref="P21" si="26">O21</f>
        <v>2.8933377089634883E-3</v>
      </c>
    </row>
    <row r="22" spans="2:16" x14ac:dyDescent="0.2">
      <c r="B22" s="258" t="s">
        <v>26</v>
      </c>
      <c r="C22" s="289">
        <f>'Balance Sheet'!C23</f>
        <v>35578</v>
      </c>
      <c r="D22" s="289">
        <f>'Balance Sheet'!D23</f>
        <v>43840</v>
      </c>
      <c r="E22" s="289">
        <f>'Balance Sheet'!E23</f>
        <v>48384</v>
      </c>
      <c r="F22" s="289">
        <f>'Balance Sheet'!F23</f>
        <v>43732</v>
      </c>
      <c r="G22" s="290">
        <f>G23*'Income Statement'!G$6</f>
        <v>58086.370806380983</v>
      </c>
      <c r="H22" s="290">
        <f>H23*'Income Statement'!H$6</f>
        <v>66166.176919062651</v>
      </c>
      <c r="I22" s="290">
        <f>I23*'Income Statement'!I$6</f>
        <v>75393.095977913137</v>
      </c>
      <c r="J22" s="290">
        <f>J23*'Income Statement'!J$6</f>
        <v>85933.235029439718</v>
      </c>
      <c r="K22" s="290">
        <f>K23*'Income Statement'!K$6</f>
        <v>97977.218164536927</v>
      </c>
      <c r="L22" s="290">
        <f>L23*'Income Statement'!L$6</f>
        <v>111743.8728006637</v>
      </c>
      <c r="M22" s="290">
        <f>M23*'Income Statement'!M$6</f>
        <v>127484.48026395375</v>
      </c>
      <c r="N22" s="290">
        <f>N23*'Income Statement'!N$6</f>
        <v>145487.67857538603</v>
      </c>
      <c r="O22" s="290">
        <f>O23*'Income Statement'!O$6</f>
        <v>166085.11927279507</v>
      </c>
      <c r="P22" s="290">
        <f>P23*'Income Statement'!P$6</f>
        <v>189657.99627162397</v>
      </c>
    </row>
    <row r="23" spans="2:16" x14ac:dyDescent="0.2">
      <c r="B23" s="293"/>
      <c r="C23" s="294">
        <f>C22/'Income Statement'!C6</f>
        <v>6.1779159214433312E-2</v>
      </c>
      <c r="D23" s="294">
        <f>D22/'Income Statement'!D6</f>
        <v>6.4390100609532208E-2</v>
      </c>
      <c r="E23" s="294">
        <f>E22/'Income Statement'!E6</f>
        <v>6.0624437722874749E-2</v>
      </c>
      <c r="F23" s="294">
        <f>F22/'Income Statement'!F6</f>
        <v>5.0810691484108585E-2</v>
      </c>
      <c r="G23" s="292">
        <f>AVERAGE(C23:F23)</f>
        <v>5.9401097257737213E-2</v>
      </c>
      <c r="H23" s="292">
        <f t="shared" ref="H23" si="27">G23</f>
        <v>5.9401097257737213E-2</v>
      </c>
      <c r="I23" s="292">
        <f t="shared" ref="I23" si="28">H23</f>
        <v>5.9401097257737213E-2</v>
      </c>
      <c r="J23" s="292">
        <f t="shared" ref="J23" si="29">I23</f>
        <v>5.9401097257737213E-2</v>
      </c>
      <c r="K23" s="292">
        <f t="shared" ref="K23" si="30">J23</f>
        <v>5.9401097257737213E-2</v>
      </c>
      <c r="L23" s="292">
        <f t="shared" ref="L23" si="31">K23</f>
        <v>5.9401097257737213E-2</v>
      </c>
      <c r="M23" s="292">
        <f t="shared" ref="M23" si="32">L23</f>
        <v>5.9401097257737213E-2</v>
      </c>
      <c r="N23" s="292">
        <f t="shared" ref="N23" si="33">M23</f>
        <v>5.9401097257737213E-2</v>
      </c>
      <c r="O23" s="292">
        <f t="shared" ref="O23" si="34">N23</f>
        <v>5.9401097257737213E-2</v>
      </c>
      <c r="P23" s="292">
        <f t="shared" ref="P23" si="35">O23</f>
        <v>5.9401097257737213E-2</v>
      </c>
    </row>
  </sheetData>
  <pageMargins left="0.7" right="0.7" top="0.75" bottom="0.75" header="0.3" footer="0.3"/>
  <pageSetup paperSize="9" orientation="portrait" r:id="rId1"/>
  <ignoredErrors>
    <ignoredError sqref="C14:F14 C15:E15" formulaRange="1"/>
    <ignoredError sqref="C20:F20 C22:F22 G21:P21 G19:P19 G22:P22 G20:P2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I32"/>
  <sheetViews>
    <sheetView workbookViewId="0">
      <selection activeCell="E8" sqref="E8"/>
    </sheetView>
  </sheetViews>
  <sheetFormatPr defaultRowHeight="15" x14ac:dyDescent="0.25"/>
  <cols>
    <col min="1" max="1" width="23" bestFit="1" customWidth="1"/>
    <col min="2" max="3" width="8.140625" bestFit="1" customWidth="1"/>
    <col min="4" max="4" width="10.140625" bestFit="1" customWidth="1"/>
    <col min="5" max="5" width="9.140625" bestFit="1" customWidth="1"/>
    <col min="6" max="6" width="8.140625" bestFit="1" customWidth="1"/>
    <col min="7" max="7" width="8.5703125" bestFit="1" customWidth="1"/>
    <col min="8" max="8" width="7.5703125" bestFit="1" customWidth="1"/>
    <col min="9" max="9" width="9.140625" bestFit="1" customWidth="1"/>
  </cols>
  <sheetData>
    <row r="1" spans="1:9" x14ac:dyDescent="0.25">
      <c r="C1" s="39"/>
      <c r="D1" s="39"/>
      <c r="E1" s="39"/>
      <c r="F1" s="39"/>
      <c r="G1" s="39"/>
      <c r="H1" s="39"/>
      <c r="I1" s="39"/>
    </row>
    <row r="2" spans="1:9" ht="53.45" customHeight="1" x14ac:dyDescent="0.25">
      <c r="B2" s="41" t="s">
        <v>115</v>
      </c>
      <c r="C2" s="41" t="s">
        <v>116</v>
      </c>
      <c r="D2" s="41" t="s">
        <v>112</v>
      </c>
      <c r="E2" s="41" t="s">
        <v>117</v>
      </c>
      <c r="F2" s="41" t="s">
        <v>111</v>
      </c>
      <c r="G2" s="41" t="s">
        <v>118</v>
      </c>
      <c r="H2" s="41" t="s">
        <v>113</v>
      </c>
      <c r="I2" s="41" t="s">
        <v>12</v>
      </c>
    </row>
    <row r="3" spans="1:9" x14ac:dyDescent="0.25">
      <c r="A3" s="44" t="s">
        <v>119</v>
      </c>
      <c r="C3" s="39"/>
      <c r="D3" s="39"/>
      <c r="E3" s="39"/>
      <c r="F3" s="39"/>
      <c r="G3" s="39"/>
      <c r="H3" s="39"/>
      <c r="I3" s="39"/>
    </row>
    <row r="4" spans="1:9" x14ac:dyDescent="0.25">
      <c r="A4" s="42" t="s">
        <v>124</v>
      </c>
      <c r="B4" s="40">
        <v>19039</v>
      </c>
      <c r="C4" s="47">
        <v>525</v>
      </c>
      <c r="D4" s="47">
        <v>18280</v>
      </c>
      <c r="E4" s="47">
        <v>138833</v>
      </c>
      <c r="F4" s="47">
        <v>1344</v>
      </c>
      <c r="G4" s="47">
        <v>1391</v>
      </c>
      <c r="H4" s="47">
        <v>1295</v>
      </c>
      <c r="I4" s="47">
        <v>180707</v>
      </c>
    </row>
    <row r="5" spans="1:9" x14ac:dyDescent="0.25">
      <c r="A5" s="43" t="s">
        <v>114</v>
      </c>
      <c r="B5" s="38">
        <v>12364</v>
      </c>
      <c r="C5" s="48">
        <v>0</v>
      </c>
      <c r="D5" s="48">
        <v>1491</v>
      </c>
      <c r="E5" s="48">
        <v>12949</v>
      </c>
      <c r="F5" s="48">
        <v>382</v>
      </c>
      <c r="G5" s="48">
        <v>664</v>
      </c>
      <c r="H5" s="48">
        <v>692</v>
      </c>
      <c r="I5" s="48">
        <v>28542</v>
      </c>
    </row>
    <row r="6" spans="1:9" x14ac:dyDescent="0.25">
      <c r="A6" s="43" t="s">
        <v>120</v>
      </c>
      <c r="B6" s="38">
        <v>0</v>
      </c>
      <c r="C6" s="48">
        <v>0</v>
      </c>
      <c r="D6" s="48">
        <v>-7</v>
      </c>
      <c r="E6" s="48">
        <v>-1013</v>
      </c>
      <c r="F6" s="48">
        <v>-9</v>
      </c>
      <c r="G6" s="48">
        <v>-2</v>
      </c>
      <c r="H6" s="48">
        <v>-377</v>
      </c>
      <c r="I6" s="48">
        <v>-1408</v>
      </c>
    </row>
    <row r="7" spans="1:9" s="43" customFormat="1" x14ac:dyDescent="0.25">
      <c r="A7" s="42" t="s">
        <v>121</v>
      </c>
      <c r="B7" s="40">
        <f t="shared" ref="B7:I7" si="0">SUM(B4:B6)</f>
        <v>31403</v>
      </c>
      <c r="C7" s="47">
        <f t="shared" si="0"/>
        <v>525</v>
      </c>
      <c r="D7" s="47">
        <f t="shared" si="0"/>
        <v>19764</v>
      </c>
      <c r="E7" s="47">
        <f t="shared" si="0"/>
        <v>150769</v>
      </c>
      <c r="F7" s="47">
        <f t="shared" si="0"/>
        <v>1717</v>
      </c>
      <c r="G7" s="47">
        <f t="shared" si="0"/>
        <v>2053</v>
      </c>
      <c r="H7" s="47">
        <f t="shared" si="0"/>
        <v>1610</v>
      </c>
      <c r="I7" s="47">
        <f t="shared" si="0"/>
        <v>207841</v>
      </c>
    </row>
    <row r="8" spans="1:9" x14ac:dyDescent="0.25">
      <c r="A8" s="43" t="s">
        <v>114</v>
      </c>
      <c r="B8" s="38">
        <v>8382</v>
      </c>
      <c r="C8" s="48">
        <v>0</v>
      </c>
      <c r="D8" s="48">
        <v>3516</v>
      </c>
      <c r="E8" s="48">
        <v>36707</v>
      </c>
      <c r="F8" s="48">
        <v>396</v>
      </c>
      <c r="G8" s="48">
        <v>500</v>
      </c>
      <c r="H8" s="48">
        <v>736</v>
      </c>
      <c r="I8" s="48">
        <v>50237</v>
      </c>
    </row>
    <row r="9" spans="1:9" x14ac:dyDescent="0.25">
      <c r="A9" s="43" t="s">
        <v>120</v>
      </c>
      <c r="B9" s="38">
        <v>-1366</v>
      </c>
      <c r="C9" s="48">
        <v>0</v>
      </c>
      <c r="D9" s="48">
        <v>-25</v>
      </c>
      <c r="E9" s="48">
        <v>-2040</v>
      </c>
      <c r="F9" s="48">
        <v>-40</v>
      </c>
      <c r="G9" s="48">
        <v>134</v>
      </c>
      <c r="H9" s="48">
        <v>-518</v>
      </c>
      <c r="I9" s="48">
        <v>-3855</v>
      </c>
    </row>
    <row r="10" spans="1:9" s="43" customFormat="1" x14ac:dyDescent="0.25">
      <c r="A10" s="42" t="s">
        <v>122</v>
      </c>
      <c r="B10" s="40">
        <f t="shared" ref="B10:I10" si="1">SUM(B7:B9)</f>
        <v>38419</v>
      </c>
      <c r="C10" s="47">
        <f t="shared" si="1"/>
        <v>525</v>
      </c>
      <c r="D10" s="47">
        <f t="shared" si="1"/>
        <v>23255</v>
      </c>
      <c r="E10" s="47">
        <f t="shared" si="1"/>
        <v>185436</v>
      </c>
      <c r="F10" s="47">
        <f t="shared" si="1"/>
        <v>2073</v>
      </c>
      <c r="G10" s="47">
        <f t="shared" si="1"/>
        <v>2687</v>
      </c>
      <c r="H10" s="47">
        <f t="shared" si="1"/>
        <v>1828</v>
      </c>
      <c r="I10" s="47">
        <f t="shared" si="1"/>
        <v>254223</v>
      </c>
    </row>
    <row r="11" spans="1:9" x14ac:dyDescent="0.25">
      <c r="A11" s="43"/>
      <c r="B11" s="38"/>
      <c r="C11" s="48"/>
      <c r="D11" s="48"/>
      <c r="E11" s="48"/>
      <c r="F11" s="48"/>
      <c r="G11" s="48"/>
      <c r="H11" s="48"/>
      <c r="I11" s="48"/>
    </row>
    <row r="12" spans="1:9" x14ac:dyDescent="0.25">
      <c r="A12" s="44" t="s">
        <v>123</v>
      </c>
      <c r="B12" s="38"/>
      <c r="C12" s="48"/>
      <c r="D12" s="48"/>
      <c r="E12" s="48"/>
      <c r="F12" s="48"/>
      <c r="G12" s="48"/>
      <c r="H12" s="48"/>
      <c r="I12" s="48"/>
    </row>
    <row r="13" spans="1:9" s="43" customFormat="1" x14ac:dyDescent="0.25">
      <c r="A13" s="42" t="s">
        <v>124</v>
      </c>
      <c r="B13" s="40">
        <v>0</v>
      </c>
      <c r="C13" s="47">
        <v>0</v>
      </c>
      <c r="D13" s="47">
        <v>1671</v>
      </c>
      <c r="E13" s="47">
        <v>48444</v>
      </c>
      <c r="F13" s="47">
        <v>736</v>
      </c>
      <c r="G13" s="47">
        <v>416</v>
      </c>
      <c r="H13" s="47">
        <v>243</v>
      </c>
      <c r="I13" s="47">
        <v>51510</v>
      </c>
    </row>
    <row r="14" spans="1:9" x14ac:dyDescent="0.25">
      <c r="A14" s="43" t="s">
        <v>125</v>
      </c>
      <c r="B14" s="46">
        <v>0</v>
      </c>
      <c r="C14" s="49">
        <v>0</v>
      </c>
      <c r="D14" s="48">
        <v>1194</v>
      </c>
      <c r="E14" s="48">
        <v>24384</v>
      </c>
      <c r="F14" s="48">
        <v>423</v>
      </c>
      <c r="G14" s="48">
        <v>259</v>
      </c>
      <c r="H14" s="48">
        <v>196</v>
      </c>
      <c r="I14" s="48">
        <v>26456</v>
      </c>
    </row>
    <row r="15" spans="1:9" x14ac:dyDescent="0.25">
      <c r="A15" s="43" t="s">
        <v>120</v>
      </c>
      <c r="B15" s="45">
        <v>0</v>
      </c>
      <c r="C15" s="50">
        <v>0</v>
      </c>
      <c r="D15" s="48">
        <v>-1</v>
      </c>
      <c r="E15" s="48">
        <v>-498</v>
      </c>
      <c r="F15" s="48">
        <v>-12</v>
      </c>
      <c r="G15" s="48">
        <v>-9</v>
      </c>
      <c r="H15" s="48">
        <v>-78</v>
      </c>
      <c r="I15" s="48">
        <v>-598</v>
      </c>
    </row>
    <row r="16" spans="1:9" s="43" customFormat="1" x14ac:dyDescent="0.25">
      <c r="A16" s="42" t="s">
        <v>121</v>
      </c>
      <c r="B16" s="40">
        <f t="shared" ref="B16:I16" si="2">SUM(B13:B15)</f>
        <v>0</v>
      </c>
      <c r="C16" s="47">
        <f t="shared" si="2"/>
        <v>0</v>
      </c>
      <c r="D16" s="47">
        <f t="shared" si="2"/>
        <v>2864</v>
      </c>
      <c r="E16" s="47">
        <f t="shared" si="2"/>
        <v>72330</v>
      </c>
      <c r="F16" s="47">
        <f t="shared" si="2"/>
        <v>1147</v>
      </c>
      <c r="G16" s="47">
        <f t="shared" si="2"/>
        <v>666</v>
      </c>
      <c r="H16" s="47">
        <f t="shared" si="2"/>
        <v>361</v>
      </c>
      <c r="I16" s="47">
        <f t="shared" si="2"/>
        <v>77368</v>
      </c>
    </row>
    <row r="17" spans="1:9" x14ac:dyDescent="0.25">
      <c r="A17" s="43" t="s">
        <v>125</v>
      </c>
      <c r="B17" s="46">
        <v>0</v>
      </c>
      <c r="C17" s="49">
        <v>0</v>
      </c>
      <c r="D17" s="48">
        <v>1580</v>
      </c>
      <c r="E17" s="48">
        <v>26258</v>
      </c>
      <c r="F17" s="48">
        <v>446</v>
      </c>
      <c r="G17" s="48">
        <v>405</v>
      </c>
      <c r="H17" s="48">
        <v>222</v>
      </c>
      <c r="I17" s="48">
        <v>28911</v>
      </c>
    </row>
    <row r="18" spans="1:9" x14ac:dyDescent="0.25">
      <c r="A18" s="43" t="s">
        <v>120</v>
      </c>
      <c r="B18" s="45">
        <v>0</v>
      </c>
      <c r="C18" s="50">
        <v>0</v>
      </c>
      <c r="D18" s="48">
        <v>-15</v>
      </c>
      <c r="E18" s="48">
        <v>-1448</v>
      </c>
      <c r="F18" s="48">
        <v>-39</v>
      </c>
      <c r="G18" s="48">
        <v>21</v>
      </c>
      <c r="H18" s="48">
        <v>-142</v>
      </c>
      <c r="I18" s="48">
        <v>-1623</v>
      </c>
    </row>
    <row r="19" spans="1:9" s="43" customFormat="1" x14ac:dyDescent="0.25">
      <c r="A19" s="42" t="s">
        <v>122</v>
      </c>
      <c r="B19" s="40">
        <f t="shared" ref="B19:I19" si="3">SUM(B16:B18)</f>
        <v>0</v>
      </c>
      <c r="C19" s="47">
        <f t="shared" si="3"/>
        <v>0</v>
      </c>
      <c r="D19" s="47">
        <f t="shared" si="3"/>
        <v>4429</v>
      </c>
      <c r="E19" s="47">
        <f t="shared" si="3"/>
        <v>97140</v>
      </c>
      <c r="F19" s="47">
        <f t="shared" si="3"/>
        <v>1554</v>
      </c>
      <c r="G19" s="47">
        <f t="shared" si="3"/>
        <v>1092</v>
      </c>
      <c r="H19" s="47">
        <f t="shared" si="3"/>
        <v>441</v>
      </c>
      <c r="I19" s="47">
        <f t="shared" si="3"/>
        <v>104656</v>
      </c>
    </row>
    <row r="20" spans="1:9" s="43" customFormat="1" x14ac:dyDescent="0.25">
      <c r="B20" s="38"/>
      <c r="C20" s="48"/>
      <c r="D20" s="48"/>
      <c r="E20" s="48"/>
      <c r="F20" s="48"/>
      <c r="G20" s="48"/>
      <c r="H20" s="48"/>
      <c r="I20" s="48"/>
    </row>
    <row r="21" spans="1:9" x14ac:dyDescent="0.25">
      <c r="A21" s="44" t="s">
        <v>126</v>
      </c>
      <c r="B21" s="38"/>
      <c r="C21" s="48"/>
      <c r="D21" s="48"/>
      <c r="E21" s="48"/>
      <c r="F21" s="48"/>
      <c r="G21" s="48"/>
      <c r="H21" s="48"/>
      <c r="I21" s="48"/>
    </row>
    <row r="22" spans="1:9" s="43" customFormat="1" x14ac:dyDescent="0.25">
      <c r="A22" s="42" t="s">
        <v>124</v>
      </c>
      <c r="B22" s="40">
        <f t="shared" ref="B22:I22" si="4">B4-B13</f>
        <v>19039</v>
      </c>
      <c r="C22" s="47">
        <f t="shared" si="4"/>
        <v>525</v>
      </c>
      <c r="D22" s="47">
        <f t="shared" si="4"/>
        <v>16609</v>
      </c>
      <c r="E22" s="47">
        <f t="shared" si="4"/>
        <v>90389</v>
      </c>
      <c r="F22" s="47">
        <f t="shared" si="4"/>
        <v>608</v>
      </c>
      <c r="G22" s="47">
        <f t="shared" si="4"/>
        <v>975</v>
      </c>
      <c r="H22" s="47">
        <f t="shared" si="4"/>
        <v>1052</v>
      </c>
      <c r="I22" s="47">
        <f t="shared" si="4"/>
        <v>129197</v>
      </c>
    </row>
    <row r="23" spans="1:9" x14ac:dyDescent="0.25">
      <c r="A23" s="43" t="s">
        <v>114</v>
      </c>
      <c r="B23" s="38">
        <f t="shared" ref="B23:I23" si="5">B5</f>
        <v>12364</v>
      </c>
      <c r="C23" s="48">
        <f t="shared" si="5"/>
        <v>0</v>
      </c>
      <c r="D23" s="48">
        <f t="shared" si="5"/>
        <v>1491</v>
      </c>
      <c r="E23" s="48">
        <f t="shared" si="5"/>
        <v>12949</v>
      </c>
      <c r="F23" s="48">
        <f t="shared" si="5"/>
        <v>382</v>
      </c>
      <c r="G23" s="48">
        <f t="shared" si="5"/>
        <v>664</v>
      </c>
      <c r="H23" s="48">
        <f t="shared" si="5"/>
        <v>692</v>
      </c>
      <c r="I23" s="48">
        <f t="shared" si="5"/>
        <v>28542</v>
      </c>
    </row>
    <row r="24" spans="1:9" x14ac:dyDescent="0.25">
      <c r="A24" s="43" t="s">
        <v>120</v>
      </c>
      <c r="B24" s="38">
        <f t="shared" ref="B24:I24" si="6">B6-B15</f>
        <v>0</v>
      </c>
      <c r="C24" s="48">
        <f t="shared" si="6"/>
        <v>0</v>
      </c>
      <c r="D24" s="48">
        <f t="shared" si="6"/>
        <v>-6</v>
      </c>
      <c r="E24" s="48">
        <f t="shared" si="6"/>
        <v>-515</v>
      </c>
      <c r="F24" s="48">
        <f t="shared" si="6"/>
        <v>3</v>
      </c>
      <c r="G24" s="48">
        <f t="shared" si="6"/>
        <v>7</v>
      </c>
      <c r="H24" s="48">
        <f t="shared" si="6"/>
        <v>-299</v>
      </c>
      <c r="I24" s="48">
        <f t="shared" si="6"/>
        <v>-810</v>
      </c>
    </row>
    <row r="25" spans="1:9" x14ac:dyDescent="0.25">
      <c r="A25" s="43" t="s">
        <v>125</v>
      </c>
      <c r="B25" s="38">
        <f t="shared" ref="B25:I25" si="7">-B14</f>
        <v>0</v>
      </c>
      <c r="C25" s="48">
        <f t="shared" si="7"/>
        <v>0</v>
      </c>
      <c r="D25" s="48">
        <f t="shared" si="7"/>
        <v>-1194</v>
      </c>
      <c r="E25" s="48">
        <f t="shared" si="7"/>
        <v>-24384</v>
      </c>
      <c r="F25" s="48">
        <f t="shared" si="7"/>
        <v>-423</v>
      </c>
      <c r="G25" s="48">
        <f t="shared" si="7"/>
        <v>-259</v>
      </c>
      <c r="H25" s="48">
        <f t="shared" si="7"/>
        <v>-196</v>
      </c>
      <c r="I25" s="48">
        <f t="shared" si="7"/>
        <v>-26456</v>
      </c>
    </row>
    <row r="26" spans="1:9" s="43" customFormat="1" x14ac:dyDescent="0.25">
      <c r="A26" s="42" t="s">
        <v>121</v>
      </c>
      <c r="B26" s="40">
        <f t="shared" ref="B26:I26" si="8">SUM(B22:B25)</f>
        <v>31403</v>
      </c>
      <c r="C26" s="47">
        <f t="shared" si="8"/>
        <v>525</v>
      </c>
      <c r="D26" s="47">
        <f t="shared" si="8"/>
        <v>16900</v>
      </c>
      <c r="E26" s="47">
        <f t="shared" si="8"/>
        <v>78439</v>
      </c>
      <c r="F26" s="47">
        <f t="shared" si="8"/>
        <v>570</v>
      </c>
      <c r="G26" s="47">
        <f t="shared" si="8"/>
        <v>1387</v>
      </c>
      <c r="H26" s="47">
        <f t="shared" si="8"/>
        <v>1249</v>
      </c>
      <c r="I26" s="47">
        <f t="shared" si="8"/>
        <v>130473</v>
      </c>
    </row>
    <row r="27" spans="1:9" x14ac:dyDescent="0.25">
      <c r="A27" s="43" t="s">
        <v>114</v>
      </c>
      <c r="B27" s="38">
        <f t="shared" ref="B27:I27" si="9">B8</f>
        <v>8382</v>
      </c>
      <c r="C27" s="48">
        <f t="shared" si="9"/>
        <v>0</v>
      </c>
      <c r="D27" s="48">
        <f t="shared" si="9"/>
        <v>3516</v>
      </c>
      <c r="E27" s="48">
        <f t="shared" si="9"/>
        <v>36707</v>
      </c>
      <c r="F27" s="48">
        <f t="shared" si="9"/>
        <v>396</v>
      </c>
      <c r="G27" s="48">
        <f t="shared" si="9"/>
        <v>500</v>
      </c>
      <c r="H27" s="48">
        <f t="shared" si="9"/>
        <v>736</v>
      </c>
      <c r="I27" s="48">
        <f t="shared" si="9"/>
        <v>50237</v>
      </c>
    </row>
    <row r="28" spans="1:9" x14ac:dyDescent="0.25">
      <c r="A28" s="43" t="s">
        <v>120</v>
      </c>
      <c r="B28" s="38">
        <f t="shared" ref="B28:I28" si="10">B9-B18</f>
        <v>-1366</v>
      </c>
      <c r="C28" s="48">
        <f t="shared" si="10"/>
        <v>0</v>
      </c>
      <c r="D28" s="48">
        <f t="shared" si="10"/>
        <v>-10</v>
      </c>
      <c r="E28" s="48">
        <f t="shared" si="10"/>
        <v>-592</v>
      </c>
      <c r="F28" s="48">
        <f t="shared" si="10"/>
        <v>-1</v>
      </c>
      <c r="G28" s="48">
        <f t="shared" si="10"/>
        <v>113</v>
      </c>
      <c r="H28" s="48">
        <f t="shared" si="10"/>
        <v>-376</v>
      </c>
      <c r="I28" s="48">
        <f t="shared" si="10"/>
        <v>-2232</v>
      </c>
    </row>
    <row r="29" spans="1:9" x14ac:dyDescent="0.25">
      <c r="A29" s="43" t="s">
        <v>125</v>
      </c>
      <c r="B29" s="38">
        <f t="shared" ref="B29:I29" si="11">-B17</f>
        <v>0</v>
      </c>
      <c r="C29" s="48">
        <f t="shared" si="11"/>
        <v>0</v>
      </c>
      <c r="D29" s="48">
        <f t="shared" si="11"/>
        <v>-1580</v>
      </c>
      <c r="E29" s="48">
        <f t="shared" si="11"/>
        <v>-26258</v>
      </c>
      <c r="F29" s="48">
        <f t="shared" si="11"/>
        <v>-446</v>
      </c>
      <c r="G29" s="48">
        <f t="shared" si="11"/>
        <v>-405</v>
      </c>
      <c r="H29" s="48">
        <f t="shared" si="11"/>
        <v>-222</v>
      </c>
      <c r="I29" s="48">
        <f t="shared" si="11"/>
        <v>-28911</v>
      </c>
    </row>
    <row r="30" spans="1:9" s="43" customFormat="1" x14ac:dyDescent="0.25">
      <c r="A30" s="42" t="s">
        <v>122</v>
      </c>
      <c r="B30" s="40">
        <f t="shared" ref="B30:I30" si="12">SUM(B26:B29)</f>
        <v>38419</v>
      </c>
      <c r="C30" s="47">
        <f t="shared" si="12"/>
        <v>525</v>
      </c>
      <c r="D30" s="47">
        <f t="shared" si="12"/>
        <v>18826</v>
      </c>
      <c r="E30" s="47">
        <f t="shared" si="12"/>
        <v>88296</v>
      </c>
      <c r="F30" s="47">
        <f t="shared" si="12"/>
        <v>519</v>
      </c>
      <c r="G30" s="47">
        <f t="shared" si="12"/>
        <v>1595</v>
      </c>
      <c r="H30" s="47">
        <f t="shared" si="12"/>
        <v>1387</v>
      </c>
      <c r="I30" s="47">
        <f t="shared" si="12"/>
        <v>149567</v>
      </c>
    </row>
    <row r="31" spans="1:9" x14ac:dyDescent="0.25">
      <c r="C31" s="39"/>
      <c r="D31" s="39"/>
      <c r="E31" s="39"/>
      <c r="F31" s="39"/>
      <c r="G31" s="39"/>
      <c r="H31" s="39"/>
      <c r="I31" s="39"/>
    </row>
    <row r="32" spans="1:9" x14ac:dyDescent="0.25">
      <c r="C32" s="39"/>
      <c r="D32" s="39"/>
      <c r="E32" s="39"/>
      <c r="F32" s="39"/>
      <c r="G32" s="39"/>
      <c r="H32" s="39"/>
      <c r="I32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0.59999389629810485"/>
  </sheetPr>
  <dimension ref="A2:S102"/>
  <sheetViews>
    <sheetView showGridLines="0" zoomScale="90" zoomScaleNormal="90" workbookViewId="0">
      <selection activeCell="D65" sqref="D65"/>
    </sheetView>
  </sheetViews>
  <sheetFormatPr defaultColWidth="9.140625" defaultRowHeight="12.75" x14ac:dyDescent="0.2"/>
  <cols>
    <col min="1" max="1" width="3.5703125" style="89" customWidth="1"/>
    <col min="2" max="2" width="30.140625" style="94" bestFit="1" customWidth="1"/>
    <col min="3" max="3" width="9.85546875" style="94" bestFit="1" customWidth="1"/>
    <col min="4" max="4" width="7.140625" style="94" bestFit="1" customWidth="1"/>
    <col min="5" max="16" width="12.42578125" style="94" customWidth="1"/>
    <col min="17" max="17" width="9.140625" style="94"/>
    <col min="18" max="18" width="9.85546875" style="94" bestFit="1" customWidth="1"/>
    <col min="19" max="262" width="9.140625" style="94"/>
    <col min="263" max="263" width="0" style="94" hidden="1" customWidth="1"/>
    <col min="264" max="264" width="38" style="94" bestFit="1" customWidth="1"/>
    <col min="265" max="265" width="10.42578125" style="94" bestFit="1" customWidth="1"/>
    <col min="266" max="272" width="9.5703125" style="94" bestFit="1" customWidth="1"/>
    <col min="273" max="518" width="9.140625" style="94"/>
    <col min="519" max="519" width="0" style="94" hidden="1" customWidth="1"/>
    <col min="520" max="520" width="38" style="94" bestFit="1" customWidth="1"/>
    <col min="521" max="521" width="10.42578125" style="94" bestFit="1" customWidth="1"/>
    <col min="522" max="528" width="9.5703125" style="94" bestFit="1" customWidth="1"/>
    <col min="529" max="774" width="9.140625" style="94"/>
    <col min="775" max="775" width="0" style="94" hidden="1" customWidth="1"/>
    <col min="776" max="776" width="38" style="94" bestFit="1" customWidth="1"/>
    <col min="777" max="777" width="10.42578125" style="94" bestFit="1" customWidth="1"/>
    <col min="778" max="784" width="9.5703125" style="94" bestFit="1" customWidth="1"/>
    <col min="785" max="1030" width="9.140625" style="94"/>
    <col min="1031" max="1031" width="0" style="94" hidden="1" customWidth="1"/>
    <col min="1032" max="1032" width="38" style="94" bestFit="1" customWidth="1"/>
    <col min="1033" max="1033" width="10.42578125" style="94" bestFit="1" customWidth="1"/>
    <col min="1034" max="1040" width="9.5703125" style="94" bestFit="1" customWidth="1"/>
    <col min="1041" max="1286" width="9.140625" style="94"/>
    <col min="1287" max="1287" width="0" style="94" hidden="1" customWidth="1"/>
    <col min="1288" max="1288" width="38" style="94" bestFit="1" customWidth="1"/>
    <col min="1289" max="1289" width="10.42578125" style="94" bestFit="1" customWidth="1"/>
    <col min="1290" max="1296" width="9.5703125" style="94" bestFit="1" customWidth="1"/>
    <col min="1297" max="1542" width="9.140625" style="94"/>
    <col min="1543" max="1543" width="0" style="94" hidden="1" customWidth="1"/>
    <col min="1544" max="1544" width="38" style="94" bestFit="1" customWidth="1"/>
    <col min="1545" max="1545" width="10.42578125" style="94" bestFit="1" customWidth="1"/>
    <col min="1546" max="1552" width="9.5703125" style="94" bestFit="1" customWidth="1"/>
    <col min="1553" max="1798" width="9.140625" style="94"/>
    <col min="1799" max="1799" width="0" style="94" hidden="1" customWidth="1"/>
    <col min="1800" max="1800" width="38" style="94" bestFit="1" customWidth="1"/>
    <col min="1801" max="1801" width="10.42578125" style="94" bestFit="1" customWidth="1"/>
    <col min="1802" max="1808" width="9.5703125" style="94" bestFit="1" customWidth="1"/>
    <col min="1809" max="2054" width="9.140625" style="94"/>
    <col min="2055" max="2055" width="0" style="94" hidden="1" customWidth="1"/>
    <col min="2056" max="2056" width="38" style="94" bestFit="1" customWidth="1"/>
    <col min="2057" max="2057" width="10.42578125" style="94" bestFit="1" customWidth="1"/>
    <col min="2058" max="2064" width="9.5703125" style="94" bestFit="1" customWidth="1"/>
    <col min="2065" max="2310" width="9.140625" style="94"/>
    <col min="2311" max="2311" width="0" style="94" hidden="1" customWidth="1"/>
    <col min="2312" max="2312" width="38" style="94" bestFit="1" customWidth="1"/>
    <col min="2313" max="2313" width="10.42578125" style="94" bestFit="1" customWidth="1"/>
    <col min="2314" max="2320" width="9.5703125" style="94" bestFit="1" customWidth="1"/>
    <col min="2321" max="2566" width="9.140625" style="94"/>
    <col min="2567" max="2567" width="0" style="94" hidden="1" customWidth="1"/>
    <col min="2568" max="2568" width="38" style="94" bestFit="1" customWidth="1"/>
    <col min="2569" max="2569" width="10.42578125" style="94" bestFit="1" customWidth="1"/>
    <col min="2570" max="2576" width="9.5703125" style="94" bestFit="1" customWidth="1"/>
    <col min="2577" max="2822" width="9.140625" style="94"/>
    <col min="2823" max="2823" width="0" style="94" hidden="1" customWidth="1"/>
    <col min="2824" max="2824" width="38" style="94" bestFit="1" customWidth="1"/>
    <col min="2825" max="2825" width="10.42578125" style="94" bestFit="1" customWidth="1"/>
    <col min="2826" max="2832" width="9.5703125" style="94" bestFit="1" customWidth="1"/>
    <col min="2833" max="3078" width="9.140625" style="94"/>
    <col min="3079" max="3079" width="0" style="94" hidden="1" customWidth="1"/>
    <col min="3080" max="3080" width="38" style="94" bestFit="1" customWidth="1"/>
    <col min="3081" max="3081" width="10.42578125" style="94" bestFit="1" customWidth="1"/>
    <col min="3082" max="3088" width="9.5703125" style="94" bestFit="1" customWidth="1"/>
    <col min="3089" max="3334" width="9.140625" style="94"/>
    <col min="3335" max="3335" width="0" style="94" hidden="1" customWidth="1"/>
    <col min="3336" max="3336" width="38" style="94" bestFit="1" customWidth="1"/>
    <col min="3337" max="3337" width="10.42578125" style="94" bestFit="1" customWidth="1"/>
    <col min="3338" max="3344" width="9.5703125" style="94" bestFit="1" customWidth="1"/>
    <col min="3345" max="3590" width="9.140625" style="94"/>
    <col min="3591" max="3591" width="0" style="94" hidden="1" customWidth="1"/>
    <col min="3592" max="3592" width="38" style="94" bestFit="1" customWidth="1"/>
    <col min="3593" max="3593" width="10.42578125" style="94" bestFit="1" customWidth="1"/>
    <col min="3594" max="3600" width="9.5703125" style="94" bestFit="1" customWidth="1"/>
    <col min="3601" max="3846" width="9.140625" style="94"/>
    <col min="3847" max="3847" width="0" style="94" hidden="1" customWidth="1"/>
    <col min="3848" max="3848" width="38" style="94" bestFit="1" customWidth="1"/>
    <col min="3849" max="3849" width="10.42578125" style="94" bestFit="1" customWidth="1"/>
    <col min="3850" max="3856" width="9.5703125" style="94" bestFit="1" customWidth="1"/>
    <col min="3857" max="4102" width="9.140625" style="94"/>
    <col min="4103" max="4103" width="0" style="94" hidden="1" customWidth="1"/>
    <col min="4104" max="4104" width="38" style="94" bestFit="1" customWidth="1"/>
    <col min="4105" max="4105" width="10.42578125" style="94" bestFit="1" customWidth="1"/>
    <col min="4106" max="4112" width="9.5703125" style="94" bestFit="1" customWidth="1"/>
    <col min="4113" max="4358" width="9.140625" style="94"/>
    <col min="4359" max="4359" width="0" style="94" hidden="1" customWidth="1"/>
    <col min="4360" max="4360" width="38" style="94" bestFit="1" customWidth="1"/>
    <col min="4361" max="4361" width="10.42578125" style="94" bestFit="1" customWidth="1"/>
    <col min="4362" max="4368" width="9.5703125" style="94" bestFit="1" customWidth="1"/>
    <col min="4369" max="4614" width="9.140625" style="94"/>
    <col min="4615" max="4615" width="0" style="94" hidden="1" customWidth="1"/>
    <col min="4616" max="4616" width="38" style="94" bestFit="1" customWidth="1"/>
    <col min="4617" max="4617" width="10.42578125" style="94" bestFit="1" customWidth="1"/>
    <col min="4618" max="4624" width="9.5703125" style="94" bestFit="1" customWidth="1"/>
    <col min="4625" max="4870" width="9.140625" style="94"/>
    <col min="4871" max="4871" width="0" style="94" hidden="1" customWidth="1"/>
    <col min="4872" max="4872" width="38" style="94" bestFit="1" customWidth="1"/>
    <col min="4873" max="4873" width="10.42578125" style="94" bestFit="1" customWidth="1"/>
    <col min="4874" max="4880" width="9.5703125" style="94" bestFit="1" customWidth="1"/>
    <col min="4881" max="5126" width="9.140625" style="94"/>
    <col min="5127" max="5127" width="0" style="94" hidden="1" customWidth="1"/>
    <col min="5128" max="5128" width="38" style="94" bestFit="1" customWidth="1"/>
    <col min="5129" max="5129" width="10.42578125" style="94" bestFit="1" customWidth="1"/>
    <col min="5130" max="5136" width="9.5703125" style="94" bestFit="1" customWidth="1"/>
    <col min="5137" max="5382" width="9.140625" style="94"/>
    <col min="5383" max="5383" width="0" style="94" hidden="1" customWidth="1"/>
    <col min="5384" max="5384" width="38" style="94" bestFit="1" customWidth="1"/>
    <col min="5385" max="5385" width="10.42578125" style="94" bestFit="1" customWidth="1"/>
    <col min="5386" max="5392" width="9.5703125" style="94" bestFit="1" customWidth="1"/>
    <col min="5393" max="5638" width="9.140625" style="94"/>
    <col min="5639" max="5639" width="0" style="94" hidden="1" customWidth="1"/>
    <col min="5640" max="5640" width="38" style="94" bestFit="1" customWidth="1"/>
    <col min="5641" max="5641" width="10.42578125" style="94" bestFit="1" customWidth="1"/>
    <col min="5642" max="5648" width="9.5703125" style="94" bestFit="1" customWidth="1"/>
    <col min="5649" max="5894" width="9.140625" style="94"/>
    <col min="5895" max="5895" width="0" style="94" hidden="1" customWidth="1"/>
    <col min="5896" max="5896" width="38" style="94" bestFit="1" customWidth="1"/>
    <col min="5897" max="5897" width="10.42578125" style="94" bestFit="1" customWidth="1"/>
    <col min="5898" max="5904" width="9.5703125" style="94" bestFit="1" customWidth="1"/>
    <col min="5905" max="6150" width="9.140625" style="94"/>
    <col min="6151" max="6151" width="0" style="94" hidden="1" customWidth="1"/>
    <col min="6152" max="6152" width="38" style="94" bestFit="1" customWidth="1"/>
    <col min="6153" max="6153" width="10.42578125" style="94" bestFit="1" customWidth="1"/>
    <col min="6154" max="6160" width="9.5703125" style="94" bestFit="1" customWidth="1"/>
    <col min="6161" max="6406" width="9.140625" style="94"/>
    <col min="6407" max="6407" width="0" style="94" hidden="1" customWidth="1"/>
    <col min="6408" max="6408" width="38" style="94" bestFit="1" customWidth="1"/>
    <col min="6409" max="6409" width="10.42578125" style="94" bestFit="1" customWidth="1"/>
    <col min="6410" max="6416" width="9.5703125" style="94" bestFit="1" customWidth="1"/>
    <col min="6417" max="6662" width="9.140625" style="94"/>
    <col min="6663" max="6663" width="0" style="94" hidden="1" customWidth="1"/>
    <col min="6664" max="6664" width="38" style="94" bestFit="1" customWidth="1"/>
    <col min="6665" max="6665" width="10.42578125" style="94" bestFit="1" customWidth="1"/>
    <col min="6666" max="6672" width="9.5703125" style="94" bestFit="1" customWidth="1"/>
    <col min="6673" max="6918" width="9.140625" style="94"/>
    <col min="6919" max="6919" width="0" style="94" hidden="1" customWidth="1"/>
    <col min="6920" max="6920" width="38" style="94" bestFit="1" customWidth="1"/>
    <col min="6921" max="6921" width="10.42578125" style="94" bestFit="1" customWidth="1"/>
    <col min="6922" max="6928" width="9.5703125" style="94" bestFit="1" customWidth="1"/>
    <col min="6929" max="7174" width="9.140625" style="94"/>
    <col min="7175" max="7175" width="0" style="94" hidden="1" customWidth="1"/>
    <col min="7176" max="7176" width="38" style="94" bestFit="1" customWidth="1"/>
    <col min="7177" max="7177" width="10.42578125" style="94" bestFit="1" customWidth="1"/>
    <col min="7178" max="7184" width="9.5703125" style="94" bestFit="1" customWidth="1"/>
    <col min="7185" max="7430" width="9.140625" style="94"/>
    <col min="7431" max="7431" width="0" style="94" hidden="1" customWidth="1"/>
    <col min="7432" max="7432" width="38" style="94" bestFit="1" customWidth="1"/>
    <col min="7433" max="7433" width="10.42578125" style="94" bestFit="1" customWidth="1"/>
    <col min="7434" max="7440" width="9.5703125" style="94" bestFit="1" customWidth="1"/>
    <col min="7441" max="7686" width="9.140625" style="94"/>
    <col min="7687" max="7687" width="0" style="94" hidden="1" customWidth="1"/>
    <col min="7688" max="7688" width="38" style="94" bestFit="1" customWidth="1"/>
    <col min="7689" max="7689" width="10.42578125" style="94" bestFit="1" customWidth="1"/>
    <col min="7690" max="7696" width="9.5703125" style="94" bestFit="1" customWidth="1"/>
    <col min="7697" max="7942" width="9.140625" style="94"/>
    <col min="7943" max="7943" width="0" style="94" hidden="1" customWidth="1"/>
    <col min="7944" max="7944" width="38" style="94" bestFit="1" customWidth="1"/>
    <col min="7945" max="7945" width="10.42578125" style="94" bestFit="1" customWidth="1"/>
    <col min="7946" max="7952" width="9.5703125" style="94" bestFit="1" customWidth="1"/>
    <col min="7953" max="8198" width="9.140625" style="94"/>
    <col min="8199" max="8199" width="0" style="94" hidden="1" customWidth="1"/>
    <col min="8200" max="8200" width="38" style="94" bestFit="1" customWidth="1"/>
    <col min="8201" max="8201" width="10.42578125" style="94" bestFit="1" customWidth="1"/>
    <col min="8202" max="8208" width="9.5703125" style="94" bestFit="1" customWidth="1"/>
    <col min="8209" max="8454" width="9.140625" style="94"/>
    <col min="8455" max="8455" width="0" style="94" hidden="1" customWidth="1"/>
    <col min="8456" max="8456" width="38" style="94" bestFit="1" customWidth="1"/>
    <col min="8457" max="8457" width="10.42578125" style="94" bestFit="1" customWidth="1"/>
    <col min="8458" max="8464" width="9.5703125" style="94" bestFit="1" customWidth="1"/>
    <col min="8465" max="8710" width="9.140625" style="94"/>
    <col min="8711" max="8711" width="0" style="94" hidden="1" customWidth="1"/>
    <col min="8712" max="8712" width="38" style="94" bestFit="1" customWidth="1"/>
    <col min="8713" max="8713" width="10.42578125" style="94" bestFit="1" customWidth="1"/>
    <col min="8714" max="8720" width="9.5703125" style="94" bestFit="1" customWidth="1"/>
    <col min="8721" max="8966" width="9.140625" style="94"/>
    <col min="8967" max="8967" width="0" style="94" hidden="1" customWidth="1"/>
    <col min="8968" max="8968" width="38" style="94" bestFit="1" customWidth="1"/>
    <col min="8969" max="8969" width="10.42578125" style="94" bestFit="1" customWidth="1"/>
    <col min="8970" max="8976" width="9.5703125" style="94" bestFit="1" customWidth="1"/>
    <col min="8977" max="9222" width="9.140625" style="94"/>
    <col min="9223" max="9223" width="0" style="94" hidden="1" customWidth="1"/>
    <col min="9224" max="9224" width="38" style="94" bestFit="1" customWidth="1"/>
    <col min="9225" max="9225" width="10.42578125" style="94" bestFit="1" customWidth="1"/>
    <col min="9226" max="9232" width="9.5703125" style="94" bestFit="1" customWidth="1"/>
    <col min="9233" max="9478" width="9.140625" style="94"/>
    <col min="9479" max="9479" width="0" style="94" hidden="1" customWidth="1"/>
    <col min="9480" max="9480" width="38" style="94" bestFit="1" customWidth="1"/>
    <col min="9481" max="9481" width="10.42578125" style="94" bestFit="1" customWidth="1"/>
    <col min="9482" max="9488" width="9.5703125" style="94" bestFit="1" customWidth="1"/>
    <col min="9489" max="9734" width="9.140625" style="94"/>
    <col min="9735" max="9735" width="0" style="94" hidden="1" customWidth="1"/>
    <col min="9736" max="9736" width="38" style="94" bestFit="1" customWidth="1"/>
    <col min="9737" max="9737" width="10.42578125" style="94" bestFit="1" customWidth="1"/>
    <col min="9738" max="9744" width="9.5703125" style="94" bestFit="1" customWidth="1"/>
    <col min="9745" max="9990" width="9.140625" style="94"/>
    <col min="9991" max="9991" width="0" style="94" hidden="1" customWidth="1"/>
    <col min="9992" max="9992" width="38" style="94" bestFit="1" customWidth="1"/>
    <col min="9993" max="9993" width="10.42578125" style="94" bestFit="1" customWidth="1"/>
    <col min="9994" max="10000" width="9.5703125" style="94" bestFit="1" customWidth="1"/>
    <col min="10001" max="10246" width="9.140625" style="94"/>
    <col min="10247" max="10247" width="0" style="94" hidden="1" customWidth="1"/>
    <col min="10248" max="10248" width="38" style="94" bestFit="1" customWidth="1"/>
    <col min="10249" max="10249" width="10.42578125" style="94" bestFit="1" customWidth="1"/>
    <col min="10250" max="10256" width="9.5703125" style="94" bestFit="1" customWidth="1"/>
    <col min="10257" max="10502" width="9.140625" style="94"/>
    <col min="10503" max="10503" width="0" style="94" hidden="1" customWidth="1"/>
    <col min="10504" max="10504" width="38" style="94" bestFit="1" customWidth="1"/>
    <col min="10505" max="10505" width="10.42578125" style="94" bestFit="1" customWidth="1"/>
    <col min="10506" max="10512" width="9.5703125" style="94" bestFit="1" customWidth="1"/>
    <col min="10513" max="10758" width="9.140625" style="94"/>
    <col min="10759" max="10759" width="0" style="94" hidden="1" customWidth="1"/>
    <col min="10760" max="10760" width="38" style="94" bestFit="1" customWidth="1"/>
    <col min="10761" max="10761" width="10.42578125" style="94" bestFit="1" customWidth="1"/>
    <col min="10762" max="10768" width="9.5703125" style="94" bestFit="1" customWidth="1"/>
    <col min="10769" max="11014" width="9.140625" style="94"/>
    <col min="11015" max="11015" width="0" style="94" hidden="1" customWidth="1"/>
    <col min="11016" max="11016" width="38" style="94" bestFit="1" customWidth="1"/>
    <col min="11017" max="11017" width="10.42578125" style="94" bestFit="1" customWidth="1"/>
    <col min="11018" max="11024" width="9.5703125" style="94" bestFit="1" customWidth="1"/>
    <col min="11025" max="11270" width="9.140625" style="94"/>
    <col min="11271" max="11271" width="0" style="94" hidden="1" customWidth="1"/>
    <col min="11272" max="11272" width="38" style="94" bestFit="1" customWidth="1"/>
    <col min="11273" max="11273" width="10.42578125" style="94" bestFit="1" customWidth="1"/>
    <col min="11274" max="11280" width="9.5703125" style="94" bestFit="1" customWidth="1"/>
    <col min="11281" max="11526" width="9.140625" style="94"/>
    <col min="11527" max="11527" width="0" style="94" hidden="1" customWidth="1"/>
    <col min="11528" max="11528" width="38" style="94" bestFit="1" customWidth="1"/>
    <col min="11529" max="11529" width="10.42578125" style="94" bestFit="1" customWidth="1"/>
    <col min="11530" max="11536" width="9.5703125" style="94" bestFit="1" customWidth="1"/>
    <col min="11537" max="11782" width="9.140625" style="94"/>
    <col min="11783" max="11783" width="0" style="94" hidden="1" customWidth="1"/>
    <col min="11784" max="11784" width="38" style="94" bestFit="1" customWidth="1"/>
    <col min="11785" max="11785" width="10.42578125" style="94" bestFit="1" customWidth="1"/>
    <col min="11786" max="11792" width="9.5703125" style="94" bestFit="1" customWidth="1"/>
    <col min="11793" max="12038" width="9.140625" style="94"/>
    <col min="12039" max="12039" width="0" style="94" hidden="1" customWidth="1"/>
    <col min="12040" max="12040" width="38" style="94" bestFit="1" customWidth="1"/>
    <col min="12041" max="12041" width="10.42578125" style="94" bestFit="1" customWidth="1"/>
    <col min="12042" max="12048" width="9.5703125" style="94" bestFit="1" customWidth="1"/>
    <col min="12049" max="12294" width="9.140625" style="94"/>
    <col min="12295" max="12295" width="0" style="94" hidden="1" customWidth="1"/>
    <col min="12296" max="12296" width="38" style="94" bestFit="1" customWidth="1"/>
    <col min="12297" max="12297" width="10.42578125" style="94" bestFit="1" customWidth="1"/>
    <col min="12298" max="12304" width="9.5703125" style="94" bestFit="1" customWidth="1"/>
    <col min="12305" max="12550" width="9.140625" style="94"/>
    <col min="12551" max="12551" width="0" style="94" hidden="1" customWidth="1"/>
    <col min="12552" max="12552" width="38" style="94" bestFit="1" customWidth="1"/>
    <col min="12553" max="12553" width="10.42578125" style="94" bestFit="1" customWidth="1"/>
    <col min="12554" max="12560" width="9.5703125" style="94" bestFit="1" customWidth="1"/>
    <col min="12561" max="12806" width="9.140625" style="94"/>
    <col min="12807" max="12807" width="0" style="94" hidden="1" customWidth="1"/>
    <col min="12808" max="12808" width="38" style="94" bestFit="1" customWidth="1"/>
    <col min="12809" max="12809" width="10.42578125" style="94" bestFit="1" customWidth="1"/>
    <col min="12810" max="12816" width="9.5703125" style="94" bestFit="1" customWidth="1"/>
    <col min="12817" max="13062" width="9.140625" style="94"/>
    <col min="13063" max="13063" width="0" style="94" hidden="1" customWidth="1"/>
    <col min="13064" max="13064" width="38" style="94" bestFit="1" customWidth="1"/>
    <col min="13065" max="13065" width="10.42578125" style="94" bestFit="1" customWidth="1"/>
    <col min="13066" max="13072" width="9.5703125" style="94" bestFit="1" customWidth="1"/>
    <col min="13073" max="13318" width="9.140625" style="94"/>
    <col min="13319" max="13319" width="0" style="94" hidden="1" customWidth="1"/>
    <col min="13320" max="13320" width="38" style="94" bestFit="1" customWidth="1"/>
    <col min="13321" max="13321" width="10.42578125" style="94" bestFit="1" customWidth="1"/>
    <col min="13322" max="13328" width="9.5703125" style="94" bestFit="1" customWidth="1"/>
    <col min="13329" max="13574" width="9.140625" style="94"/>
    <col min="13575" max="13575" width="0" style="94" hidden="1" customWidth="1"/>
    <col min="13576" max="13576" width="38" style="94" bestFit="1" customWidth="1"/>
    <col min="13577" max="13577" width="10.42578125" style="94" bestFit="1" customWidth="1"/>
    <col min="13578" max="13584" width="9.5703125" style="94" bestFit="1" customWidth="1"/>
    <col min="13585" max="13830" width="9.140625" style="94"/>
    <col min="13831" max="13831" width="0" style="94" hidden="1" customWidth="1"/>
    <col min="13832" max="13832" width="38" style="94" bestFit="1" customWidth="1"/>
    <col min="13833" max="13833" width="10.42578125" style="94" bestFit="1" customWidth="1"/>
    <col min="13834" max="13840" width="9.5703125" style="94" bestFit="1" customWidth="1"/>
    <col min="13841" max="14086" width="9.140625" style="94"/>
    <col min="14087" max="14087" width="0" style="94" hidden="1" customWidth="1"/>
    <col min="14088" max="14088" width="38" style="94" bestFit="1" customWidth="1"/>
    <col min="14089" max="14089" width="10.42578125" style="94" bestFit="1" customWidth="1"/>
    <col min="14090" max="14096" width="9.5703125" style="94" bestFit="1" customWidth="1"/>
    <col min="14097" max="14342" width="9.140625" style="94"/>
    <col min="14343" max="14343" width="0" style="94" hidden="1" customWidth="1"/>
    <col min="14344" max="14344" width="38" style="94" bestFit="1" customWidth="1"/>
    <col min="14345" max="14345" width="10.42578125" style="94" bestFit="1" customWidth="1"/>
    <col min="14346" max="14352" width="9.5703125" style="94" bestFit="1" customWidth="1"/>
    <col min="14353" max="14598" width="9.140625" style="94"/>
    <col min="14599" max="14599" width="0" style="94" hidden="1" customWidth="1"/>
    <col min="14600" max="14600" width="38" style="94" bestFit="1" customWidth="1"/>
    <col min="14601" max="14601" width="10.42578125" style="94" bestFit="1" customWidth="1"/>
    <col min="14602" max="14608" width="9.5703125" style="94" bestFit="1" customWidth="1"/>
    <col min="14609" max="14854" width="9.140625" style="94"/>
    <col min="14855" max="14855" width="0" style="94" hidden="1" customWidth="1"/>
    <col min="14856" max="14856" width="38" style="94" bestFit="1" customWidth="1"/>
    <col min="14857" max="14857" width="10.42578125" style="94" bestFit="1" customWidth="1"/>
    <col min="14858" max="14864" width="9.5703125" style="94" bestFit="1" customWidth="1"/>
    <col min="14865" max="15110" width="9.140625" style="94"/>
    <col min="15111" max="15111" width="0" style="94" hidden="1" customWidth="1"/>
    <col min="15112" max="15112" width="38" style="94" bestFit="1" customWidth="1"/>
    <col min="15113" max="15113" width="10.42578125" style="94" bestFit="1" customWidth="1"/>
    <col min="15114" max="15120" width="9.5703125" style="94" bestFit="1" customWidth="1"/>
    <col min="15121" max="15366" width="9.140625" style="94"/>
    <col min="15367" max="15367" width="0" style="94" hidden="1" customWidth="1"/>
    <col min="15368" max="15368" width="38" style="94" bestFit="1" customWidth="1"/>
    <col min="15369" max="15369" width="10.42578125" style="94" bestFit="1" customWidth="1"/>
    <col min="15370" max="15376" width="9.5703125" style="94" bestFit="1" customWidth="1"/>
    <col min="15377" max="15622" width="9.140625" style="94"/>
    <col min="15623" max="15623" width="0" style="94" hidden="1" customWidth="1"/>
    <col min="15624" max="15624" width="38" style="94" bestFit="1" customWidth="1"/>
    <col min="15625" max="15625" width="10.42578125" style="94" bestFit="1" customWidth="1"/>
    <col min="15626" max="15632" width="9.5703125" style="94" bestFit="1" customWidth="1"/>
    <col min="15633" max="15878" width="9.140625" style="94"/>
    <col min="15879" max="15879" width="0" style="94" hidden="1" customWidth="1"/>
    <col min="15880" max="15880" width="38" style="94" bestFit="1" customWidth="1"/>
    <col min="15881" max="15881" width="10.42578125" style="94" bestFit="1" customWidth="1"/>
    <col min="15882" max="15888" width="9.5703125" style="94" bestFit="1" customWidth="1"/>
    <col min="15889" max="16134" width="9.140625" style="94"/>
    <col min="16135" max="16135" width="0" style="94" hidden="1" customWidth="1"/>
    <col min="16136" max="16136" width="38" style="94" bestFit="1" customWidth="1"/>
    <col min="16137" max="16137" width="10.42578125" style="94" bestFit="1" customWidth="1"/>
    <col min="16138" max="16144" width="9.5703125" style="94" bestFit="1" customWidth="1"/>
    <col min="16145" max="16384" width="9.140625" style="94"/>
  </cols>
  <sheetData>
    <row r="2" spans="1:16" ht="14.25" x14ac:dyDescent="0.25">
      <c r="A2" s="94"/>
      <c r="B2" s="185" t="s">
        <v>294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1:16" s="92" customFormat="1" x14ac:dyDescent="0.2">
      <c r="B3" s="79"/>
      <c r="C3" s="451">
        <f>'Working Capital'!C3</f>
        <v>2016</v>
      </c>
      <c r="D3" s="451">
        <f>C3+1</f>
        <v>2017</v>
      </c>
      <c r="E3" s="451">
        <f t="shared" ref="E3:P3" si="0">D3+1</f>
        <v>2018</v>
      </c>
      <c r="F3" s="451">
        <f t="shared" si="0"/>
        <v>2019</v>
      </c>
      <c r="G3" s="452">
        <f t="shared" si="0"/>
        <v>2020</v>
      </c>
      <c r="H3" s="452">
        <f t="shared" si="0"/>
        <v>2021</v>
      </c>
      <c r="I3" s="452">
        <f t="shared" si="0"/>
        <v>2022</v>
      </c>
      <c r="J3" s="452">
        <f t="shared" si="0"/>
        <v>2023</v>
      </c>
      <c r="K3" s="452">
        <f t="shared" si="0"/>
        <v>2024</v>
      </c>
      <c r="L3" s="452">
        <f t="shared" si="0"/>
        <v>2025</v>
      </c>
      <c r="M3" s="452">
        <f t="shared" si="0"/>
        <v>2026</v>
      </c>
      <c r="N3" s="452">
        <f t="shared" si="0"/>
        <v>2027</v>
      </c>
      <c r="O3" s="452">
        <f t="shared" si="0"/>
        <v>2028</v>
      </c>
      <c r="P3" s="452">
        <f t="shared" si="0"/>
        <v>2029</v>
      </c>
    </row>
    <row r="4" spans="1:16" x14ac:dyDescent="0.2">
      <c r="A4" s="94"/>
      <c r="B4" s="79"/>
      <c r="C4" s="103" t="s">
        <v>96</v>
      </c>
      <c r="D4" s="103" t="s">
        <v>96</v>
      </c>
      <c r="E4" s="103" t="s">
        <v>96</v>
      </c>
      <c r="F4" s="103" t="s">
        <v>96</v>
      </c>
      <c r="G4" s="169" t="s">
        <v>97</v>
      </c>
      <c r="H4" s="170" t="s">
        <v>98</v>
      </c>
      <c r="I4" s="170" t="s">
        <v>98</v>
      </c>
      <c r="J4" s="170" t="s">
        <v>98</v>
      </c>
      <c r="K4" s="170" t="s">
        <v>98</v>
      </c>
      <c r="L4" s="170" t="s">
        <v>98</v>
      </c>
      <c r="M4" s="170" t="s">
        <v>98</v>
      </c>
      <c r="N4" s="170" t="s">
        <v>98</v>
      </c>
      <c r="O4" s="170" t="s">
        <v>98</v>
      </c>
      <c r="P4" s="170" t="s">
        <v>98</v>
      </c>
    </row>
    <row r="5" spans="1:16" x14ac:dyDescent="0.25">
      <c r="A5" s="94"/>
      <c r="B5" s="404" t="s">
        <v>115</v>
      </c>
      <c r="C5" s="404"/>
      <c r="D5" s="404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</row>
    <row r="6" spans="1:16" x14ac:dyDescent="0.25">
      <c r="A6" s="94"/>
      <c r="B6" s="93" t="s">
        <v>128</v>
      </c>
      <c r="C6" s="93"/>
      <c r="D6" s="93"/>
      <c r="E6" s="406">
        <v>19039</v>
      </c>
      <c r="F6" s="406">
        <f>E6+E7</f>
        <v>31403</v>
      </c>
      <c r="G6" s="407">
        <f>F6+F7</f>
        <v>39785</v>
      </c>
      <c r="H6" s="407">
        <f t="shared" ref="H6:J6" si="1">G6+G7</f>
        <v>39785</v>
      </c>
      <c r="I6" s="407">
        <f>H6+H7</f>
        <v>39785</v>
      </c>
      <c r="J6" s="407">
        <f t="shared" si="1"/>
        <v>39785</v>
      </c>
      <c r="K6" s="407">
        <f t="shared" ref="K6" si="2">J6+J7</f>
        <v>39785</v>
      </c>
      <c r="L6" s="407">
        <f t="shared" ref="L6" si="3">K6+K7</f>
        <v>39785</v>
      </c>
      <c r="M6" s="407">
        <f t="shared" ref="M6" si="4">L6+L7</f>
        <v>39785</v>
      </c>
      <c r="N6" s="407">
        <f t="shared" ref="N6" si="5">M6+M7</f>
        <v>39785</v>
      </c>
      <c r="O6" s="407">
        <f t="shared" ref="O6" si="6">N6+N7</f>
        <v>39785</v>
      </c>
      <c r="P6" s="407">
        <f t="shared" ref="P6" si="7">O6+O7</f>
        <v>39785</v>
      </c>
    </row>
    <row r="7" spans="1:16" x14ac:dyDescent="0.25">
      <c r="A7" s="94"/>
      <c r="B7" s="405" t="s">
        <v>114</v>
      </c>
      <c r="C7" s="405"/>
      <c r="D7" s="405"/>
      <c r="E7" s="406">
        <v>12364</v>
      </c>
      <c r="F7" s="406">
        <v>8382</v>
      </c>
      <c r="G7" s="407"/>
      <c r="H7" s="407"/>
      <c r="I7" s="407"/>
      <c r="J7" s="407"/>
      <c r="K7" s="407"/>
      <c r="L7" s="407"/>
      <c r="M7" s="407"/>
      <c r="N7" s="407"/>
      <c r="O7" s="407"/>
      <c r="P7" s="407"/>
    </row>
    <row r="8" spans="1:16" x14ac:dyDescent="0.25">
      <c r="A8" s="94"/>
      <c r="B8" s="405" t="s">
        <v>127</v>
      </c>
      <c r="C8" s="405"/>
      <c r="D8" s="405"/>
      <c r="E8" s="406">
        <v>0</v>
      </c>
      <c r="F8" s="406">
        <v>-1366</v>
      </c>
      <c r="G8" s="407"/>
      <c r="H8" s="407"/>
      <c r="I8" s="407"/>
      <c r="J8" s="407"/>
      <c r="K8" s="407"/>
      <c r="L8" s="407"/>
      <c r="M8" s="407"/>
      <c r="N8" s="407"/>
      <c r="O8" s="407"/>
      <c r="P8" s="407"/>
    </row>
    <row r="9" spans="1:16" ht="13.5" thickBot="1" x14ac:dyDescent="0.3">
      <c r="A9" s="94"/>
      <c r="B9" s="93" t="s">
        <v>129</v>
      </c>
      <c r="C9" s="427"/>
      <c r="D9" s="427"/>
      <c r="E9" s="428">
        <f>SUM(E6:E8)</f>
        <v>31403</v>
      </c>
      <c r="F9" s="428">
        <f>SUM(F6:F8)</f>
        <v>38419</v>
      </c>
      <c r="G9" s="429">
        <f t="shared" ref="G9:J9" si="8">G6-G8+G7</f>
        <v>39785</v>
      </c>
      <c r="H9" s="429">
        <f>H6-H8+H7</f>
        <v>39785</v>
      </c>
      <c r="I9" s="429">
        <f>I6-I8+I7</f>
        <v>39785</v>
      </c>
      <c r="J9" s="429">
        <f t="shared" si="8"/>
        <v>39785</v>
      </c>
      <c r="K9" s="429">
        <f t="shared" ref="K9:P9" si="9">K6-K8+K7</f>
        <v>39785</v>
      </c>
      <c r="L9" s="429">
        <f t="shared" si="9"/>
        <v>39785</v>
      </c>
      <c r="M9" s="429">
        <f t="shared" si="9"/>
        <v>39785</v>
      </c>
      <c r="N9" s="429">
        <f t="shared" si="9"/>
        <v>39785</v>
      </c>
      <c r="O9" s="429">
        <f t="shared" si="9"/>
        <v>39785</v>
      </c>
      <c r="P9" s="429">
        <f t="shared" si="9"/>
        <v>39785</v>
      </c>
    </row>
    <row r="10" spans="1:16" x14ac:dyDescent="0.25">
      <c r="A10" s="94"/>
      <c r="B10" s="405"/>
      <c r="C10" s="405"/>
      <c r="D10" s="405"/>
      <c r="E10" s="408"/>
      <c r="F10" s="408"/>
      <c r="G10" s="409"/>
      <c r="H10" s="409"/>
      <c r="I10" s="409"/>
      <c r="J10" s="409"/>
      <c r="K10" s="409"/>
      <c r="L10" s="409"/>
      <c r="M10" s="409"/>
      <c r="N10" s="409"/>
      <c r="O10" s="409"/>
      <c r="P10" s="409"/>
    </row>
    <row r="11" spans="1:16" x14ac:dyDescent="0.25">
      <c r="A11" s="94"/>
      <c r="B11" s="404" t="s">
        <v>116</v>
      </c>
      <c r="C11" s="404"/>
      <c r="D11" s="404"/>
      <c r="E11" s="405"/>
      <c r="F11" s="405"/>
      <c r="G11" s="410"/>
      <c r="H11" s="410"/>
      <c r="I11" s="410"/>
      <c r="J11" s="410"/>
      <c r="K11" s="410"/>
      <c r="L11" s="410"/>
      <c r="M11" s="410"/>
      <c r="N11" s="410"/>
      <c r="O11" s="410"/>
      <c r="P11" s="410"/>
    </row>
    <row r="12" spans="1:16" x14ac:dyDescent="0.25">
      <c r="A12" s="94"/>
      <c r="B12" s="93" t="s">
        <v>128</v>
      </c>
      <c r="C12" s="93"/>
      <c r="D12" s="93"/>
      <c r="E12" s="406">
        <v>525</v>
      </c>
      <c r="F12" s="406">
        <f>E12+E13</f>
        <v>525</v>
      </c>
      <c r="G12" s="407">
        <f t="shared" ref="G12" si="10">F12+F13</f>
        <v>525</v>
      </c>
      <c r="H12" s="407">
        <f t="shared" ref="H12" si="11">G12+G13</f>
        <v>525</v>
      </c>
      <c r="I12" s="407">
        <f>H12+H13</f>
        <v>525</v>
      </c>
      <c r="J12" s="407">
        <f t="shared" ref="J12" si="12">I12+I13</f>
        <v>525</v>
      </c>
      <c r="K12" s="407">
        <f t="shared" ref="K12" si="13">J12+J13</f>
        <v>525</v>
      </c>
      <c r="L12" s="407">
        <f t="shared" ref="L12" si="14">K12+K13</f>
        <v>525</v>
      </c>
      <c r="M12" s="407">
        <f t="shared" ref="M12" si="15">L12+L13</f>
        <v>525</v>
      </c>
      <c r="N12" s="407">
        <f t="shared" ref="N12" si="16">M12+M13</f>
        <v>525</v>
      </c>
      <c r="O12" s="407">
        <f t="shared" ref="O12" si="17">N12+N13</f>
        <v>525</v>
      </c>
      <c r="P12" s="407">
        <f t="shared" ref="P12" si="18">O12+O13</f>
        <v>525</v>
      </c>
    </row>
    <row r="13" spans="1:16" x14ac:dyDescent="0.25">
      <c r="A13" s="94"/>
      <c r="B13" s="405" t="s">
        <v>114</v>
      </c>
      <c r="C13" s="405"/>
      <c r="D13" s="405"/>
      <c r="E13" s="406">
        <v>0</v>
      </c>
      <c r="F13" s="406">
        <v>0</v>
      </c>
      <c r="G13" s="407">
        <v>0</v>
      </c>
      <c r="H13" s="407">
        <v>0</v>
      </c>
      <c r="I13" s="407">
        <v>0</v>
      </c>
      <c r="J13" s="407">
        <v>0</v>
      </c>
      <c r="K13" s="407">
        <v>0</v>
      </c>
      <c r="L13" s="407">
        <v>0</v>
      </c>
      <c r="M13" s="407">
        <v>0</v>
      </c>
      <c r="N13" s="407">
        <v>0</v>
      </c>
      <c r="O13" s="407">
        <v>0</v>
      </c>
      <c r="P13" s="407">
        <v>0</v>
      </c>
    </row>
    <row r="14" spans="1:16" x14ac:dyDescent="0.25">
      <c r="A14" s="94"/>
      <c r="B14" s="405" t="s">
        <v>127</v>
      </c>
      <c r="C14" s="405"/>
      <c r="D14" s="405"/>
      <c r="E14" s="406">
        <v>0</v>
      </c>
      <c r="F14" s="406">
        <v>0</v>
      </c>
      <c r="G14" s="407">
        <v>0</v>
      </c>
      <c r="H14" s="407">
        <v>0</v>
      </c>
      <c r="I14" s="407">
        <v>0</v>
      </c>
      <c r="J14" s="407">
        <v>0</v>
      </c>
      <c r="K14" s="407">
        <v>0</v>
      </c>
      <c r="L14" s="407">
        <v>0</v>
      </c>
      <c r="M14" s="407">
        <v>0</v>
      </c>
      <c r="N14" s="407">
        <v>0</v>
      </c>
      <c r="O14" s="407">
        <v>0</v>
      </c>
      <c r="P14" s="407">
        <v>0</v>
      </c>
    </row>
    <row r="15" spans="1:16" ht="13.5" thickBot="1" x14ac:dyDescent="0.3">
      <c r="A15" s="94"/>
      <c r="B15" s="93" t="s">
        <v>129</v>
      </c>
      <c r="C15" s="427"/>
      <c r="D15" s="427"/>
      <c r="E15" s="428">
        <f>SUM(E12:E14)</f>
        <v>525</v>
      </c>
      <c r="F15" s="428">
        <f>SUM(F12:F14)</f>
        <v>525</v>
      </c>
      <c r="G15" s="429">
        <f t="shared" ref="G15" si="19">G12-G14+G13</f>
        <v>525</v>
      </c>
      <c r="H15" s="429">
        <f>H12-H14+H13</f>
        <v>525</v>
      </c>
      <c r="I15" s="429">
        <f>I12-I14+I13</f>
        <v>525</v>
      </c>
      <c r="J15" s="429">
        <f t="shared" ref="J15:P15" si="20">J12-J14+J13</f>
        <v>525</v>
      </c>
      <c r="K15" s="429">
        <f t="shared" si="20"/>
        <v>525</v>
      </c>
      <c r="L15" s="429">
        <f t="shared" si="20"/>
        <v>525</v>
      </c>
      <c r="M15" s="429">
        <f t="shared" si="20"/>
        <v>525</v>
      </c>
      <c r="N15" s="429">
        <f t="shared" si="20"/>
        <v>525</v>
      </c>
      <c r="O15" s="429">
        <f t="shared" si="20"/>
        <v>525</v>
      </c>
      <c r="P15" s="429">
        <f t="shared" si="20"/>
        <v>525</v>
      </c>
    </row>
    <row r="16" spans="1:16" x14ac:dyDescent="0.25">
      <c r="A16" s="94"/>
      <c r="B16" s="405"/>
      <c r="C16" s="405"/>
      <c r="D16" s="405"/>
      <c r="E16" s="406"/>
      <c r="F16" s="406"/>
      <c r="G16" s="407"/>
      <c r="H16" s="407"/>
      <c r="I16" s="407"/>
      <c r="J16" s="407"/>
      <c r="K16" s="407"/>
      <c r="L16" s="407"/>
      <c r="M16" s="407"/>
      <c r="N16" s="407"/>
      <c r="O16" s="407"/>
      <c r="P16" s="407"/>
    </row>
    <row r="17" spans="1:19" x14ac:dyDescent="0.25">
      <c r="A17" s="94"/>
      <c r="B17" s="404" t="s">
        <v>112</v>
      </c>
      <c r="C17" s="404"/>
      <c r="D17" s="404"/>
      <c r="E17" s="406"/>
      <c r="F17" s="406"/>
      <c r="G17" s="407"/>
      <c r="H17" s="407"/>
      <c r="I17" s="407"/>
      <c r="J17" s="407"/>
      <c r="K17" s="407"/>
      <c r="L17" s="407"/>
      <c r="M17" s="407"/>
      <c r="N17" s="407"/>
      <c r="O17" s="407"/>
      <c r="P17" s="407"/>
    </row>
    <row r="18" spans="1:19" ht="12.6" customHeight="1" x14ac:dyDescent="0.25">
      <c r="A18" s="94"/>
      <c r="B18" s="93" t="s">
        <v>128</v>
      </c>
      <c r="C18" s="93"/>
      <c r="D18" s="93"/>
      <c r="E18" s="411">
        <f>Sheet1!D4</f>
        <v>18280</v>
      </c>
      <c r="F18" s="411">
        <f>E21</f>
        <v>19764</v>
      </c>
      <c r="G18" s="412">
        <f t="shared" ref="G18:J18" si="21">F21</f>
        <v>23255</v>
      </c>
      <c r="H18" s="412">
        <f t="shared" si="21"/>
        <v>28079.218084180691</v>
      </c>
      <c r="I18" s="412">
        <f t="shared" si="21"/>
        <v>31076.220635154572</v>
      </c>
      <c r="J18" s="412">
        <f t="shared" si="21"/>
        <v>34610.408221410849</v>
      </c>
      <c r="K18" s="412">
        <f t="shared" ref="K18" si="22">J21</f>
        <v>39876.151409817568</v>
      </c>
      <c r="L18" s="412">
        <f t="shared" ref="L18" si="23">K21</f>
        <v>45373.749729356081</v>
      </c>
      <c r="M18" s="412">
        <f t="shared" ref="M18" si="24">L21</f>
        <v>51656.396785001874</v>
      </c>
      <c r="N18" s="412">
        <f t="shared" ref="N18" si="25">M21</f>
        <v>58632.265540753433</v>
      </c>
      <c r="O18" s="412">
        <f t="shared" ref="O18" si="26">N21</f>
        <v>66422.602127981445</v>
      </c>
      <c r="P18" s="412">
        <f t="shared" ref="P18" si="27">O21</f>
        <v>75090.371453251661</v>
      </c>
      <c r="R18" s="94" t="s">
        <v>151</v>
      </c>
      <c r="S18" s="113">
        <f>F19/(F19+F29)</f>
        <v>8.741267434055143E-2</v>
      </c>
    </row>
    <row r="19" spans="1:19" ht="12.6" customHeight="1" x14ac:dyDescent="0.25">
      <c r="A19" s="94"/>
      <c r="B19" s="405" t="s">
        <v>114</v>
      </c>
      <c r="C19" s="405"/>
      <c r="D19" s="405"/>
      <c r="E19" s="406">
        <f>Sheet1!D23</f>
        <v>1491</v>
      </c>
      <c r="F19" s="406">
        <f>Sheet1!D27</f>
        <v>3516</v>
      </c>
      <c r="G19" s="407">
        <f>G101*$S$18</f>
        <v>4824.218084180693</v>
      </c>
      <c r="H19" s="407">
        <f t="shared" ref="H19:J19" si="28">H101*$S$18</f>
        <v>2997.0025509738821</v>
      </c>
      <c r="I19" s="407">
        <f t="shared" si="28"/>
        <v>3534.1875862562797</v>
      </c>
      <c r="J19" s="407">
        <f t="shared" si="28"/>
        <v>5265.7431884067191</v>
      </c>
      <c r="K19" s="407">
        <f t="shared" ref="K19:P19" si="29">K101*$S$18</f>
        <v>5497.5983195385115</v>
      </c>
      <c r="L19" s="407">
        <f t="shared" si="29"/>
        <v>6282.6470556457907</v>
      </c>
      <c r="M19" s="407">
        <f t="shared" si="29"/>
        <v>6975.8687557515559</v>
      </c>
      <c r="N19" s="407">
        <f t="shared" si="29"/>
        <v>7790.3365872280101</v>
      </c>
      <c r="O19" s="407">
        <f t="shared" si="29"/>
        <v>8667.7693252702084</v>
      </c>
      <c r="P19" s="407">
        <f t="shared" si="29"/>
        <v>9637.1284638627949</v>
      </c>
      <c r="R19" s="94" t="s">
        <v>152</v>
      </c>
      <c r="S19" s="113">
        <f>1-S18</f>
        <v>0.91258732565944856</v>
      </c>
    </row>
    <row r="20" spans="1:19" ht="12.6" customHeight="1" x14ac:dyDescent="0.25">
      <c r="A20" s="94"/>
      <c r="B20" s="405" t="s">
        <v>127</v>
      </c>
      <c r="C20" s="405"/>
      <c r="D20" s="405"/>
      <c r="E20" s="406">
        <f>-Sheet1!D6</f>
        <v>7</v>
      </c>
      <c r="F20" s="406">
        <f>-Sheet1!D9</f>
        <v>25</v>
      </c>
      <c r="G20" s="407"/>
      <c r="H20" s="407"/>
      <c r="I20" s="407"/>
      <c r="J20" s="407"/>
      <c r="K20" s="407"/>
      <c r="L20" s="407"/>
      <c r="M20" s="407"/>
      <c r="N20" s="407"/>
      <c r="O20" s="407"/>
      <c r="P20" s="407"/>
    </row>
    <row r="21" spans="1:19" ht="12.6" customHeight="1" x14ac:dyDescent="0.25">
      <c r="A21" s="94"/>
      <c r="B21" s="93" t="s">
        <v>129</v>
      </c>
      <c r="C21" s="93"/>
      <c r="D21" s="93"/>
      <c r="E21" s="411">
        <f>E18+E19-E20</f>
        <v>19764</v>
      </c>
      <c r="F21" s="411">
        <f>F18+F19-F20</f>
        <v>23255</v>
      </c>
      <c r="G21" s="412">
        <f>G18+G19-G20</f>
        <v>28079.218084180691</v>
      </c>
      <c r="H21" s="412">
        <f t="shared" ref="H21:J21" si="30">H18+H19-H20</f>
        <v>31076.220635154572</v>
      </c>
      <c r="I21" s="412">
        <f t="shared" si="30"/>
        <v>34610.408221410849</v>
      </c>
      <c r="J21" s="412">
        <f t="shared" si="30"/>
        <v>39876.151409817568</v>
      </c>
      <c r="K21" s="412">
        <f t="shared" ref="K21:P21" si="31">K18+K19-K20</f>
        <v>45373.749729356081</v>
      </c>
      <c r="L21" s="412">
        <f t="shared" si="31"/>
        <v>51656.396785001874</v>
      </c>
      <c r="M21" s="412">
        <f t="shared" si="31"/>
        <v>58632.265540753433</v>
      </c>
      <c r="N21" s="412">
        <f t="shared" si="31"/>
        <v>66422.602127981445</v>
      </c>
      <c r="O21" s="412">
        <f t="shared" si="31"/>
        <v>75090.371453251661</v>
      </c>
      <c r="P21" s="412">
        <f t="shared" si="31"/>
        <v>84727.499917114459</v>
      </c>
    </row>
    <row r="22" spans="1:19" ht="12.6" customHeight="1" x14ac:dyDescent="0.25">
      <c r="A22" s="94"/>
      <c r="B22" s="405" t="s">
        <v>130</v>
      </c>
      <c r="C22" s="405"/>
      <c r="D22" s="405"/>
      <c r="E22" s="406">
        <f>Sheet1!D13</f>
        <v>1671</v>
      </c>
      <c r="F22" s="406">
        <f>E22-E23+E24</f>
        <v>2864</v>
      </c>
      <c r="G22" s="407">
        <f>F22-F23+F24</f>
        <v>4429</v>
      </c>
      <c r="H22" s="407">
        <f>G22-G23+G24</f>
        <v>6189.0639053254436</v>
      </c>
      <c r="I22" s="407">
        <f>H22-H23+H24</f>
        <v>8235.599029739129</v>
      </c>
      <c r="J22" s="407">
        <f t="shared" ref="J22" si="32">I22-I23+I24</f>
        <v>10370.994422434775</v>
      </c>
      <c r="K22" s="407">
        <f t="shared" ref="K22" si="33">J22-J23+J24</f>
        <v>12637.16446991301</v>
      </c>
      <c r="L22" s="407">
        <f t="shared" ref="L22" si="34">K22-K23+K24</f>
        <v>15183.767982637815</v>
      </c>
      <c r="M22" s="407">
        <f t="shared" ref="M22" si="35">L22-L23+L24</f>
        <v>18006.263317538102</v>
      </c>
      <c r="N22" s="407">
        <f t="shared" ref="N22" si="36">M22-M23+M24</f>
        <v>21152.252126922289</v>
      </c>
      <c r="O22" s="407">
        <f t="shared" ref="O22" si="37">N22-N23+N24</f>
        <v>24656.30071827455</v>
      </c>
      <c r="P22" s="407">
        <f t="shared" ref="P22" si="38">O22-O23+O24</f>
        <v>28561.079193264897</v>
      </c>
    </row>
    <row r="23" spans="1:19" ht="12.6" customHeight="1" x14ac:dyDescent="0.25">
      <c r="A23" s="94"/>
      <c r="B23" s="405" t="s">
        <v>133</v>
      </c>
      <c r="C23" s="405"/>
      <c r="D23" s="405"/>
      <c r="E23" s="406">
        <f>-Sheet1!D15</f>
        <v>1</v>
      </c>
      <c r="F23" s="406">
        <f>-Sheet1!D18</f>
        <v>15</v>
      </c>
      <c r="G23" s="407"/>
      <c r="H23" s="407"/>
      <c r="I23" s="407"/>
      <c r="J23" s="407"/>
      <c r="K23" s="407"/>
      <c r="L23" s="407"/>
      <c r="M23" s="407"/>
      <c r="N23" s="407"/>
      <c r="O23" s="407"/>
      <c r="P23" s="407"/>
    </row>
    <row r="24" spans="1:19" ht="12.6" customHeight="1" x14ac:dyDescent="0.25">
      <c r="A24" s="94"/>
      <c r="B24" s="405" t="s">
        <v>131</v>
      </c>
      <c r="C24" s="405"/>
      <c r="D24" s="405"/>
      <c r="E24" s="406">
        <f>-Sheet1!D25</f>
        <v>1194</v>
      </c>
      <c r="F24" s="406">
        <f>Sheet1!D17</f>
        <v>1580</v>
      </c>
      <c r="G24" s="413">
        <f>F24/E25*F25</f>
        <v>1760.0639053254438</v>
      </c>
      <c r="H24" s="413">
        <f t="shared" ref="H24:J24" si="39">G24/F25*G25</f>
        <v>2046.5351244136855</v>
      </c>
      <c r="I24" s="413">
        <f t="shared" si="39"/>
        <v>2135.3953926956447</v>
      </c>
      <c r="J24" s="413">
        <f t="shared" si="39"/>
        <v>2266.170047478236</v>
      </c>
      <c r="K24" s="413">
        <f t="shared" ref="K24" si="40">J24/I25*J25</f>
        <v>2546.6035127248042</v>
      </c>
      <c r="L24" s="413">
        <f t="shared" ref="L24" si="41">K24/J25*K25</f>
        <v>2822.4953349002872</v>
      </c>
      <c r="M24" s="413">
        <f t="shared" ref="M24" si="42">L24/K25*L25</f>
        <v>3145.988809384186</v>
      </c>
      <c r="N24" s="413">
        <f t="shared" ref="N24" si="43">M24/L25*M25</f>
        <v>3504.0485913522598</v>
      </c>
      <c r="O24" s="413">
        <f t="shared" ref="O24" si="44">N24/M25*N25</f>
        <v>3904.7784749903481</v>
      </c>
      <c r="P24" s="413">
        <f t="shared" ref="P24" si="45">O24/N25*O25</f>
        <v>4350.0758444247967</v>
      </c>
    </row>
    <row r="25" spans="1:19" ht="12.6" customHeight="1" thickBot="1" x14ac:dyDescent="0.3">
      <c r="A25" s="94"/>
      <c r="B25" s="93" t="s">
        <v>105</v>
      </c>
      <c r="C25" s="427"/>
      <c r="D25" s="427"/>
      <c r="E25" s="430">
        <f>E21-E22+E23-E24</f>
        <v>16900</v>
      </c>
      <c r="F25" s="430">
        <f>F21-F22+F23-F24</f>
        <v>18826</v>
      </c>
      <c r="G25" s="431">
        <f t="shared" ref="G25:J25" si="46">G21-G22+G23-G24</f>
        <v>21890.154178855246</v>
      </c>
      <c r="H25" s="431">
        <f t="shared" si="46"/>
        <v>22840.621605415443</v>
      </c>
      <c r="I25" s="431">
        <f t="shared" si="46"/>
        <v>24239.413798976075</v>
      </c>
      <c r="J25" s="431">
        <f t="shared" si="46"/>
        <v>27238.986939904556</v>
      </c>
      <c r="K25" s="431">
        <f t="shared" ref="K25:P25" si="47">K21-K22+K23-K24</f>
        <v>30189.981746718266</v>
      </c>
      <c r="L25" s="431">
        <f t="shared" si="47"/>
        <v>33650.133467463769</v>
      </c>
      <c r="M25" s="431">
        <f t="shared" si="47"/>
        <v>37480.01341383114</v>
      </c>
      <c r="N25" s="431">
        <f t="shared" si="47"/>
        <v>41766.301409706895</v>
      </c>
      <c r="O25" s="431">
        <f t="shared" si="47"/>
        <v>46529.29225998676</v>
      </c>
      <c r="P25" s="431">
        <f t="shared" si="47"/>
        <v>51816.34487942476</v>
      </c>
    </row>
    <row r="26" spans="1:19" x14ac:dyDescent="0.25">
      <c r="A26" s="94"/>
      <c r="B26" s="405"/>
      <c r="C26" s="405"/>
      <c r="D26" s="405"/>
      <c r="E26" s="408"/>
      <c r="F26" s="408"/>
      <c r="G26" s="409"/>
      <c r="H26" s="409"/>
      <c r="I26" s="409"/>
      <c r="J26" s="409"/>
      <c r="K26" s="409"/>
      <c r="L26" s="409"/>
      <c r="M26" s="409"/>
      <c r="N26" s="409"/>
      <c r="O26" s="409"/>
      <c r="P26" s="409"/>
    </row>
    <row r="27" spans="1:19" x14ac:dyDescent="0.25">
      <c r="A27" s="94"/>
      <c r="B27" s="404" t="s">
        <v>132</v>
      </c>
      <c r="C27" s="404"/>
      <c r="D27" s="404"/>
      <c r="E27" s="406"/>
      <c r="F27" s="406"/>
      <c r="G27" s="407"/>
      <c r="H27" s="407"/>
      <c r="I27" s="407"/>
      <c r="J27" s="407"/>
      <c r="K27" s="407"/>
      <c r="L27" s="407"/>
      <c r="M27" s="407"/>
      <c r="N27" s="407"/>
      <c r="O27" s="407"/>
      <c r="P27" s="407"/>
    </row>
    <row r="28" spans="1:19" ht="12.6" customHeight="1" x14ac:dyDescent="0.25">
      <c r="A28" s="94"/>
      <c r="B28" s="93" t="s">
        <v>128</v>
      </c>
      <c r="C28" s="93"/>
      <c r="D28" s="93"/>
      <c r="E28" s="411">
        <f>Sheet1!E4</f>
        <v>138833</v>
      </c>
      <c r="F28" s="411">
        <f>E31</f>
        <v>150769</v>
      </c>
      <c r="G28" s="412">
        <f t="shared" ref="G28:J28" si="48">F31</f>
        <v>185436</v>
      </c>
      <c r="H28" s="412">
        <f t="shared" si="48"/>
        <v>235800.7819158193</v>
      </c>
      <c r="I28" s="412">
        <f t="shared" si="48"/>
        <v>267089.45445239445</v>
      </c>
      <c r="J28" s="412">
        <f t="shared" si="48"/>
        <v>303986.33264599775</v>
      </c>
      <c r="K28" s="412">
        <f t="shared" ref="K28" si="49">J31</f>
        <v>358960.63162689807</v>
      </c>
      <c r="L28" s="412">
        <f t="shared" ref="L28" si="50">K31</f>
        <v>416355.4955390995</v>
      </c>
      <c r="M28" s="412">
        <f t="shared" ref="M28" si="51">L31</f>
        <v>481946.25932510349</v>
      </c>
      <c r="N28" s="412">
        <f t="shared" ref="N28" si="52">M31</f>
        <v>554774.24977373041</v>
      </c>
      <c r="O28" s="412">
        <f t="shared" ref="O28" si="53">N31</f>
        <v>636105.27511712594</v>
      </c>
      <c r="P28" s="412">
        <f t="shared" ref="P28" si="54">O31</f>
        <v>726596.68826351198</v>
      </c>
    </row>
    <row r="29" spans="1:19" ht="12.6" customHeight="1" x14ac:dyDescent="0.25">
      <c r="A29" s="94"/>
      <c r="B29" s="405" t="s">
        <v>114</v>
      </c>
      <c r="C29" s="405"/>
      <c r="D29" s="405"/>
      <c r="E29" s="406">
        <f>Sheet1!E5</f>
        <v>12949</v>
      </c>
      <c r="F29" s="406">
        <f>Sheet1!E8</f>
        <v>36707</v>
      </c>
      <c r="G29" s="414">
        <f t="shared" ref="G29:P29" si="55">G101-G19</f>
        <v>50364.781915819309</v>
      </c>
      <c r="H29" s="414">
        <f t="shared" si="55"/>
        <v>31288.672536575166</v>
      </c>
      <c r="I29" s="414">
        <f t="shared" si="55"/>
        <v>36896.878193603312</v>
      </c>
      <c r="J29" s="414">
        <f t="shared" si="55"/>
        <v>54974.29898090029</v>
      </c>
      <c r="K29" s="414">
        <f t="shared" si="55"/>
        <v>57394.863912201406</v>
      </c>
      <c r="L29" s="414">
        <f t="shared" si="55"/>
        <v>65590.763786003983</v>
      </c>
      <c r="M29" s="414">
        <f t="shared" si="55"/>
        <v>72827.990448626952</v>
      </c>
      <c r="N29" s="414">
        <f t="shared" si="55"/>
        <v>81331.025343395493</v>
      </c>
      <c r="O29" s="414">
        <f t="shared" si="55"/>
        <v>90491.413146386098</v>
      </c>
      <c r="P29" s="414">
        <f t="shared" si="55"/>
        <v>100611.51152531615</v>
      </c>
    </row>
    <row r="30" spans="1:19" ht="12.6" customHeight="1" x14ac:dyDescent="0.25">
      <c r="A30" s="94"/>
      <c r="B30" s="405" t="s">
        <v>127</v>
      </c>
      <c r="C30" s="405"/>
      <c r="D30" s="405"/>
      <c r="E30" s="406">
        <f>-Sheet1!E6</f>
        <v>1013</v>
      </c>
      <c r="F30" s="406">
        <f>-Sheet1!E9</f>
        <v>2040</v>
      </c>
      <c r="G30" s="407"/>
      <c r="H30" s="407"/>
      <c r="I30" s="407"/>
      <c r="J30" s="407"/>
      <c r="K30" s="407"/>
      <c r="L30" s="407"/>
      <c r="M30" s="407"/>
      <c r="N30" s="407"/>
      <c r="O30" s="407"/>
      <c r="P30" s="407"/>
    </row>
    <row r="31" spans="1:19" ht="12.6" customHeight="1" x14ac:dyDescent="0.25">
      <c r="A31" s="94"/>
      <c r="B31" s="93" t="s">
        <v>129</v>
      </c>
      <c r="C31" s="93"/>
      <c r="D31" s="93"/>
      <c r="E31" s="411">
        <f>E28+E29-E30</f>
        <v>150769</v>
      </c>
      <c r="F31" s="411">
        <f>F28+F29-F30</f>
        <v>185436</v>
      </c>
      <c r="G31" s="412">
        <f>G28+G29-G30</f>
        <v>235800.7819158193</v>
      </c>
      <c r="H31" s="412">
        <f t="shared" ref="H31" si="56">H28+H29-H30</f>
        <v>267089.45445239445</v>
      </c>
      <c r="I31" s="412">
        <f t="shared" ref="I31" si="57">I28+I29-I30</f>
        <v>303986.33264599775</v>
      </c>
      <c r="J31" s="412">
        <f t="shared" ref="J31:P31" si="58">J28+J29-J30</f>
        <v>358960.63162689807</v>
      </c>
      <c r="K31" s="412">
        <f t="shared" si="58"/>
        <v>416355.4955390995</v>
      </c>
      <c r="L31" s="412">
        <f t="shared" si="58"/>
        <v>481946.25932510349</v>
      </c>
      <c r="M31" s="412">
        <f t="shared" si="58"/>
        <v>554774.24977373041</v>
      </c>
      <c r="N31" s="412">
        <f t="shared" si="58"/>
        <v>636105.27511712594</v>
      </c>
      <c r="O31" s="412">
        <f t="shared" si="58"/>
        <v>726596.68826351198</v>
      </c>
      <c r="P31" s="412">
        <f t="shared" si="58"/>
        <v>827208.19978882815</v>
      </c>
    </row>
    <row r="32" spans="1:19" ht="12.6" customHeight="1" x14ac:dyDescent="0.25">
      <c r="A32" s="94"/>
      <c r="B32" s="405" t="s">
        <v>130</v>
      </c>
      <c r="C32" s="405"/>
      <c r="D32" s="405"/>
      <c r="E32" s="406">
        <f>Sheet1!E13</f>
        <v>48444</v>
      </c>
      <c r="F32" s="406">
        <f>E32-E33+E34</f>
        <v>72330</v>
      </c>
      <c r="G32" s="407">
        <f>F32-F33+F34</f>
        <v>97140</v>
      </c>
      <c r="H32" s="407">
        <f>G32-G33+G34</f>
        <v>126697.69920575224</v>
      </c>
      <c r="I32" s="407">
        <f>H32-H33+H34</f>
        <v>163220.71385153994</v>
      </c>
      <c r="J32" s="407">
        <f t="shared" ref="J32" si="59">I32-I33+I34</f>
        <v>197991.4961243537</v>
      </c>
      <c r="K32" s="407">
        <f t="shared" ref="K32" si="60">J32-J33+J34</f>
        <v>233474.0037721479</v>
      </c>
      <c r="L32" s="407">
        <f t="shared" ref="L32" si="61">K32-K33+K34</f>
        <v>275481.52393698972</v>
      </c>
      <c r="M32" s="407">
        <f t="shared" ref="M32" si="62">L32-L33+L34</f>
        <v>322640.0642846254</v>
      </c>
      <c r="N32" s="407">
        <f t="shared" ref="N32" si="63">M32-M33+M34</f>
        <v>375968.91943796584</v>
      </c>
      <c r="O32" s="407">
        <f t="shared" ref="O32" si="64">N32-N33+N34</f>
        <v>435825.2455506968</v>
      </c>
      <c r="P32" s="407">
        <f t="shared" ref="P32" si="65">O32-O33+O34</f>
        <v>502870.37637025461</v>
      </c>
    </row>
    <row r="33" spans="1:16" ht="12.6" customHeight="1" x14ac:dyDescent="0.25">
      <c r="A33" s="94"/>
      <c r="B33" s="405" t="s">
        <v>133</v>
      </c>
      <c r="C33" s="405"/>
      <c r="D33" s="405"/>
      <c r="E33" s="406">
        <f>-Sheet1!E15</f>
        <v>498</v>
      </c>
      <c r="F33" s="406">
        <f>-Sheet1!E18</f>
        <v>1448</v>
      </c>
      <c r="G33" s="407"/>
      <c r="H33" s="407"/>
      <c r="I33" s="407"/>
      <c r="J33" s="407"/>
      <c r="K33" s="407"/>
      <c r="L33" s="407"/>
      <c r="M33" s="407"/>
      <c r="N33" s="407"/>
      <c r="O33" s="407"/>
      <c r="P33" s="407"/>
    </row>
    <row r="34" spans="1:16" ht="12.6" customHeight="1" x14ac:dyDescent="0.25">
      <c r="A34" s="94"/>
      <c r="B34" s="405" t="s">
        <v>131</v>
      </c>
      <c r="C34" s="405"/>
      <c r="D34" s="405"/>
      <c r="E34" s="406">
        <f>Sheet1!E14</f>
        <v>24384</v>
      </c>
      <c r="F34" s="406">
        <f>Sheet1!E17</f>
        <v>26258</v>
      </c>
      <c r="G34" s="413">
        <f>F34/E35*F35</f>
        <v>29557.69920575224</v>
      </c>
      <c r="H34" s="413">
        <f t="shared" ref="H34" si="66">G34/F35*G35</f>
        <v>36523.014645787691</v>
      </c>
      <c r="I34" s="413">
        <f t="shared" ref="I34" si="67">H34/G35*H35</f>
        <v>34770.782272813754</v>
      </c>
      <c r="J34" s="413">
        <f t="shared" ref="J34" si="68">I34/H35*I35</f>
        <v>35482.507647794198</v>
      </c>
      <c r="K34" s="413">
        <f t="shared" ref="K34" si="69">J34/I35*J35</f>
        <v>42007.520164841844</v>
      </c>
      <c r="L34" s="413">
        <f t="shared" ref="L34" si="70">K34/J35*K35</f>
        <v>47158.54034763571</v>
      </c>
      <c r="M34" s="413">
        <f t="shared" ref="M34" si="71">L34/K35*L35</f>
        <v>53328.855153340453</v>
      </c>
      <c r="N34" s="413">
        <f t="shared" ref="N34" si="72">M34/L35*M35</f>
        <v>59856.326112730974</v>
      </c>
      <c r="O34" s="413">
        <f t="shared" ref="O34" si="73">N34/M35*N35</f>
        <v>67045.130819557802</v>
      </c>
      <c r="P34" s="413">
        <f t="shared" ref="P34" si="74">O34/N35*O35</f>
        <v>74893.936660247462</v>
      </c>
    </row>
    <row r="35" spans="1:16" ht="12.6" customHeight="1" thickBot="1" x14ac:dyDescent="0.3">
      <c r="A35" s="94"/>
      <c r="B35" s="93" t="s">
        <v>105</v>
      </c>
      <c r="C35" s="427"/>
      <c r="D35" s="427"/>
      <c r="E35" s="430">
        <f>E31-E32+E33-E34</f>
        <v>78439</v>
      </c>
      <c r="F35" s="430">
        <f>F31-F32+F33-F34</f>
        <v>88296</v>
      </c>
      <c r="G35" s="431">
        <f t="shared" ref="G35" si="75">G31-G32+G33-G34</f>
        <v>109103.08271006706</v>
      </c>
      <c r="H35" s="431">
        <f t="shared" ref="H35" si="76">H31-H32+H33-H34</f>
        <v>103868.74060085454</v>
      </c>
      <c r="I35" s="431">
        <f t="shared" ref="I35" si="77">I31-I32+I33-I34</f>
        <v>105994.83652164406</v>
      </c>
      <c r="J35" s="431">
        <f t="shared" ref="J35:P35" si="78">J31-J32+J33-J34</f>
        <v>125486.62785475017</v>
      </c>
      <c r="K35" s="431">
        <f t="shared" si="78"/>
        <v>140873.97160210976</v>
      </c>
      <c r="L35" s="431">
        <f t="shared" si="78"/>
        <v>159306.19504047805</v>
      </c>
      <c r="M35" s="431">
        <f t="shared" si="78"/>
        <v>178805.33033576456</v>
      </c>
      <c r="N35" s="431">
        <f t="shared" si="78"/>
        <v>200280.02956642912</v>
      </c>
      <c r="O35" s="431">
        <f t="shared" si="78"/>
        <v>223726.31189325737</v>
      </c>
      <c r="P35" s="431">
        <f t="shared" si="78"/>
        <v>249443.88675832609</v>
      </c>
    </row>
    <row r="36" spans="1:16" ht="12.6" customHeight="1" x14ac:dyDescent="0.25">
      <c r="A36" s="94"/>
      <c r="B36" s="405"/>
      <c r="C36" s="405"/>
      <c r="D36" s="405"/>
      <c r="E36" s="408"/>
      <c r="F36" s="408"/>
      <c r="G36" s="409"/>
      <c r="H36" s="409"/>
      <c r="I36" s="409"/>
      <c r="J36" s="409"/>
      <c r="K36" s="409"/>
      <c r="L36" s="409"/>
      <c r="M36" s="409"/>
      <c r="N36" s="409"/>
      <c r="O36" s="409"/>
      <c r="P36" s="409"/>
    </row>
    <row r="37" spans="1:16" x14ac:dyDescent="0.25">
      <c r="A37" s="94"/>
      <c r="B37" s="404" t="s">
        <v>111</v>
      </c>
      <c r="C37" s="404"/>
      <c r="D37" s="404"/>
      <c r="E37" s="406"/>
      <c r="F37" s="406"/>
      <c r="G37" s="407"/>
      <c r="H37" s="407"/>
      <c r="I37" s="407"/>
      <c r="J37" s="407"/>
      <c r="K37" s="407"/>
      <c r="L37" s="407"/>
      <c r="M37" s="407"/>
      <c r="N37" s="407"/>
      <c r="O37" s="407"/>
      <c r="P37" s="407"/>
    </row>
    <row r="38" spans="1:16" ht="12.6" customHeight="1" x14ac:dyDescent="0.25">
      <c r="A38" s="94"/>
      <c r="B38" s="93" t="s">
        <v>128</v>
      </c>
      <c r="C38" s="93"/>
      <c r="D38" s="93"/>
      <c r="E38" s="411">
        <f>Sheet1!F4</f>
        <v>1344</v>
      </c>
      <c r="F38" s="411">
        <f>E41</f>
        <v>1717</v>
      </c>
      <c r="G38" s="412">
        <f t="shared" ref="G38:J38" si="79">F41</f>
        <v>2073</v>
      </c>
      <c r="H38" s="412">
        <f t="shared" si="79"/>
        <v>2073</v>
      </c>
      <c r="I38" s="412">
        <f t="shared" si="79"/>
        <v>2073</v>
      </c>
      <c r="J38" s="412">
        <f t="shared" si="79"/>
        <v>2073</v>
      </c>
      <c r="K38" s="412">
        <f t="shared" ref="K38" si="80">J41</f>
        <v>2073</v>
      </c>
      <c r="L38" s="412">
        <f t="shared" ref="L38" si="81">K41</f>
        <v>2073</v>
      </c>
      <c r="M38" s="412">
        <f t="shared" ref="M38" si="82">L41</f>
        <v>2073</v>
      </c>
      <c r="N38" s="412">
        <f t="shared" ref="N38" si="83">M41</f>
        <v>2073</v>
      </c>
      <c r="O38" s="412">
        <f t="shared" ref="O38" si="84">N41</f>
        <v>2073</v>
      </c>
      <c r="P38" s="412">
        <f t="shared" ref="P38" si="85">O41</f>
        <v>2073</v>
      </c>
    </row>
    <row r="39" spans="1:16" ht="12.6" customHeight="1" x14ac:dyDescent="0.25">
      <c r="A39" s="94"/>
      <c r="B39" s="405" t="s">
        <v>114</v>
      </c>
      <c r="C39" s="405"/>
      <c r="D39" s="405"/>
      <c r="E39" s="406">
        <f>Sheet1!F5</f>
        <v>382</v>
      </c>
      <c r="F39" s="406">
        <f>Sheet1!F8</f>
        <v>396</v>
      </c>
      <c r="G39" s="407"/>
      <c r="H39" s="407"/>
      <c r="I39" s="407"/>
      <c r="J39" s="407"/>
      <c r="K39" s="407"/>
      <c r="L39" s="407"/>
      <c r="M39" s="407"/>
      <c r="N39" s="407"/>
      <c r="O39" s="407"/>
      <c r="P39" s="407"/>
    </row>
    <row r="40" spans="1:16" ht="12.6" customHeight="1" x14ac:dyDescent="0.25">
      <c r="A40" s="94"/>
      <c r="B40" s="405" t="s">
        <v>127</v>
      </c>
      <c r="C40" s="405"/>
      <c r="D40" s="405"/>
      <c r="E40" s="406">
        <f>-Sheet1!F6</f>
        <v>9</v>
      </c>
      <c r="F40" s="406">
        <f>-Sheet1!F9</f>
        <v>40</v>
      </c>
      <c r="G40" s="407"/>
      <c r="H40" s="407"/>
      <c r="I40" s="407"/>
      <c r="J40" s="407"/>
      <c r="K40" s="407"/>
      <c r="L40" s="407"/>
      <c r="M40" s="407"/>
      <c r="N40" s="407"/>
      <c r="O40" s="407"/>
      <c r="P40" s="407"/>
    </row>
    <row r="41" spans="1:16" ht="12.6" customHeight="1" x14ac:dyDescent="0.25">
      <c r="A41" s="94"/>
      <c r="B41" s="93" t="s">
        <v>129</v>
      </c>
      <c r="C41" s="93"/>
      <c r="D41" s="93"/>
      <c r="E41" s="411">
        <f>E38+E39-E40</f>
        <v>1717</v>
      </c>
      <c r="F41" s="411">
        <f>F38+F39-F40</f>
        <v>2073</v>
      </c>
      <c r="G41" s="412">
        <f>G38+G39-G40</f>
        <v>2073</v>
      </c>
      <c r="H41" s="412">
        <f t="shared" ref="H41" si="86">H38+H39-H40</f>
        <v>2073</v>
      </c>
      <c r="I41" s="412">
        <f t="shared" ref="I41" si="87">I38+I39-I40</f>
        <v>2073</v>
      </c>
      <c r="J41" s="412">
        <f t="shared" ref="J41:P41" si="88">J38+J39-J40</f>
        <v>2073</v>
      </c>
      <c r="K41" s="412">
        <f t="shared" si="88"/>
        <v>2073</v>
      </c>
      <c r="L41" s="412">
        <f t="shared" si="88"/>
        <v>2073</v>
      </c>
      <c r="M41" s="412">
        <f t="shared" si="88"/>
        <v>2073</v>
      </c>
      <c r="N41" s="412">
        <f t="shared" si="88"/>
        <v>2073</v>
      </c>
      <c r="O41" s="412">
        <f t="shared" si="88"/>
        <v>2073</v>
      </c>
      <c r="P41" s="412">
        <f t="shared" si="88"/>
        <v>2073</v>
      </c>
    </row>
    <row r="42" spans="1:16" ht="12.6" customHeight="1" x14ac:dyDescent="0.25">
      <c r="A42" s="94"/>
      <c r="B42" s="405" t="s">
        <v>130</v>
      </c>
      <c r="C42" s="405"/>
      <c r="D42" s="405"/>
      <c r="E42" s="406">
        <f>Sheet1!F13</f>
        <v>736</v>
      </c>
      <c r="F42" s="406">
        <f>E42-E43+E44</f>
        <v>1147</v>
      </c>
      <c r="G42" s="407">
        <f>F42-F43+F44</f>
        <v>1554</v>
      </c>
      <c r="H42" s="407">
        <f>G42-G43+G44</f>
        <v>1960.0947368421052</v>
      </c>
      <c r="I42" s="407">
        <f>H42-H43+H44</f>
        <v>2048.4381532779316</v>
      </c>
      <c r="J42" s="407">
        <f t="shared" ref="J42" si="89">I42-I43+I44</f>
        <v>2067.656721063971</v>
      </c>
      <c r="K42" s="407">
        <f t="shared" ref="K42" si="90">J42-J43+J44</f>
        <v>2071.8376024770741</v>
      </c>
      <c r="L42" s="407">
        <f t="shared" ref="L42" si="91">K42-K43+K44</f>
        <v>2072.7471275564162</v>
      </c>
      <c r="M42" s="407">
        <f t="shared" ref="M42" si="92">L42-L43+L44</f>
        <v>2072.9449891526242</v>
      </c>
      <c r="N42" s="407">
        <f t="shared" ref="N42" si="93">M42-M43+M44</f>
        <v>2072.9880327279393</v>
      </c>
      <c r="O42" s="407">
        <f t="shared" ref="O42" si="94">N42-N43+N44</f>
        <v>2072.9973965934464</v>
      </c>
      <c r="P42" s="407">
        <f t="shared" ref="P42" si="95">O42-O43+O44</f>
        <v>2072.9994336448904</v>
      </c>
    </row>
    <row r="43" spans="1:16" ht="12.6" customHeight="1" x14ac:dyDescent="0.25">
      <c r="A43" s="94"/>
      <c r="B43" s="405" t="s">
        <v>133</v>
      </c>
      <c r="C43" s="405"/>
      <c r="D43" s="405"/>
      <c r="E43" s="406">
        <f>-Sheet1!F15</f>
        <v>12</v>
      </c>
      <c r="F43" s="406">
        <f>-Sheet1!F18</f>
        <v>39</v>
      </c>
      <c r="G43" s="407"/>
      <c r="H43" s="407"/>
      <c r="I43" s="407"/>
      <c r="J43" s="407"/>
      <c r="K43" s="407"/>
      <c r="L43" s="407"/>
      <c r="M43" s="407"/>
      <c r="N43" s="407"/>
      <c r="O43" s="407"/>
      <c r="P43" s="407"/>
    </row>
    <row r="44" spans="1:16" ht="12.6" customHeight="1" x14ac:dyDescent="0.25">
      <c r="A44" s="94"/>
      <c r="B44" s="405" t="s">
        <v>131</v>
      </c>
      <c r="C44" s="405"/>
      <c r="D44" s="405"/>
      <c r="E44" s="406">
        <f>Sheet1!F14</f>
        <v>423</v>
      </c>
      <c r="F44" s="406">
        <f>Sheet1!F17</f>
        <v>446</v>
      </c>
      <c r="G44" s="413">
        <f>F44/E45*F45</f>
        <v>406.09473684210525</v>
      </c>
      <c r="H44" s="413">
        <f>G44/F45*G45</f>
        <v>88.343416435826413</v>
      </c>
      <c r="I44" s="413">
        <f t="shared" ref="I44" si="96">H44/G45*H45</f>
        <v>19.218567786039436</v>
      </c>
      <c r="J44" s="413">
        <f t="shared" ref="J44" si="97">I44/H45*I45</f>
        <v>4.1808814131033385</v>
      </c>
      <c r="K44" s="413">
        <f t="shared" ref="K44" si="98">J44/I45*J45</f>
        <v>0.90952507934186244</v>
      </c>
      <c r="L44" s="413">
        <f t="shared" ref="L44" si="99">K44/J45*K45</f>
        <v>0.19786159620782781</v>
      </c>
      <c r="M44" s="413">
        <f t="shared" ref="M44" si="100">L44/K45*L45</f>
        <v>4.3043575315221093E-2</v>
      </c>
      <c r="N44" s="413">
        <f t="shared" ref="N44" si="101">M44/L45*M45</f>
        <v>9.3638655070473562E-3</v>
      </c>
      <c r="O44" s="413">
        <f t="shared" ref="O44" si="102">N44/M45*N45</f>
        <v>2.0370514437362914E-3</v>
      </c>
      <c r="P44" s="413">
        <f t="shared" ref="P44" si="103">O44/N45*O45</f>
        <v>4.4314803332381157E-4</v>
      </c>
    </row>
    <row r="45" spans="1:16" s="434" customFormat="1" ht="12.6" customHeight="1" thickBot="1" x14ac:dyDescent="0.3">
      <c r="B45" s="435" t="s">
        <v>105</v>
      </c>
      <c r="C45" s="436"/>
      <c r="D45" s="436"/>
      <c r="E45" s="437">
        <f>E41-E42+E43-E44</f>
        <v>570</v>
      </c>
      <c r="F45" s="437">
        <f>F41-F42+F43-F44</f>
        <v>519</v>
      </c>
      <c r="G45" s="438">
        <f t="shared" ref="G45" si="104">G41-G42+G43-G44</f>
        <v>112.90526315789475</v>
      </c>
      <c r="H45" s="438">
        <f t="shared" ref="H45" si="105">H41-H42+H43-H44</f>
        <v>24.561846722068339</v>
      </c>
      <c r="I45" s="438">
        <f t="shared" ref="I45" si="106">I41-I42+I43-I44</f>
        <v>5.3432789360289306</v>
      </c>
      <c r="J45" s="438">
        <f t="shared" ref="J45:P45" si="107">J41-J42+J43-J44</f>
        <v>1.1623975229256986</v>
      </c>
      <c r="K45" s="438">
        <f t="shared" si="107"/>
        <v>0.25287244358399519</v>
      </c>
      <c r="L45" s="438">
        <f t="shared" si="107"/>
        <v>5.5010847375955213E-2</v>
      </c>
      <c r="M45" s="438">
        <f t="shared" si="107"/>
        <v>1.1967272060576219E-2</v>
      </c>
      <c r="N45" s="438">
        <f t="shared" si="107"/>
        <v>2.6034065536540054E-3</v>
      </c>
      <c r="O45" s="438">
        <f t="shared" si="107"/>
        <v>5.6635510985330196E-4</v>
      </c>
      <c r="P45" s="438">
        <f t="shared" si="107"/>
        <v>1.2320707631661466E-4</v>
      </c>
    </row>
    <row r="46" spans="1:16" ht="12.6" customHeight="1" x14ac:dyDescent="0.25">
      <c r="A46" s="94"/>
      <c r="B46" s="93"/>
      <c r="C46" s="93"/>
      <c r="D46" s="93"/>
      <c r="E46" s="411"/>
      <c r="F46" s="411"/>
      <c r="G46" s="412"/>
      <c r="H46" s="412"/>
      <c r="I46" s="412"/>
      <c r="J46" s="412"/>
      <c r="K46" s="412"/>
      <c r="L46" s="412"/>
      <c r="M46" s="412"/>
      <c r="N46" s="412"/>
      <c r="O46" s="412"/>
      <c r="P46" s="412"/>
    </row>
    <row r="47" spans="1:16" x14ac:dyDescent="0.25">
      <c r="A47" s="94"/>
      <c r="B47" s="404" t="s">
        <v>118</v>
      </c>
      <c r="C47" s="404"/>
      <c r="D47" s="404"/>
      <c r="E47" s="406"/>
      <c r="F47" s="406"/>
      <c r="G47" s="407"/>
      <c r="H47" s="407"/>
      <c r="I47" s="407"/>
      <c r="J47" s="407"/>
      <c r="K47" s="407"/>
      <c r="L47" s="407"/>
      <c r="M47" s="407"/>
      <c r="N47" s="407"/>
      <c r="O47" s="407"/>
      <c r="P47" s="407"/>
    </row>
    <row r="48" spans="1:16" ht="12.6" customHeight="1" x14ac:dyDescent="0.25">
      <c r="A48" s="94"/>
      <c r="B48" s="93" t="s">
        <v>128</v>
      </c>
      <c r="C48" s="93"/>
      <c r="D48" s="93"/>
      <c r="E48" s="411">
        <f>Sheet1!G4</f>
        <v>1391</v>
      </c>
      <c r="F48" s="411">
        <f>E51</f>
        <v>2053</v>
      </c>
      <c r="G48" s="412">
        <f t="shared" ref="G48:J48" si="108">F51</f>
        <v>2687</v>
      </c>
      <c r="H48" s="412">
        <f t="shared" si="108"/>
        <v>2687</v>
      </c>
      <c r="I48" s="412">
        <f t="shared" si="108"/>
        <v>2687</v>
      </c>
      <c r="J48" s="412">
        <f t="shared" si="108"/>
        <v>2687</v>
      </c>
      <c r="K48" s="412">
        <f t="shared" ref="K48" si="109">J51</f>
        <v>2687</v>
      </c>
      <c r="L48" s="412">
        <f t="shared" ref="L48" si="110">K51</f>
        <v>2687</v>
      </c>
      <c r="M48" s="412">
        <f t="shared" ref="M48" si="111">L51</f>
        <v>2687</v>
      </c>
      <c r="N48" s="412">
        <f t="shared" ref="N48" si="112">M51</f>
        <v>2687</v>
      </c>
      <c r="O48" s="412">
        <f t="shared" ref="O48" si="113">N51</f>
        <v>2687</v>
      </c>
      <c r="P48" s="412">
        <f t="shared" ref="P48" si="114">O51</f>
        <v>2687</v>
      </c>
    </row>
    <row r="49" spans="1:16" ht="12.6" customHeight="1" x14ac:dyDescent="0.25">
      <c r="A49" s="94"/>
      <c r="B49" s="405" t="s">
        <v>114</v>
      </c>
      <c r="C49" s="405"/>
      <c r="D49" s="405"/>
      <c r="E49" s="406">
        <f>Sheet1!G5</f>
        <v>664</v>
      </c>
      <c r="F49" s="406">
        <f>Sheet1!G8</f>
        <v>500</v>
      </c>
      <c r="G49" s="407"/>
      <c r="H49" s="407"/>
      <c r="I49" s="407"/>
      <c r="J49" s="407"/>
      <c r="K49" s="407"/>
      <c r="L49" s="407"/>
      <c r="M49" s="407"/>
      <c r="N49" s="407"/>
      <c r="O49" s="407"/>
      <c r="P49" s="407"/>
    </row>
    <row r="50" spans="1:16" ht="12.6" customHeight="1" x14ac:dyDescent="0.25">
      <c r="A50" s="94"/>
      <c r="B50" s="405" t="s">
        <v>127</v>
      </c>
      <c r="C50" s="405"/>
      <c r="D50" s="405"/>
      <c r="E50" s="406">
        <f>-Sheet1!G6</f>
        <v>2</v>
      </c>
      <c r="F50" s="406">
        <f>-Sheet1!G9</f>
        <v>-134</v>
      </c>
      <c r="G50" s="407"/>
      <c r="H50" s="407"/>
      <c r="I50" s="407"/>
      <c r="J50" s="407"/>
      <c r="K50" s="407"/>
      <c r="L50" s="407"/>
      <c r="M50" s="407"/>
      <c r="N50" s="407"/>
      <c r="O50" s="407"/>
      <c r="P50" s="407"/>
    </row>
    <row r="51" spans="1:16" ht="12.6" customHeight="1" x14ac:dyDescent="0.25">
      <c r="A51" s="94"/>
      <c r="B51" s="93" t="s">
        <v>129</v>
      </c>
      <c r="C51" s="93"/>
      <c r="D51" s="93"/>
      <c r="E51" s="411">
        <f>E48+E49-E50</f>
        <v>2053</v>
      </c>
      <c r="F51" s="411">
        <f>F48+F49-F50</f>
        <v>2687</v>
      </c>
      <c r="G51" s="412">
        <f>G48+G49-G50</f>
        <v>2687</v>
      </c>
      <c r="H51" s="412">
        <f t="shared" ref="H51" si="115">H48+H49-H50</f>
        <v>2687</v>
      </c>
      <c r="I51" s="412">
        <f t="shared" ref="I51" si="116">I48+I49-I50</f>
        <v>2687</v>
      </c>
      <c r="J51" s="412">
        <f t="shared" ref="J51:P51" si="117">J48+J49-J50</f>
        <v>2687</v>
      </c>
      <c r="K51" s="412">
        <f t="shared" si="117"/>
        <v>2687</v>
      </c>
      <c r="L51" s="412">
        <f t="shared" si="117"/>
        <v>2687</v>
      </c>
      <c r="M51" s="412">
        <f t="shared" si="117"/>
        <v>2687</v>
      </c>
      <c r="N51" s="412">
        <f t="shared" si="117"/>
        <v>2687</v>
      </c>
      <c r="O51" s="412">
        <f t="shared" si="117"/>
        <v>2687</v>
      </c>
      <c r="P51" s="412">
        <f t="shared" si="117"/>
        <v>2687</v>
      </c>
    </row>
    <row r="52" spans="1:16" ht="12.6" customHeight="1" x14ac:dyDescent="0.25">
      <c r="A52" s="94"/>
      <c r="B52" s="405" t="s">
        <v>130</v>
      </c>
      <c r="C52" s="405"/>
      <c r="D52" s="405"/>
      <c r="E52" s="406">
        <f>Sheet1!G13</f>
        <v>416</v>
      </c>
      <c r="F52" s="406">
        <f>E52-E53+E54</f>
        <v>666</v>
      </c>
      <c r="G52" s="407">
        <f>F52-F53+F54</f>
        <v>1092</v>
      </c>
      <c r="H52" s="407">
        <f>G52-G53+G54</f>
        <v>1557.7354001441961</v>
      </c>
      <c r="I52" s="407">
        <f>H52-H53+H54</f>
        <v>1887.477406590916</v>
      </c>
      <c r="J52" s="407">
        <f t="shared" ref="J52" si="118">I52-I53+I54</f>
        <v>2120.9356981054648</v>
      </c>
      <c r="K52" s="407">
        <f t="shared" ref="K52" si="119">J52-J53+J54</f>
        <v>2286.2248417732994</v>
      </c>
      <c r="L52" s="407">
        <f t="shared" ref="L52" si="120">K52-K53+K54</f>
        <v>2403.2500321711464</v>
      </c>
      <c r="M52" s="407">
        <f t="shared" ref="M52" si="121">L52-L53+L54</f>
        <v>2486.1042044643586</v>
      </c>
      <c r="N52" s="407">
        <f t="shared" ref="N52" si="122">M52-M53+M54</f>
        <v>2544.7651973929346</v>
      </c>
      <c r="O52" s="407">
        <f t="shared" ref="O52" si="123">N52-N53+N54</f>
        <v>2586.2973495601022</v>
      </c>
      <c r="P52" s="407">
        <f t="shared" ref="P52" si="124">O52-O53+O54</f>
        <v>2615.7022330699497</v>
      </c>
    </row>
    <row r="53" spans="1:16" ht="12.6" customHeight="1" x14ac:dyDescent="0.25">
      <c r="A53" s="94"/>
      <c r="B53" s="405" t="s">
        <v>133</v>
      </c>
      <c r="C53" s="405"/>
      <c r="D53" s="405"/>
      <c r="E53" s="406">
        <f>-Sheet1!G15</f>
        <v>9</v>
      </c>
      <c r="F53" s="406">
        <f>-Sheet1!G18</f>
        <v>-21</v>
      </c>
      <c r="G53" s="407"/>
      <c r="H53" s="407"/>
      <c r="I53" s="407"/>
      <c r="J53" s="407"/>
      <c r="K53" s="407"/>
      <c r="L53" s="407"/>
      <c r="M53" s="407"/>
      <c r="N53" s="407"/>
      <c r="O53" s="407"/>
      <c r="P53" s="407"/>
    </row>
    <row r="54" spans="1:16" ht="12.6" customHeight="1" x14ac:dyDescent="0.25">
      <c r="A54" s="94"/>
      <c r="B54" s="405" t="s">
        <v>131</v>
      </c>
      <c r="C54" s="405"/>
      <c r="D54" s="405"/>
      <c r="E54" s="406">
        <f>Sheet1!G14</f>
        <v>259</v>
      </c>
      <c r="F54" s="406">
        <f>Sheet1!G17</f>
        <v>405</v>
      </c>
      <c r="G54" s="413">
        <f>F54/E55*F55</f>
        <v>465.73540014419609</v>
      </c>
      <c r="H54" s="413">
        <f t="shared" ref="H54" si="125">G54/F55*G55</f>
        <v>329.74200644671993</v>
      </c>
      <c r="I54" s="413">
        <f t="shared" ref="I54" si="126">H54/G55*H55</f>
        <v>233.45829151454868</v>
      </c>
      <c r="J54" s="413">
        <f t="shared" ref="J54" si="127">I54/H55*I55</f>
        <v>165.28914366783474</v>
      </c>
      <c r="K54" s="413">
        <f t="shared" ref="K54" si="128">J54/I55*J55</f>
        <v>117.02519039784691</v>
      </c>
      <c r="L54" s="413">
        <f t="shared" ref="L54" si="129">K54/J55*K55</f>
        <v>82.854172293212486</v>
      </c>
      <c r="M54" s="413">
        <f t="shared" ref="M54" si="130">L54/K55*L55</f>
        <v>58.660992928575823</v>
      </c>
      <c r="N54" s="413">
        <f t="shared" ref="N54" si="131">M54/L55*M55</f>
        <v>41.532152167167659</v>
      </c>
      <c r="O54" s="413">
        <f t="shared" ref="O54" si="132">N54/M55*N55</f>
        <v>29.404883509847568</v>
      </c>
      <c r="P54" s="413">
        <f t="shared" ref="P54" si="133">O54/N55*O55</f>
        <v>20.818742326366493</v>
      </c>
    </row>
    <row r="55" spans="1:16" ht="12.6" customHeight="1" thickBot="1" x14ac:dyDescent="0.3">
      <c r="A55" s="94"/>
      <c r="B55" s="93" t="s">
        <v>105</v>
      </c>
      <c r="C55" s="427"/>
      <c r="D55" s="427"/>
      <c r="E55" s="430">
        <f>E51-E52+E53-E54</f>
        <v>1387</v>
      </c>
      <c r="F55" s="430">
        <f>F51-F52+F53-F54</f>
        <v>1595</v>
      </c>
      <c r="G55" s="431">
        <f t="shared" ref="G55" si="134">G51-G52+G53-G54</f>
        <v>1129.2645998558039</v>
      </c>
      <c r="H55" s="431">
        <f t="shared" ref="H55" si="135">H51-H52+H53-H54</f>
        <v>799.52259340908404</v>
      </c>
      <c r="I55" s="431">
        <f t="shared" ref="I55" si="136">I51-I52+I53-I54</f>
        <v>566.06430189453533</v>
      </c>
      <c r="J55" s="431">
        <f t="shared" ref="J55:P55" si="137">J51-J52+J53-J54</f>
        <v>400.77515822670046</v>
      </c>
      <c r="K55" s="431">
        <f t="shared" si="137"/>
        <v>283.74996782885364</v>
      </c>
      <c r="L55" s="431">
        <f t="shared" si="137"/>
        <v>200.89579553564116</v>
      </c>
      <c r="M55" s="431">
        <f t="shared" si="137"/>
        <v>142.23480260706555</v>
      </c>
      <c r="N55" s="431">
        <f t="shared" si="137"/>
        <v>100.70265043989772</v>
      </c>
      <c r="O55" s="431">
        <f t="shared" si="137"/>
        <v>71.297766930050187</v>
      </c>
      <c r="P55" s="431">
        <f t="shared" si="137"/>
        <v>50.47902460368384</v>
      </c>
    </row>
    <row r="56" spans="1:16" ht="12.6" customHeight="1" x14ac:dyDescent="0.25">
      <c r="A56" s="94"/>
      <c r="B56" s="93"/>
      <c r="C56" s="93"/>
      <c r="D56" s="93"/>
      <c r="E56" s="411"/>
      <c r="F56" s="411"/>
      <c r="G56" s="412"/>
      <c r="H56" s="412"/>
      <c r="I56" s="412"/>
      <c r="J56" s="412"/>
      <c r="K56" s="412"/>
      <c r="L56" s="412"/>
      <c r="M56" s="412"/>
      <c r="N56" s="412"/>
      <c r="O56" s="412"/>
      <c r="P56" s="412"/>
    </row>
    <row r="57" spans="1:16" x14ac:dyDescent="0.25">
      <c r="A57" s="94"/>
      <c r="B57" s="404" t="s">
        <v>113</v>
      </c>
      <c r="C57" s="404"/>
      <c r="D57" s="404"/>
      <c r="E57" s="406"/>
      <c r="F57" s="406"/>
      <c r="G57" s="407"/>
      <c r="H57" s="407"/>
      <c r="I57" s="407"/>
      <c r="J57" s="407"/>
      <c r="K57" s="407"/>
      <c r="L57" s="407"/>
      <c r="M57" s="407"/>
      <c r="N57" s="407"/>
      <c r="O57" s="407"/>
      <c r="P57" s="407"/>
    </row>
    <row r="58" spans="1:16" ht="12.6" customHeight="1" x14ac:dyDescent="0.25">
      <c r="A58" s="94"/>
      <c r="B58" s="93" t="s">
        <v>128</v>
      </c>
      <c r="C58" s="93"/>
      <c r="D58" s="93"/>
      <c r="E58" s="411">
        <f>Sheet1!H4</f>
        <v>1295</v>
      </c>
      <c r="F58" s="411">
        <f>E61</f>
        <v>1610</v>
      </c>
      <c r="G58" s="412">
        <f>F61</f>
        <v>1828</v>
      </c>
      <c r="H58" s="412">
        <f t="shared" ref="H58:J58" si="138">G61</f>
        <v>1828</v>
      </c>
      <c r="I58" s="412">
        <f t="shared" si="138"/>
        <v>1828</v>
      </c>
      <c r="J58" s="412">
        <f t="shared" si="138"/>
        <v>1828</v>
      </c>
      <c r="K58" s="412">
        <f t="shared" ref="K58" si="139">J61</f>
        <v>1828</v>
      </c>
      <c r="L58" s="412">
        <f t="shared" ref="L58" si="140">K61</f>
        <v>1828</v>
      </c>
      <c r="M58" s="412">
        <f t="shared" ref="M58" si="141">L61</f>
        <v>1828</v>
      </c>
      <c r="N58" s="412">
        <f t="shared" ref="N58" si="142">M61</f>
        <v>1828</v>
      </c>
      <c r="O58" s="412">
        <f t="shared" ref="O58" si="143">N61</f>
        <v>1828</v>
      </c>
      <c r="P58" s="412">
        <f t="shared" ref="P58" si="144">O61</f>
        <v>1828</v>
      </c>
    </row>
    <row r="59" spans="1:16" ht="12.6" customHeight="1" x14ac:dyDescent="0.25">
      <c r="A59" s="94"/>
      <c r="B59" s="405" t="s">
        <v>114</v>
      </c>
      <c r="C59" s="405"/>
      <c r="D59" s="405"/>
      <c r="E59" s="406">
        <f>Sheet1!H5</f>
        <v>692</v>
      </c>
      <c r="F59" s="406">
        <f>Sheet1!H8</f>
        <v>736</v>
      </c>
      <c r="G59" s="407"/>
      <c r="H59" s="407"/>
      <c r="I59" s="407"/>
      <c r="J59" s="407"/>
      <c r="K59" s="407"/>
      <c r="L59" s="407"/>
      <c r="M59" s="407"/>
      <c r="N59" s="407"/>
      <c r="O59" s="407"/>
      <c r="P59" s="407"/>
    </row>
    <row r="60" spans="1:16" ht="12.6" customHeight="1" x14ac:dyDescent="0.25">
      <c r="A60" s="94"/>
      <c r="B60" s="405" t="s">
        <v>127</v>
      </c>
      <c r="C60" s="405"/>
      <c r="D60" s="405"/>
      <c r="E60" s="406">
        <f>-Sheet1!H6</f>
        <v>377</v>
      </c>
      <c r="F60" s="406">
        <f>-Sheet1!H9</f>
        <v>518</v>
      </c>
      <c r="G60" s="407"/>
      <c r="H60" s="407"/>
      <c r="I60" s="407"/>
      <c r="J60" s="407"/>
      <c r="K60" s="407"/>
      <c r="L60" s="407"/>
      <c r="M60" s="407"/>
      <c r="N60" s="407"/>
      <c r="O60" s="407"/>
      <c r="P60" s="407"/>
    </row>
    <row r="61" spans="1:16" ht="12.6" customHeight="1" x14ac:dyDescent="0.25">
      <c r="A61" s="94"/>
      <c r="B61" s="93" t="s">
        <v>129</v>
      </c>
      <c r="C61" s="93"/>
      <c r="D61" s="93"/>
      <c r="E61" s="411">
        <f>E58+E59-E60</f>
        <v>1610</v>
      </c>
      <c r="F61" s="411">
        <f>F58+F59-F60</f>
        <v>1828</v>
      </c>
      <c r="G61" s="412">
        <f>G58+G59-G60</f>
        <v>1828</v>
      </c>
      <c r="H61" s="412">
        <f t="shared" ref="H61" si="145">H58+H59-H60</f>
        <v>1828</v>
      </c>
      <c r="I61" s="412">
        <f t="shared" ref="I61" si="146">I58+I59-I60</f>
        <v>1828</v>
      </c>
      <c r="J61" s="412">
        <f t="shared" ref="J61:P61" si="147">J58+J59-J60</f>
        <v>1828</v>
      </c>
      <c r="K61" s="412">
        <f t="shared" si="147"/>
        <v>1828</v>
      </c>
      <c r="L61" s="412">
        <f t="shared" si="147"/>
        <v>1828</v>
      </c>
      <c r="M61" s="412">
        <f t="shared" si="147"/>
        <v>1828</v>
      </c>
      <c r="N61" s="412">
        <f t="shared" si="147"/>
        <v>1828</v>
      </c>
      <c r="O61" s="412">
        <f t="shared" si="147"/>
        <v>1828</v>
      </c>
      <c r="P61" s="412">
        <f t="shared" si="147"/>
        <v>1828</v>
      </c>
    </row>
    <row r="62" spans="1:16" ht="12.6" customHeight="1" x14ac:dyDescent="0.25">
      <c r="A62" s="94"/>
      <c r="B62" s="405" t="s">
        <v>130</v>
      </c>
      <c r="C62" s="405"/>
      <c r="D62" s="405"/>
      <c r="E62" s="406">
        <f>Sheet1!H13</f>
        <v>243</v>
      </c>
      <c r="F62" s="406">
        <f>E62-E63+E64</f>
        <v>361</v>
      </c>
      <c r="G62" s="407">
        <f>F62-F63+F64</f>
        <v>441</v>
      </c>
      <c r="H62" s="407">
        <f>G62-G63+G64</f>
        <v>687.52842273819056</v>
      </c>
      <c r="I62" s="407">
        <f>H62-H63+H64</f>
        <v>890.23834279593416</v>
      </c>
      <c r="J62" s="407">
        <f t="shared" ref="J62" si="148">I62-I63+I64</f>
        <v>1056.9181569667128</v>
      </c>
      <c r="K62" s="407">
        <f t="shared" ref="K62" si="149">J62-J63+J64</f>
        <v>1193.9719353121009</v>
      </c>
      <c r="L62" s="407">
        <f t="shared" ref="L62" si="150">K62-K63+K64</f>
        <v>1306.6654744319676</v>
      </c>
      <c r="M62" s="407">
        <f t="shared" ref="M62" si="151">L62-L63+L64</f>
        <v>1399.328616686654</v>
      </c>
      <c r="N62" s="407">
        <f t="shared" ref="N62" si="152">M62-M63+M64</f>
        <v>1475.5216087567603</v>
      </c>
      <c r="O62" s="407">
        <f t="shared" ref="O62" si="153">N62-N63+N64</f>
        <v>1538.1718912675683</v>
      </c>
      <c r="P62" s="407">
        <f t="shared" ref="P62" si="154">O62-O63+O64</f>
        <v>1589.6865751255345</v>
      </c>
    </row>
    <row r="63" spans="1:16" ht="12.6" customHeight="1" x14ac:dyDescent="0.25">
      <c r="A63" s="94"/>
      <c r="B63" s="405" t="s">
        <v>133</v>
      </c>
      <c r="C63" s="405"/>
      <c r="D63" s="405"/>
      <c r="E63" s="406">
        <f>-Sheet1!H15</f>
        <v>78</v>
      </c>
      <c r="F63" s="406">
        <f>-Sheet1!H18</f>
        <v>142</v>
      </c>
      <c r="G63" s="407"/>
      <c r="H63" s="407"/>
      <c r="I63" s="407"/>
      <c r="J63" s="407"/>
      <c r="K63" s="407"/>
      <c r="L63" s="407"/>
      <c r="M63" s="407"/>
      <c r="N63" s="407"/>
      <c r="O63" s="407"/>
      <c r="P63" s="407"/>
    </row>
    <row r="64" spans="1:16" ht="12.6" customHeight="1" x14ac:dyDescent="0.25">
      <c r="A64" s="94"/>
      <c r="B64" s="405" t="s">
        <v>131</v>
      </c>
      <c r="C64" s="405"/>
      <c r="D64" s="405"/>
      <c r="E64" s="406">
        <f>Sheet1!H14</f>
        <v>196</v>
      </c>
      <c r="F64" s="406">
        <f>Sheet1!H17</f>
        <v>222</v>
      </c>
      <c r="G64" s="413">
        <f>F64/E65*F65</f>
        <v>246.52842273819056</v>
      </c>
      <c r="H64" s="413">
        <f t="shared" ref="H64" si="155">G64/F65*G65</f>
        <v>202.70992005774355</v>
      </c>
      <c r="I64" s="413">
        <f t="shared" ref="I64" si="156">H64/G65*H65</f>
        <v>166.67981417077871</v>
      </c>
      <c r="J64" s="413">
        <f t="shared" ref="J64" si="157">I64/H65*I65</f>
        <v>137.05377834538808</v>
      </c>
      <c r="K64" s="413">
        <f t="shared" ref="K64" si="158">J64/I65*J65</f>
        <v>112.69353911986676</v>
      </c>
      <c r="L64" s="413">
        <f t="shared" ref="L64" si="159">K64/J65*K65</f>
        <v>92.663142254686292</v>
      </c>
      <c r="M64" s="413">
        <f t="shared" ref="M64" si="160">L64/K65*L65</f>
        <v>76.192992070106342</v>
      </c>
      <c r="N64" s="413">
        <f t="shared" ref="N64" si="161">M64/L65*M65</f>
        <v>62.650282510808005</v>
      </c>
      <c r="O64" s="413">
        <f t="shared" ref="O64" si="162">N64/M65*N65</f>
        <v>51.514683857966233</v>
      </c>
      <c r="P64" s="413">
        <f t="shared" ref="P64" si="163">O64/N65*O65</f>
        <v>42.358350938455821</v>
      </c>
    </row>
    <row r="65" spans="1:16" ht="12.6" customHeight="1" thickBot="1" x14ac:dyDescent="0.3">
      <c r="A65" s="94"/>
      <c r="B65" s="93" t="s">
        <v>105</v>
      </c>
      <c r="C65" s="427"/>
      <c r="D65" s="427"/>
      <c r="E65" s="430">
        <f>E61-E62+E63-E64</f>
        <v>1249</v>
      </c>
      <c r="F65" s="430">
        <f>F61-F62+F63-F64</f>
        <v>1387</v>
      </c>
      <c r="G65" s="431">
        <f t="shared" ref="G65" si="164">G61-G62+G63-G64</f>
        <v>1140.4715772618094</v>
      </c>
      <c r="H65" s="431">
        <f t="shared" ref="H65" si="165">H61-H62+H63-H64</f>
        <v>937.76165720406584</v>
      </c>
      <c r="I65" s="431">
        <f t="shared" ref="I65" si="166">I61-I62+I63-I64</f>
        <v>771.0818430332871</v>
      </c>
      <c r="J65" s="431">
        <f t="shared" ref="J65:P65" si="167">J61-J62+J63-J64</f>
        <v>634.02806468789913</v>
      </c>
      <c r="K65" s="431">
        <f t="shared" si="167"/>
        <v>521.3345255680324</v>
      </c>
      <c r="L65" s="431">
        <f t="shared" si="167"/>
        <v>428.6713833133461</v>
      </c>
      <c r="M65" s="431">
        <f t="shared" si="167"/>
        <v>352.47839124323968</v>
      </c>
      <c r="N65" s="431">
        <f t="shared" si="167"/>
        <v>289.8281087324317</v>
      </c>
      <c r="O65" s="431">
        <f t="shared" si="167"/>
        <v>238.31342487446545</v>
      </c>
      <c r="P65" s="431">
        <f t="shared" si="167"/>
        <v>195.95507393600963</v>
      </c>
    </row>
    <row r="66" spans="1:16" ht="12.6" customHeight="1" x14ac:dyDescent="0.25">
      <c r="A66" s="94"/>
      <c r="B66" s="93"/>
      <c r="C66" s="93"/>
      <c r="D66" s="93"/>
      <c r="E66" s="411"/>
      <c r="F66" s="411"/>
      <c r="G66" s="412"/>
      <c r="H66" s="412"/>
      <c r="I66" s="412"/>
      <c r="J66" s="412"/>
      <c r="K66" s="412"/>
      <c r="L66" s="412"/>
      <c r="M66" s="412"/>
      <c r="N66" s="412"/>
      <c r="O66" s="412"/>
      <c r="P66" s="412"/>
    </row>
    <row r="67" spans="1:16" x14ac:dyDescent="0.25">
      <c r="A67" s="94"/>
      <c r="B67" s="404" t="s">
        <v>28</v>
      </c>
      <c r="C67" s="404"/>
      <c r="D67" s="404"/>
      <c r="E67" s="406"/>
      <c r="F67" s="406"/>
      <c r="G67" s="407"/>
      <c r="H67" s="407"/>
      <c r="I67" s="407"/>
      <c r="J67" s="407"/>
      <c r="K67" s="407"/>
      <c r="L67" s="407"/>
      <c r="M67" s="407"/>
      <c r="N67" s="407"/>
      <c r="O67" s="407"/>
      <c r="P67" s="407"/>
    </row>
    <row r="68" spans="1:16" ht="12.6" customHeight="1" x14ac:dyDescent="0.25">
      <c r="A68" s="94"/>
      <c r="B68" s="93" t="s">
        <v>128</v>
      </c>
      <c r="C68" s="93"/>
      <c r="D68" s="93"/>
      <c r="E68" s="411">
        <v>5888</v>
      </c>
      <c r="F68" s="411">
        <f>E71</f>
        <v>6398</v>
      </c>
      <c r="G68" s="412">
        <f>F71</f>
        <v>9070</v>
      </c>
      <c r="H68" s="412">
        <f t="shared" ref="H68:J68" si="168">G71</f>
        <v>9070</v>
      </c>
      <c r="I68" s="412">
        <f t="shared" si="168"/>
        <v>9070</v>
      </c>
      <c r="J68" s="412">
        <f t="shared" si="168"/>
        <v>9070</v>
      </c>
      <c r="K68" s="412">
        <f t="shared" ref="K68" si="169">J71</f>
        <v>9070</v>
      </c>
      <c r="L68" s="412">
        <f t="shared" ref="L68" si="170">K71</f>
        <v>9070</v>
      </c>
      <c r="M68" s="412">
        <f t="shared" ref="M68" si="171">L71</f>
        <v>9070</v>
      </c>
      <c r="N68" s="412">
        <f t="shared" ref="N68" si="172">M71</f>
        <v>9070</v>
      </c>
      <c r="O68" s="412">
        <f t="shared" ref="O68" si="173">N71</f>
        <v>9070</v>
      </c>
      <c r="P68" s="412">
        <f t="shared" ref="P68" si="174">O71</f>
        <v>9070</v>
      </c>
    </row>
    <row r="69" spans="1:16" ht="12.6" customHeight="1" x14ac:dyDescent="0.25">
      <c r="A69" s="94"/>
      <c r="B69" s="405" t="s">
        <v>114</v>
      </c>
      <c r="C69" s="405"/>
      <c r="D69" s="405"/>
      <c r="E69" s="406">
        <v>562</v>
      </c>
      <c r="F69" s="406">
        <v>2672</v>
      </c>
      <c r="G69" s="407"/>
      <c r="H69" s="407"/>
      <c r="I69" s="407"/>
      <c r="J69" s="407"/>
      <c r="K69" s="407"/>
      <c r="L69" s="407"/>
      <c r="M69" s="407"/>
      <c r="N69" s="407"/>
      <c r="O69" s="407"/>
      <c r="P69" s="407"/>
    </row>
    <row r="70" spans="1:16" ht="12.6" customHeight="1" x14ac:dyDescent="0.25">
      <c r="A70" s="94"/>
      <c r="B70" s="405" t="s">
        <v>127</v>
      </c>
      <c r="C70" s="405"/>
      <c r="D70" s="405"/>
      <c r="E70" s="406">
        <v>52</v>
      </c>
      <c r="F70" s="406"/>
      <c r="G70" s="407"/>
      <c r="H70" s="407"/>
      <c r="I70" s="407"/>
      <c r="J70" s="407"/>
      <c r="K70" s="407"/>
      <c r="L70" s="407"/>
      <c r="M70" s="407"/>
      <c r="N70" s="407"/>
      <c r="O70" s="407"/>
      <c r="P70" s="407"/>
    </row>
    <row r="71" spans="1:16" ht="12.6" customHeight="1" x14ac:dyDescent="0.25">
      <c r="A71" s="94"/>
      <c r="B71" s="93" t="s">
        <v>129</v>
      </c>
      <c r="C71" s="93"/>
      <c r="D71" s="93"/>
      <c r="E71" s="411">
        <f>E68+E69-E70</f>
        <v>6398</v>
      </c>
      <c r="F71" s="411">
        <f>F68+F69-F70</f>
        <v>9070</v>
      </c>
      <c r="G71" s="412">
        <f>G68+G69-G70</f>
        <v>9070</v>
      </c>
      <c r="H71" s="412">
        <f t="shared" ref="H71" si="175">H68+H69-H70</f>
        <v>9070</v>
      </c>
      <c r="I71" s="412">
        <f t="shared" ref="I71" si="176">I68+I69-I70</f>
        <v>9070</v>
      </c>
      <c r="J71" s="412">
        <f t="shared" ref="J71:P71" si="177">J68+J69-J70</f>
        <v>9070</v>
      </c>
      <c r="K71" s="412">
        <f t="shared" si="177"/>
        <v>9070</v>
      </c>
      <c r="L71" s="412">
        <f t="shared" si="177"/>
        <v>9070</v>
      </c>
      <c r="M71" s="412">
        <f t="shared" si="177"/>
        <v>9070</v>
      </c>
      <c r="N71" s="412">
        <f t="shared" si="177"/>
        <v>9070</v>
      </c>
      <c r="O71" s="412">
        <f t="shared" si="177"/>
        <v>9070</v>
      </c>
      <c r="P71" s="412">
        <f t="shared" si="177"/>
        <v>9070</v>
      </c>
    </row>
    <row r="72" spans="1:16" ht="12.6" customHeight="1" x14ac:dyDescent="0.25">
      <c r="A72" s="94"/>
      <c r="B72" s="405" t="s">
        <v>135</v>
      </c>
      <c r="C72" s="405"/>
      <c r="D72" s="405"/>
      <c r="E72" s="406">
        <v>2158</v>
      </c>
      <c r="F72" s="406">
        <f>E72-E73+E74</f>
        <v>3281</v>
      </c>
      <c r="G72" s="407">
        <f>F72-F73+F74</f>
        <v>4559</v>
      </c>
      <c r="H72" s="407">
        <f>G72-G73+G74</f>
        <v>6408.5534167468722</v>
      </c>
      <c r="I72" s="407">
        <f>H72-H73+H74</f>
        <v>7499.7721313434386</v>
      </c>
      <c r="J72" s="407">
        <f t="shared" ref="J72" si="178">I72-I73+I74</f>
        <v>8143.5806703691314</v>
      </c>
      <c r="K72" s="407">
        <f t="shared" ref="K72" si="179">J72-J73+J74</f>
        <v>8523.4215119694691</v>
      </c>
      <c r="L72" s="407">
        <f t="shared" ref="L72" si="180">K72-K73+K74</f>
        <v>8747.5239526826608</v>
      </c>
      <c r="M72" s="407">
        <f t="shared" ref="M72" si="181">L72-L73+L74</f>
        <v>8879.742235798336</v>
      </c>
      <c r="N72" s="407">
        <f t="shared" ref="N72" si="182">M72-M73+M74</f>
        <v>8957.7497502833303</v>
      </c>
      <c r="O72" s="407">
        <f t="shared" ref="O72" si="183">N72-N73+N74</f>
        <v>9003.7734330353051</v>
      </c>
      <c r="P72" s="407">
        <f t="shared" ref="P72" si="184">O72-O73+O74</f>
        <v>9030.9269628976344</v>
      </c>
    </row>
    <row r="73" spans="1:16" ht="12.6" customHeight="1" x14ac:dyDescent="0.25">
      <c r="A73" s="94"/>
      <c r="B73" s="405" t="s">
        <v>133</v>
      </c>
      <c r="C73" s="405"/>
      <c r="D73" s="405"/>
      <c r="E73" s="406">
        <v>0</v>
      </c>
      <c r="F73" s="406">
        <v>0</v>
      </c>
      <c r="G73" s="407"/>
      <c r="H73" s="407"/>
      <c r="I73" s="407"/>
      <c r="J73" s="407"/>
      <c r="K73" s="407"/>
      <c r="L73" s="407"/>
      <c r="M73" s="407"/>
      <c r="N73" s="407"/>
      <c r="O73" s="407"/>
      <c r="P73" s="407"/>
    </row>
    <row r="74" spans="1:16" ht="12.6" customHeight="1" x14ac:dyDescent="0.25">
      <c r="A74" s="94"/>
      <c r="B74" s="405" t="s">
        <v>134</v>
      </c>
      <c r="C74" s="405"/>
      <c r="D74" s="405"/>
      <c r="E74" s="406">
        <v>1123</v>
      </c>
      <c r="F74" s="406">
        <v>1278</v>
      </c>
      <c r="G74" s="413">
        <f>F74/E75*F75</f>
        <v>1849.553416746872</v>
      </c>
      <c r="H74" s="413">
        <f t="shared" ref="H74" si="185">G74/F75*G75</f>
        <v>1091.2187145965663</v>
      </c>
      <c r="I74" s="413">
        <f t="shared" ref="I74" si="186">H74/G75*H75</f>
        <v>643.80853902569311</v>
      </c>
      <c r="J74" s="413">
        <f t="shared" ref="J74" si="187">I74/H75*I75</f>
        <v>379.84084160033677</v>
      </c>
      <c r="K74" s="413">
        <f t="shared" ref="K74" si="188">J74/I75*J75</f>
        <v>224.10244071319207</v>
      </c>
      <c r="L74" s="413">
        <f t="shared" ref="L74" si="189">K74/J75*K75</f>
        <v>132.21828311567501</v>
      </c>
      <c r="M74" s="413">
        <f t="shared" ref="M74" si="190">L74/K75*L75</f>
        <v>78.007514484994161</v>
      </c>
      <c r="N74" s="413">
        <f t="shared" ref="N74" si="191">M74/L75*M75</f>
        <v>46.023682751974363</v>
      </c>
      <c r="O74" s="413">
        <f t="shared" ref="O74" si="192">N74/M75*N75</f>
        <v>27.153529862329375</v>
      </c>
      <c r="P74" s="413">
        <f t="shared" ref="P74" si="193">O74/N75*O75</f>
        <v>16.020321275849593</v>
      </c>
    </row>
    <row r="75" spans="1:16" ht="12.6" customHeight="1" x14ac:dyDescent="0.25">
      <c r="A75" s="94"/>
      <c r="B75" s="93" t="s">
        <v>105</v>
      </c>
      <c r="C75" s="93"/>
      <c r="D75" s="93"/>
      <c r="E75" s="411">
        <f>E71-E72+E73-E74</f>
        <v>3117</v>
      </c>
      <c r="F75" s="411">
        <f>F71-F72+F73-F74</f>
        <v>4511</v>
      </c>
      <c r="G75" s="412">
        <f t="shared" ref="G75" si="194">G71-G72+G73-G74</f>
        <v>2661.4465832531278</v>
      </c>
      <c r="H75" s="412">
        <f t="shared" ref="H75" si="195">H71-H72+H73-H74</f>
        <v>1570.2278686565614</v>
      </c>
      <c r="I75" s="412">
        <f t="shared" ref="I75" si="196">I71-I72+I73-I74</f>
        <v>926.41932963086833</v>
      </c>
      <c r="J75" s="412">
        <f t="shared" ref="J75:P75" si="197">J71-J72+J73-J74</f>
        <v>546.57848803053184</v>
      </c>
      <c r="K75" s="412">
        <f t="shared" si="197"/>
        <v>322.47604731733884</v>
      </c>
      <c r="L75" s="412">
        <f t="shared" si="197"/>
        <v>190.25776420166417</v>
      </c>
      <c r="M75" s="412">
        <f t="shared" si="197"/>
        <v>112.25024971666987</v>
      </c>
      <c r="N75" s="412">
        <f t="shared" si="197"/>
        <v>66.226566964695351</v>
      </c>
      <c r="O75" s="412">
        <f t="shared" si="197"/>
        <v>39.073037102365561</v>
      </c>
      <c r="P75" s="412">
        <f t="shared" si="197"/>
        <v>23.052715826515968</v>
      </c>
    </row>
    <row r="76" spans="1:16" ht="13.5" thickBot="1" x14ac:dyDescent="0.3">
      <c r="A76" s="94"/>
      <c r="B76" s="93" t="s">
        <v>106</v>
      </c>
      <c r="C76" s="427"/>
      <c r="D76" s="427"/>
      <c r="E76" s="439">
        <f>E24+E34+E44+E54+E64+E74</f>
        <v>27579</v>
      </c>
      <c r="F76" s="439">
        <f>F24+F34+F44+F54+F64+F74</f>
        <v>30189</v>
      </c>
      <c r="G76" s="440">
        <f>G24+G34+G44+G54+G64+G74</f>
        <v>34285.675087549047</v>
      </c>
      <c r="H76" s="440">
        <f t="shared" ref="H76:J76" si="198">H24+H34+H44+H54+H64+H74</f>
        <v>40281.563827738231</v>
      </c>
      <c r="I76" s="440">
        <f t="shared" si="198"/>
        <v>37969.342878006464</v>
      </c>
      <c r="J76" s="440">
        <f t="shared" si="198"/>
        <v>38435.042340299093</v>
      </c>
      <c r="K76" s="440">
        <f t="shared" ref="K76:P76" si="199">K24+K34+K44+K54+K64+K74</f>
        <v>45008.854372876893</v>
      </c>
      <c r="L76" s="440">
        <f t="shared" si="199"/>
        <v>50288.96914179578</v>
      </c>
      <c r="M76" s="440">
        <f t="shared" si="199"/>
        <v>56687.748505783631</v>
      </c>
      <c r="N76" s="440">
        <f t="shared" si="199"/>
        <v>63510.590185378693</v>
      </c>
      <c r="O76" s="440">
        <f t="shared" si="199"/>
        <v>71057.984428829746</v>
      </c>
      <c r="P76" s="440">
        <f t="shared" si="199"/>
        <v>79323.210362360973</v>
      </c>
    </row>
    <row r="77" spans="1:16" x14ac:dyDescent="0.25">
      <c r="A77" s="94"/>
      <c r="B77" s="93"/>
      <c r="C77" s="93"/>
      <c r="D77" s="93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</row>
    <row r="78" spans="1:16" x14ac:dyDescent="0.25">
      <c r="A78" s="94"/>
      <c r="B78" s="93"/>
      <c r="C78" s="93"/>
      <c r="D78" s="93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</row>
    <row r="79" spans="1:16" x14ac:dyDescent="0.25">
      <c r="A79" s="94"/>
      <c r="B79" s="134" t="s">
        <v>107</v>
      </c>
      <c r="C79" s="134"/>
      <c r="D79" s="134"/>
      <c r="E79" s="135">
        <f t="shared" ref="E79:J81" si="200">E6+E12+E18+E28+E38+E48+E58+E68</f>
        <v>186595</v>
      </c>
      <c r="F79" s="135">
        <f t="shared" si="200"/>
        <v>214239</v>
      </c>
      <c r="G79" s="135">
        <f t="shared" si="200"/>
        <v>264659</v>
      </c>
      <c r="H79" s="135">
        <f t="shared" si="200"/>
        <v>319848</v>
      </c>
      <c r="I79" s="135">
        <f t="shared" si="200"/>
        <v>354133.67508754903</v>
      </c>
      <c r="J79" s="135">
        <f t="shared" si="200"/>
        <v>394564.74086740857</v>
      </c>
      <c r="K79" s="135">
        <f t="shared" ref="K79:P79" si="201">K6+K12+K18+K28+K38+K48+K58+K68</f>
        <v>454804.78303671564</v>
      </c>
      <c r="L79" s="135">
        <f t="shared" si="201"/>
        <v>517697.24526845559</v>
      </c>
      <c r="M79" s="135">
        <f t="shared" si="201"/>
        <v>589570.65611010534</v>
      </c>
      <c r="N79" s="135">
        <f t="shared" si="201"/>
        <v>669374.51531448378</v>
      </c>
      <c r="O79" s="135">
        <f t="shared" si="201"/>
        <v>758495.87724510743</v>
      </c>
      <c r="P79" s="135">
        <f t="shared" si="201"/>
        <v>857655.05971676367</v>
      </c>
    </row>
    <row r="80" spans="1:16" x14ac:dyDescent="0.25">
      <c r="A80" s="94"/>
      <c r="B80" s="134" t="s">
        <v>108</v>
      </c>
      <c r="C80" s="134"/>
      <c r="D80" s="134"/>
      <c r="E80" s="135">
        <f t="shared" si="200"/>
        <v>29104</v>
      </c>
      <c r="F80" s="135">
        <f t="shared" si="200"/>
        <v>52909</v>
      </c>
      <c r="G80" s="135">
        <f t="shared" si="200"/>
        <v>55189</v>
      </c>
      <c r="H80" s="135">
        <f t="shared" si="200"/>
        <v>34285.675087549047</v>
      </c>
      <c r="I80" s="135">
        <f t="shared" si="200"/>
        <v>40431.065779859593</v>
      </c>
      <c r="J80" s="135">
        <f t="shared" si="200"/>
        <v>60240.042169307009</v>
      </c>
      <c r="K80" s="135">
        <f t="shared" ref="K80:P80" si="202">K7+K13+K19+K29+K39+K49+K59+K69</f>
        <v>62892.462231739919</v>
      </c>
      <c r="L80" s="135">
        <f t="shared" si="202"/>
        <v>71873.410841649777</v>
      </c>
      <c r="M80" s="135">
        <f t="shared" si="202"/>
        <v>79803.859204378503</v>
      </c>
      <c r="N80" s="135">
        <f t="shared" si="202"/>
        <v>89121.361930623505</v>
      </c>
      <c r="O80" s="135">
        <f t="shared" si="202"/>
        <v>99159.182471656299</v>
      </c>
      <c r="P80" s="135">
        <f t="shared" si="202"/>
        <v>110248.63998917895</v>
      </c>
    </row>
    <row r="81" spans="1:16" x14ac:dyDescent="0.25">
      <c r="A81" s="94"/>
      <c r="B81" s="134" t="s">
        <v>163</v>
      </c>
      <c r="C81" s="134"/>
      <c r="D81" s="134"/>
      <c r="E81" s="135">
        <f t="shared" si="200"/>
        <v>1460</v>
      </c>
      <c r="F81" s="135">
        <f t="shared" si="200"/>
        <v>1123</v>
      </c>
      <c r="G81" s="135">
        <f t="shared" si="200"/>
        <v>0</v>
      </c>
      <c r="H81" s="135">
        <f t="shared" si="200"/>
        <v>0</v>
      </c>
      <c r="I81" s="135">
        <f t="shared" si="200"/>
        <v>0</v>
      </c>
      <c r="J81" s="135">
        <f t="shared" si="200"/>
        <v>0</v>
      </c>
      <c r="K81" s="135">
        <f t="shared" ref="K81:P81" si="203">K8+K14+K20+K30+K40+K50+K60+K70</f>
        <v>0</v>
      </c>
      <c r="L81" s="135">
        <f t="shared" si="203"/>
        <v>0</v>
      </c>
      <c r="M81" s="135">
        <f t="shared" si="203"/>
        <v>0</v>
      </c>
      <c r="N81" s="135">
        <f t="shared" si="203"/>
        <v>0</v>
      </c>
      <c r="O81" s="135">
        <f t="shared" si="203"/>
        <v>0</v>
      </c>
      <c r="P81" s="135">
        <f t="shared" si="203"/>
        <v>0</v>
      </c>
    </row>
    <row r="82" spans="1:16" x14ac:dyDescent="0.25">
      <c r="A82" s="94"/>
      <c r="B82" s="134" t="s">
        <v>109</v>
      </c>
      <c r="C82" s="134"/>
      <c r="D82" s="134"/>
      <c r="E82" s="135">
        <f t="shared" ref="E82:J83" si="204">E22+E32+E42+E52+E62+E72</f>
        <v>53668</v>
      </c>
      <c r="F82" s="135">
        <f t="shared" si="204"/>
        <v>80649</v>
      </c>
      <c r="G82" s="135">
        <f t="shared" si="204"/>
        <v>109215</v>
      </c>
      <c r="H82" s="135">
        <f t="shared" si="204"/>
        <v>143500.67508754905</v>
      </c>
      <c r="I82" s="135">
        <f t="shared" si="204"/>
        <v>183782.23891528728</v>
      </c>
      <c r="J82" s="135">
        <f t="shared" si="204"/>
        <v>221751.58179329374</v>
      </c>
      <c r="K82" s="135">
        <f t="shared" ref="K82:P82" si="205">K22+K32+K42+K52+K62+K72</f>
        <v>260186.62413359285</v>
      </c>
      <c r="L82" s="135">
        <f t="shared" si="205"/>
        <v>305195.47850646969</v>
      </c>
      <c r="M82" s="135">
        <f t="shared" si="205"/>
        <v>355484.4476482654</v>
      </c>
      <c r="N82" s="135">
        <f t="shared" si="205"/>
        <v>412172.19615404913</v>
      </c>
      <c r="O82" s="135">
        <f t="shared" si="205"/>
        <v>475682.78633942775</v>
      </c>
      <c r="P82" s="135">
        <f t="shared" si="205"/>
        <v>546740.77076825756</v>
      </c>
    </row>
    <row r="83" spans="1:16" x14ac:dyDescent="0.25">
      <c r="A83" s="94"/>
      <c r="B83" s="134" t="s">
        <v>150</v>
      </c>
      <c r="C83" s="134"/>
      <c r="D83" s="134"/>
      <c r="E83" s="135">
        <f t="shared" si="204"/>
        <v>598</v>
      </c>
      <c r="F83" s="135">
        <f t="shared" si="204"/>
        <v>1623</v>
      </c>
      <c r="G83" s="135">
        <f t="shared" si="204"/>
        <v>0</v>
      </c>
      <c r="H83" s="135">
        <f t="shared" si="204"/>
        <v>0</v>
      </c>
      <c r="I83" s="135">
        <f t="shared" si="204"/>
        <v>0</v>
      </c>
      <c r="J83" s="135">
        <f t="shared" si="204"/>
        <v>0</v>
      </c>
      <c r="K83" s="135">
        <f t="shared" ref="K83:P83" si="206">K23+K33+K43+K53+K63+K73</f>
        <v>0</v>
      </c>
      <c r="L83" s="135">
        <f t="shared" si="206"/>
        <v>0</v>
      </c>
      <c r="M83" s="135">
        <f t="shared" si="206"/>
        <v>0</v>
      </c>
      <c r="N83" s="135">
        <f t="shared" si="206"/>
        <v>0</v>
      </c>
      <c r="O83" s="135">
        <f t="shared" si="206"/>
        <v>0</v>
      </c>
      <c r="P83" s="135">
        <f t="shared" si="206"/>
        <v>0</v>
      </c>
    </row>
    <row r="84" spans="1:16" x14ac:dyDescent="0.25">
      <c r="A84" s="94"/>
      <c r="B84" s="134" t="s">
        <v>149</v>
      </c>
      <c r="C84" s="134"/>
      <c r="D84" s="134"/>
      <c r="E84" s="135">
        <f t="shared" ref="E84:J84" si="207">E76</f>
        <v>27579</v>
      </c>
      <c r="F84" s="135">
        <f t="shared" si="207"/>
        <v>30189</v>
      </c>
      <c r="G84" s="135">
        <f t="shared" si="207"/>
        <v>34285.675087549047</v>
      </c>
      <c r="H84" s="135">
        <f t="shared" si="207"/>
        <v>40281.563827738231</v>
      </c>
      <c r="I84" s="135">
        <f t="shared" si="207"/>
        <v>37969.342878006464</v>
      </c>
      <c r="J84" s="135">
        <f t="shared" si="207"/>
        <v>38435.042340299093</v>
      </c>
      <c r="K84" s="135">
        <f t="shared" ref="K84:P84" si="208">K76</f>
        <v>45008.854372876893</v>
      </c>
      <c r="L84" s="135">
        <f t="shared" si="208"/>
        <v>50288.96914179578</v>
      </c>
      <c r="M84" s="135">
        <f t="shared" si="208"/>
        <v>56687.748505783631</v>
      </c>
      <c r="N84" s="135">
        <f t="shared" si="208"/>
        <v>63510.590185378693</v>
      </c>
      <c r="O84" s="135">
        <f t="shared" si="208"/>
        <v>71057.984428829746</v>
      </c>
      <c r="P84" s="135">
        <f t="shared" si="208"/>
        <v>79323.210362360973</v>
      </c>
    </row>
    <row r="85" spans="1:16" x14ac:dyDescent="0.25">
      <c r="A85" s="94"/>
      <c r="B85" s="134" t="s">
        <v>110</v>
      </c>
      <c r="C85" s="134"/>
      <c r="D85" s="134"/>
      <c r="E85" s="135">
        <f t="shared" ref="E85:J85" si="209">E79-E82-E84+E83+E80-E81</f>
        <v>133590</v>
      </c>
      <c r="F85" s="135">
        <f t="shared" si="209"/>
        <v>156810</v>
      </c>
      <c r="G85" s="135">
        <f t="shared" si="209"/>
        <v>176347.32491245095</v>
      </c>
      <c r="H85" s="135">
        <f t="shared" si="209"/>
        <v>170351.43617226178</v>
      </c>
      <c r="I85" s="135">
        <f t="shared" si="209"/>
        <v>172813.15907411487</v>
      </c>
      <c r="J85" s="135">
        <f t="shared" si="209"/>
        <v>194618.15890312276</v>
      </c>
      <c r="K85" s="135">
        <f t="shared" ref="K85:P85" si="210">K79-K82-K84+K83+K80-K81</f>
        <v>212501.76676198581</v>
      </c>
      <c r="L85" s="135">
        <f t="shared" si="210"/>
        <v>234086.20846183991</v>
      </c>
      <c r="M85" s="135">
        <f t="shared" si="210"/>
        <v>257202.31916043482</v>
      </c>
      <c r="N85" s="135">
        <f t="shared" si="210"/>
        <v>282813.09090567951</v>
      </c>
      <c r="O85" s="135">
        <f t="shared" si="210"/>
        <v>310914.28894850623</v>
      </c>
      <c r="P85" s="135">
        <f t="shared" si="210"/>
        <v>341839.71857532405</v>
      </c>
    </row>
    <row r="86" spans="1:16" x14ac:dyDescent="0.25">
      <c r="A86" s="94"/>
      <c r="B86" s="405"/>
      <c r="C86" s="405"/>
      <c r="D86" s="405"/>
      <c r="E86" s="432"/>
      <c r="F86" s="432"/>
      <c r="G86" s="432"/>
      <c r="H86" s="432"/>
      <c r="I86" s="432"/>
      <c r="J86" s="432"/>
      <c r="K86" s="432"/>
      <c r="L86" s="432"/>
      <c r="M86" s="432"/>
      <c r="N86" s="432"/>
      <c r="O86" s="432"/>
      <c r="P86" s="432"/>
    </row>
    <row r="87" spans="1:16" x14ac:dyDescent="0.25">
      <c r="A87" s="94"/>
      <c r="B87" s="405"/>
      <c r="C87" s="405"/>
      <c r="D87" s="405"/>
      <c r="E87" s="432"/>
      <c r="F87" s="432"/>
      <c r="G87" s="432"/>
      <c r="H87" s="432"/>
      <c r="I87" s="432"/>
      <c r="J87" s="432"/>
      <c r="K87" s="432"/>
      <c r="L87" s="432"/>
      <c r="M87" s="432"/>
      <c r="N87" s="432"/>
      <c r="O87" s="432"/>
      <c r="P87" s="432"/>
    </row>
    <row r="88" spans="1:16" x14ac:dyDescent="0.25">
      <c r="A88" s="94"/>
      <c r="B88" s="134" t="s">
        <v>107</v>
      </c>
      <c r="C88" s="134"/>
      <c r="D88" s="134"/>
      <c r="E88" s="135">
        <v>186595</v>
      </c>
      <c r="F88" s="135">
        <v>214239</v>
      </c>
      <c r="G88" s="135">
        <f>F88+F89-F90</f>
        <v>266025</v>
      </c>
      <c r="H88" s="135">
        <f>G88+G89-G90</f>
        <v>321214</v>
      </c>
      <c r="I88" s="135">
        <f>H88+H89-H90</f>
        <v>355499.67508754903</v>
      </c>
      <c r="J88" s="135">
        <f t="shared" ref="J88:P88" si="211">I88+I89-I90</f>
        <v>395930.74086740863</v>
      </c>
      <c r="K88" s="135">
        <f t="shared" si="211"/>
        <v>456170.78303671564</v>
      </c>
      <c r="L88" s="135">
        <f t="shared" si="211"/>
        <v>519063.24526845559</v>
      </c>
      <c r="M88" s="135">
        <f t="shared" si="211"/>
        <v>590936.65611010534</v>
      </c>
      <c r="N88" s="135">
        <f t="shared" si="211"/>
        <v>670740.51531448378</v>
      </c>
      <c r="O88" s="135">
        <f t="shared" si="211"/>
        <v>759861.87724510732</v>
      </c>
      <c r="P88" s="135">
        <f t="shared" si="211"/>
        <v>859021.05971676367</v>
      </c>
    </row>
    <row r="89" spans="1:16" x14ac:dyDescent="0.25">
      <c r="A89" s="94"/>
      <c r="B89" s="134" t="s">
        <v>108</v>
      </c>
      <c r="C89" s="134"/>
      <c r="D89" s="134"/>
      <c r="E89" s="135">
        <v>29104</v>
      </c>
      <c r="F89" s="135">
        <v>52909</v>
      </c>
      <c r="G89" s="135">
        <f>G101</f>
        <v>55189</v>
      </c>
      <c r="H89" s="135">
        <f>H101</f>
        <v>34285.675087549047</v>
      </c>
      <c r="I89" s="135">
        <f>I101</f>
        <v>40431.065779859593</v>
      </c>
      <c r="J89" s="135">
        <f t="shared" ref="J89:P89" si="212">J101</f>
        <v>60240.042169307009</v>
      </c>
      <c r="K89" s="135">
        <f t="shared" si="212"/>
        <v>62892.462231739919</v>
      </c>
      <c r="L89" s="135">
        <f t="shared" si="212"/>
        <v>71873.410841649777</v>
      </c>
      <c r="M89" s="135">
        <f t="shared" si="212"/>
        <v>79803.859204378503</v>
      </c>
      <c r="N89" s="135">
        <f t="shared" si="212"/>
        <v>89121.361930623505</v>
      </c>
      <c r="O89" s="135">
        <f t="shared" si="212"/>
        <v>99159.182471656299</v>
      </c>
      <c r="P89" s="135">
        <f t="shared" si="212"/>
        <v>110248.63998917895</v>
      </c>
    </row>
    <row r="90" spans="1:16" x14ac:dyDescent="0.25">
      <c r="A90" s="94"/>
      <c r="B90" s="134" t="s">
        <v>163</v>
      </c>
      <c r="C90" s="134"/>
      <c r="D90" s="134"/>
      <c r="E90" s="135">
        <v>1460</v>
      </c>
      <c r="F90" s="135">
        <v>1123</v>
      </c>
      <c r="G90" s="135">
        <v>0</v>
      </c>
      <c r="H90" s="135">
        <v>0</v>
      </c>
      <c r="I90" s="135">
        <v>0</v>
      </c>
      <c r="J90" s="135">
        <v>0</v>
      </c>
      <c r="K90" s="135">
        <v>0</v>
      </c>
      <c r="L90" s="135">
        <v>0</v>
      </c>
      <c r="M90" s="135">
        <v>0</v>
      </c>
      <c r="N90" s="135">
        <v>0</v>
      </c>
      <c r="O90" s="135">
        <v>0</v>
      </c>
      <c r="P90" s="135">
        <v>0</v>
      </c>
    </row>
    <row r="91" spans="1:16" x14ac:dyDescent="0.25">
      <c r="A91" s="94"/>
      <c r="B91" s="134" t="s">
        <v>109</v>
      </c>
      <c r="C91" s="134"/>
      <c r="D91" s="134"/>
      <c r="E91" s="135">
        <v>53668</v>
      </c>
      <c r="F91" s="135">
        <v>80649</v>
      </c>
      <c r="G91" s="135">
        <f>F91-F92+F93</f>
        <v>109215</v>
      </c>
      <c r="H91" s="135">
        <f>G91-G92+G93</f>
        <v>144651.31327195148</v>
      </c>
      <c r="I91" s="135">
        <f>H91-H92+H93</f>
        <v>184551.38775082756</v>
      </c>
      <c r="J91" s="135">
        <f t="shared" ref="J91:P91" si="213">I91-I92+I93</f>
        <v>223182.706310662</v>
      </c>
      <c r="K91" s="135">
        <f t="shared" si="213"/>
        <v>262220.73621734383</v>
      </c>
      <c r="L91" s="135">
        <f t="shared" si="213"/>
        <v>306050.04951497103</v>
      </c>
      <c r="M91" s="135">
        <f t="shared" si="213"/>
        <v>354187.30055623117</v>
      </c>
      <c r="N91" s="135">
        <f t="shared" si="213"/>
        <v>407688.50794313068</v>
      </c>
      <c r="O91" s="135">
        <f t="shared" si="213"/>
        <v>467133.65391613601</v>
      </c>
      <c r="P91" s="135">
        <f t="shared" si="213"/>
        <v>533285.10487862059</v>
      </c>
    </row>
    <row r="92" spans="1:16" x14ac:dyDescent="0.25">
      <c r="A92" s="94"/>
      <c r="B92" s="134" t="s">
        <v>150</v>
      </c>
      <c r="C92" s="134"/>
      <c r="D92" s="134"/>
      <c r="E92" s="135">
        <v>598</v>
      </c>
      <c r="F92" s="135">
        <v>1623</v>
      </c>
      <c r="G92" s="135">
        <v>0</v>
      </c>
      <c r="H92" s="135">
        <v>0</v>
      </c>
      <c r="I92" s="135">
        <v>0</v>
      </c>
      <c r="J92" s="135">
        <v>0</v>
      </c>
      <c r="K92" s="135">
        <v>0</v>
      </c>
      <c r="L92" s="135">
        <v>0</v>
      </c>
      <c r="M92" s="135">
        <v>0</v>
      </c>
      <c r="N92" s="135">
        <v>0</v>
      </c>
      <c r="O92" s="135">
        <v>0</v>
      </c>
      <c r="P92" s="135">
        <v>0</v>
      </c>
    </row>
    <row r="93" spans="1:16" x14ac:dyDescent="0.25">
      <c r="A93" s="94"/>
      <c r="B93" s="134" t="s">
        <v>149</v>
      </c>
      <c r="C93" s="134"/>
      <c r="D93" s="134"/>
      <c r="E93" s="135">
        <v>27579</v>
      </c>
      <c r="F93" s="135">
        <v>30189</v>
      </c>
      <c r="G93" s="433">
        <f>F93/E94*F94</f>
        <v>35436.313271951491</v>
      </c>
      <c r="H93" s="433">
        <f>G93/F94*G94</f>
        <v>39900.074478876086</v>
      </c>
      <c r="I93" s="433">
        <f>H93/G94*H94</f>
        <v>38631.31855983445</v>
      </c>
      <c r="J93" s="433">
        <f t="shared" ref="J93:P93" si="214">I93/H94*I94</f>
        <v>39038.029906681819</v>
      </c>
      <c r="K93" s="433">
        <f t="shared" si="214"/>
        <v>43829.313297627188</v>
      </c>
      <c r="L93" s="433">
        <f t="shared" si="214"/>
        <v>48137.25104126017</v>
      </c>
      <c r="M93" s="433">
        <f t="shared" si="214"/>
        <v>53501.207386899521</v>
      </c>
      <c r="N93" s="433">
        <f t="shared" si="214"/>
        <v>59445.14597300531</v>
      </c>
      <c r="O93" s="433">
        <f t="shared" si="214"/>
        <v>66151.450962484581</v>
      </c>
      <c r="P93" s="433">
        <f t="shared" si="214"/>
        <v>73610.620110851873</v>
      </c>
    </row>
    <row r="94" spans="1:16" x14ac:dyDescent="0.25">
      <c r="A94" s="94"/>
      <c r="B94" s="134" t="s">
        <v>110</v>
      </c>
      <c r="C94" s="134"/>
      <c r="D94" s="134"/>
      <c r="E94" s="135">
        <v>133590</v>
      </c>
      <c r="F94" s="135">
        <v>156810</v>
      </c>
      <c r="G94" s="135">
        <f>G88+G89-G90-G91+G92-G93</f>
        <v>176562.68672804852</v>
      </c>
      <c r="H94" s="135">
        <f>H88+H89-H90-H91+H92-H93</f>
        <v>170948.28733672146</v>
      </c>
      <c r="I94" s="135">
        <f>I88+I89-I90-I91+I92-I93</f>
        <v>172748.03455674663</v>
      </c>
      <c r="J94" s="135">
        <f t="shared" ref="J94:P94" si="215">J88+J89-J90-J91+J92-J93</f>
        <v>193950.04681937181</v>
      </c>
      <c r="K94" s="135">
        <f t="shared" si="215"/>
        <v>213013.19575348456</v>
      </c>
      <c r="L94" s="135">
        <f t="shared" si="215"/>
        <v>236749.35555387413</v>
      </c>
      <c r="M94" s="135">
        <f t="shared" si="215"/>
        <v>263052.0073713531</v>
      </c>
      <c r="N94" s="135">
        <f t="shared" si="215"/>
        <v>292728.2233289713</v>
      </c>
      <c r="O94" s="135">
        <f t="shared" si="215"/>
        <v>325735.95483814308</v>
      </c>
      <c r="P94" s="135">
        <f t="shared" si="215"/>
        <v>362373.97471647017</v>
      </c>
    </row>
    <row r="95" spans="1:16" x14ac:dyDescent="0.25">
      <c r="A95" s="94"/>
      <c r="B95" s="405"/>
      <c r="C95" s="405"/>
      <c r="D95" s="405"/>
      <c r="E95" s="432"/>
      <c r="F95" s="432"/>
      <c r="G95" s="432"/>
      <c r="H95" s="432"/>
      <c r="I95" s="432"/>
      <c r="J95" s="432"/>
      <c r="K95" s="432"/>
      <c r="L95" s="432"/>
      <c r="M95" s="432"/>
      <c r="N95" s="432"/>
      <c r="O95" s="432"/>
      <c r="P95" s="432"/>
    </row>
    <row r="96" spans="1:16" x14ac:dyDescent="0.25">
      <c r="A96" s="94"/>
      <c r="E96" s="147"/>
      <c r="F96" s="147"/>
      <c r="G96" s="384"/>
      <c r="H96" s="147"/>
      <c r="I96" s="147"/>
      <c r="J96" s="147"/>
      <c r="K96" s="147"/>
      <c r="L96" s="147"/>
      <c r="M96" s="147"/>
      <c r="N96" s="147"/>
      <c r="O96" s="147"/>
      <c r="P96" s="147"/>
    </row>
    <row r="97" spans="1:18" x14ac:dyDescent="0.2">
      <c r="A97" s="94"/>
      <c r="B97" s="89" t="s">
        <v>67</v>
      </c>
      <c r="C97" s="89"/>
      <c r="D97" s="89"/>
      <c r="E97" s="123">
        <f>E85/'Revenue Build up'!F8*10^6</f>
        <v>64225.961538461539</v>
      </c>
      <c r="F97" s="123">
        <f>F85/'Revenue Build up'!F8*10^6</f>
        <v>75389.423076923078</v>
      </c>
      <c r="G97" s="109">
        <v>100000</v>
      </c>
      <c r="H97" s="109">
        <v>100000</v>
      </c>
      <c r="I97" s="109">
        <v>100000</v>
      </c>
      <c r="J97" s="109">
        <v>100000</v>
      </c>
      <c r="K97" s="109">
        <v>100000</v>
      </c>
      <c r="L97" s="109">
        <v>100000</v>
      </c>
      <c r="M97" s="109">
        <v>100000</v>
      </c>
      <c r="N97" s="109">
        <v>100000</v>
      </c>
      <c r="O97" s="109">
        <v>100000</v>
      </c>
      <c r="P97" s="109">
        <v>100000</v>
      </c>
    </row>
    <row r="98" spans="1:18" x14ac:dyDescent="0.2">
      <c r="A98" s="94"/>
      <c r="B98" s="89"/>
      <c r="C98" s="89"/>
      <c r="D98" s="89"/>
      <c r="E98" s="107"/>
      <c r="F98" s="89"/>
      <c r="G98" s="110"/>
      <c r="H98" s="110"/>
      <c r="I98" s="110"/>
      <c r="J98" s="110"/>
      <c r="K98" s="110"/>
      <c r="L98" s="110"/>
      <c r="M98" s="110"/>
      <c r="N98" s="110"/>
      <c r="O98" s="110"/>
      <c r="P98" s="110"/>
    </row>
    <row r="99" spans="1:18" x14ac:dyDescent="0.2">
      <c r="A99" s="94"/>
      <c r="B99" s="89" t="s">
        <v>68</v>
      </c>
      <c r="C99" s="89"/>
      <c r="D99" s="89"/>
      <c r="E99" s="123">
        <f>E80-E81-E83</f>
        <v>27046</v>
      </c>
      <c r="F99" s="123">
        <f>F80-F81-F83</f>
        <v>50163</v>
      </c>
      <c r="G99" s="112">
        <f>G97*'Revenue Build up'!H9/10^6</f>
        <v>25000</v>
      </c>
      <c r="H99" s="112">
        <f>H97*'Revenue Build up'!I9/10^6</f>
        <v>0</v>
      </c>
      <c r="I99" s="112">
        <f>I97*'Revenue Build up'!J9/10^6</f>
        <v>149.50195212136023</v>
      </c>
      <c r="J99" s="112">
        <f>J97*'Revenue Build up'!K9/10^6</f>
        <v>22270.699291300542</v>
      </c>
      <c r="K99" s="112">
        <f>K97*'Revenue Build up'!L9/10^6</f>
        <v>24457.419891440823</v>
      </c>
      <c r="L99" s="112">
        <f>L97*'Revenue Build up'!M9/10^6</f>
        <v>26864.556468772887</v>
      </c>
      <c r="M99" s="112">
        <f>M97*'Revenue Build up'!N9/10^6</f>
        <v>29514.890062582726</v>
      </c>
      <c r="N99" s="112">
        <f>N97*'Revenue Build up'!O9/10^6</f>
        <v>32433.61342483987</v>
      </c>
      <c r="O99" s="112">
        <f>O97*'Revenue Build up'!P9/10^6</f>
        <v>35648.592286277613</v>
      </c>
      <c r="P99" s="112">
        <f>P97*'Revenue Build up'!Q9/10^6</f>
        <v>39190.655560349202</v>
      </c>
    </row>
    <row r="100" spans="1:18" x14ac:dyDescent="0.2">
      <c r="A100" s="94"/>
      <c r="B100" s="89" t="s">
        <v>69</v>
      </c>
      <c r="C100" s="89"/>
      <c r="D100" s="89"/>
      <c r="E100" s="107"/>
      <c r="F100" s="89"/>
      <c r="G100" s="111">
        <f t="shared" ref="G100:P100" si="216">F76</f>
        <v>30189</v>
      </c>
      <c r="H100" s="111">
        <f t="shared" si="216"/>
        <v>34285.675087549047</v>
      </c>
      <c r="I100" s="111">
        <f t="shared" si="216"/>
        <v>40281.563827738231</v>
      </c>
      <c r="J100" s="111">
        <f t="shared" si="216"/>
        <v>37969.342878006464</v>
      </c>
      <c r="K100" s="111">
        <f t="shared" si="216"/>
        <v>38435.042340299093</v>
      </c>
      <c r="L100" s="111">
        <f t="shared" si="216"/>
        <v>45008.854372876893</v>
      </c>
      <c r="M100" s="111">
        <f t="shared" si="216"/>
        <v>50288.96914179578</v>
      </c>
      <c r="N100" s="111">
        <f t="shared" si="216"/>
        <v>56687.748505783631</v>
      </c>
      <c r="O100" s="111">
        <f t="shared" si="216"/>
        <v>63510.590185378693</v>
      </c>
      <c r="P100" s="111">
        <f t="shared" si="216"/>
        <v>71057.984428829746</v>
      </c>
    </row>
    <row r="101" spans="1:18" x14ac:dyDescent="0.2">
      <c r="A101" s="94"/>
      <c r="B101" s="89" t="s">
        <v>70</v>
      </c>
      <c r="C101" s="89"/>
      <c r="D101" s="89"/>
      <c r="E101" s="107"/>
      <c r="F101" s="108"/>
      <c r="G101" s="111">
        <f>SUM(G99:G100)</f>
        <v>55189</v>
      </c>
      <c r="H101" s="111">
        <f t="shared" ref="H101:J101" si="217">SUM(H99:H100)</f>
        <v>34285.675087549047</v>
      </c>
      <c r="I101" s="111">
        <f t="shared" si="217"/>
        <v>40431.065779859593</v>
      </c>
      <c r="J101" s="111">
        <f t="shared" si="217"/>
        <v>60240.042169307009</v>
      </c>
      <c r="K101" s="111">
        <f t="shared" ref="K101:P101" si="218">SUM(K99:K100)</f>
        <v>62892.462231739919</v>
      </c>
      <c r="L101" s="111">
        <f t="shared" si="218"/>
        <v>71873.410841649777</v>
      </c>
      <c r="M101" s="111">
        <f t="shared" si="218"/>
        <v>79803.859204378503</v>
      </c>
      <c r="N101" s="111">
        <f t="shared" si="218"/>
        <v>89121.361930623505</v>
      </c>
      <c r="O101" s="111">
        <f t="shared" si="218"/>
        <v>99159.182471656299</v>
      </c>
      <c r="P101" s="111">
        <f t="shared" si="218"/>
        <v>110248.63998917895</v>
      </c>
    </row>
    <row r="102" spans="1:18" x14ac:dyDescent="0.2">
      <c r="A102" s="94"/>
      <c r="B102" s="89"/>
      <c r="C102" s="89"/>
      <c r="D102" s="89"/>
      <c r="E102" s="132"/>
      <c r="F102" s="132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0.59999389629810485"/>
  </sheetPr>
  <dimension ref="A1:J252"/>
  <sheetViews>
    <sheetView showGridLines="0" topLeftCell="A232" workbookViewId="0">
      <selection activeCell="A247" sqref="A247"/>
    </sheetView>
  </sheetViews>
  <sheetFormatPr defaultColWidth="8.85546875" defaultRowHeight="15" x14ac:dyDescent="0.25"/>
  <cols>
    <col min="1" max="1" width="10.140625" style="148" bestFit="1" customWidth="1"/>
    <col min="2" max="3" width="8.85546875" style="448"/>
    <col min="4" max="4" width="8.85546875" style="148"/>
    <col min="5" max="5" width="14.42578125" style="148" bestFit="1" customWidth="1"/>
    <col min="6" max="8" width="8.85546875" style="136"/>
    <col min="9" max="9" width="13.42578125" style="136" bestFit="1" customWidth="1"/>
    <col min="10" max="16384" width="8.85546875" style="136"/>
  </cols>
  <sheetData>
    <row r="1" spans="1:5" ht="14.25" x14ac:dyDescent="0.2">
      <c r="A1" s="153" t="s">
        <v>181</v>
      </c>
      <c r="B1" s="153" t="s">
        <v>311</v>
      </c>
      <c r="C1" s="153" t="s">
        <v>180</v>
      </c>
      <c r="D1" s="153" t="s">
        <v>179</v>
      </c>
      <c r="E1" s="153" t="s">
        <v>178</v>
      </c>
    </row>
    <row r="2" spans="1:5" x14ac:dyDescent="0.25">
      <c r="A2" s="457">
        <v>43556</v>
      </c>
      <c r="B2" s="448">
        <v>6840.7</v>
      </c>
      <c r="C2" s="448">
        <v>11669.15</v>
      </c>
      <c r="D2" s="151"/>
      <c r="E2" s="151"/>
    </row>
    <row r="3" spans="1:5" x14ac:dyDescent="0.25">
      <c r="A3" s="457">
        <v>43557</v>
      </c>
      <c r="B3" s="448">
        <v>6889.7</v>
      </c>
      <c r="C3" s="448">
        <v>11713.2</v>
      </c>
      <c r="D3" s="151">
        <f t="shared" ref="D3:D66" si="0">B3/B2-1</f>
        <v>7.1630096335171256E-3</v>
      </c>
      <c r="E3" s="151">
        <f>C3/C2-1</f>
        <v>3.7749107689935002E-3</v>
      </c>
    </row>
    <row r="4" spans="1:5" x14ac:dyDescent="0.25">
      <c r="A4" s="457">
        <v>43558</v>
      </c>
      <c r="B4" s="448">
        <v>7072.9</v>
      </c>
      <c r="C4" s="448">
        <v>11643.95</v>
      </c>
      <c r="D4" s="151">
        <f t="shared" si="0"/>
        <v>2.6590417579865466E-2</v>
      </c>
      <c r="E4" s="151">
        <f t="shared" ref="E4:E66" si="1">C4/C3-1</f>
        <v>-5.9121333196735515E-3</v>
      </c>
    </row>
    <row r="5" spans="1:5" x14ac:dyDescent="0.25">
      <c r="A5" s="457">
        <v>43559</v>
      </c>
      <c r="B5" s="448">
        <v>7113.1</v>
      </c>
      <c r="C5" s="448">
        <v>11598</v>
      </c>
      <c r="D5" s="151">
        <f t="shared" si="0"/>
        <v>5.6836658230712267E-3</v>
      </c>
      <c r="E5" s="151">
        <f t="shared" si="1"/>
        <v>-3.9462553514916232E-3</v>
      </c>
    </row>
    <row r="6" spans="1:5" x14ac:dyDescent="0.25">
      <c r="A6" s="457">
        <v>43560</v>
      </c>
      <c r="B6" s="448">
        <v>7107.7</v>
      </c>
      <c r="C6" s="448">
        <v>11665.95</v>
      </c>
      <c r="D6" s="151">
        <f t="shared" si="0"/>
        <v>-7.5916267169029439E-4</v>
      </c>
      <c r="E6" s="151">
        <f t="shared" si="1"/>
        <v>5.8587687532334343E-3</v>
      </c>
    </row>
    <row r="7" spans="1:5" x14ac:dyDescent="0.25">
      <c r="A7" s="457">
        <v>43563</v>
      </c>
      <c r="B7" s="448">
        <v>7129.45</v>
      </c>
      <c r="C7" s="448">
        <v>11604.5</v>
      </c>
      <c r="D7" s="151">
        <f t="shared" si="0"/>
        <v>3.060061623309851E-3</v>
      </c>
      <c r="E7" s="151">
        <f t="shared" si="1"/>
        <v>-5.2674664300808027E-3</v>
      </c>
    </row>
    <row r="8" spans="1:5" x14ac:dyDescent="0.25">
      <c r="A8" s="457">
        <v>43564</v>
      </c>
      <c r="B8" s="448">
        <v>7216.55</v>
      </c>
      <c r="C8" s="448">
        <v>11671.95</v>
      </c>
      <c r="D8" s="151">
        <f t="shared" si="0"/>
        <v>1.2216931179824586E-2</v>
      </c>
      <c r="E8" s="151">
        <f t="shared" si="1"/>
        <v>5.8124003619286491E-3</v>
      </c>
    </row>
    <row r="9" spans="1:5" x14ac:dyDescent="0.25">
      <c r="A9" s="457">
        <v>43565</v>
      </c>
      <c r="B9" s="448">
        <v>7186.35</v>
      </c>
      <c r="C9" s="448">
        <v>11584.3</v>
      </c>
      <c r="D9" s="151">
        <f t="shared" si="0"/>
        <v>-4.1848251588362251E-3</v>
      </c>
      <c r="E9" s="151">
        <f t="shared" si="1"/>
        <v>-7.5094564318731738E-3</v>
      </c>
    </row>
    <row r="10" spans="1:5" x14ac:dyDescent="0.25">
      <c r="A10" s="457">
        <v>43566</v>
      </c>
      <c r="B10" s="448">
        <v>7187.85</v>
      </c>
      <c r="C10" s="448">
        <v>11596.7</v>
      </c>
      <c r="D10" s="151">
        <f t="shared" si="0"/>
        <v>2.0872904882174304E-4</v>
      </c>
      <c r="E10" s="151">
        <f t="shared" si="1"/>
        <v>1.0704142675863615E-3</v>
      </c>
    </row>
    <row r="11" spans="1:5" x14ac:dyDescent="0.25">
      <c r="A11" s="457">
        <v>43567</v>
      </c>
      <c r="B11" s="448">
        <v>7342.85</v>
      </c>
      <c r="C11" s="448">
        <v>11643.45</v>
      </c>
      <c r="D11" s="151">
        <f t="shared" si="0"/>
        <v>2.156416731011368E-2</v>
      </c>
      <c r="E11" s="151">
        <f t="shared" si="1"/>
        <v>4.0313192546155285E-3</v>
      </c>
    </row>
    <row r="12" spans="1:5" x14ac:dyDescent="0.25">
      <c r="A12" s="457">
        <v>43570</v>
      </c>
      <c r="B12" s="448">
        <v>7352.5</v>
      </c>
      <c r="C12" s="448">
        <v>11690.35</v>
      </c>
      <c r="D12" s="151">
        <f t="shared" si="0"/>
        <v>1.3142036130384671E-3</v>
      </c>
      <c r="E12" s="151">
        <f t="shared" si="1"/>
        <v>4.0280157513450376E-3</v>
      </c>
    </row>
    <row r="13" spans="1:5" x14ac:dyDescent="0.25">
      <c r="A13" s="457">
        <v>43571</v>
      </c>
      <c r="B13" s="448">
        <v>7458.55</v>
      </c>
      <c r="C13" s="448">
        <v>11787.15</v>
      </c>
      <c r="D13" s="151">
        <f t="shared" si="0"/>
        <v>1.4423665419925236E-2</v>
      </c>
      <c r="E13" s="151">
        <f t="shared" si="1"/>
        <v>8.2803337795702703E-3</v>
      </c>
    </row>
    <row r="14" spans="1:5" x14ac:dyDescent="0.25">
      <c r="A14" s="457">
        <v>43573</v>
      </c>
      <c r="B14" s="448">
        <v>7447.45</v>
      </c>
      <c r="C14" s="448">
        <v>11752.8</v>
      </c>
      <c r="D14" s="151">
        <f t="shared" si="0"/>
        <v>-1.4882249230748767E-3</v>
      </c>
      <c r="E14" s="151">
        <f t="shared" si="1"/>
        <v>-2.9141904531629903E-3</v>
      </c>
    </row>
    <row r="15" spans="1:5" x14ac:dyDescent="0.25">
      <c r="A15" s="457">
        <v>43577</v>
      </c>
      <c r="B15" s="448">
        <v>7321.25</v>
      </c>
      <c r="C15" s="448">
        <v>11594.45</v>
      </c>
      <c r="D15" s="151">
        <f t="shared" si="0"/>
        <v>-1.6945397417908126E-2</v>
      </c>
      <c r="E15" s="151">
        <f t="shared" si="1"/>
        <v>-1.3473385065686405E-2</v>
      </c>
    </row>
    <row r="16" spans="1:5" x14ac:dyDescent="0.25">
      <c r="A16" s="457">
        <v>43578</v>
      </c>
      <c r="B16" s="448">
        <v>7048.9</v>
      </c>
      <c r="C16" s="448">
        <v>11575.95</v>
      </c>
      <c r="D16" s="151">
        <f t="shared" si="0"/>
        <v>-3.719993170565139E-2</v>
      </c>
      <c r="E16" s="151">
        <f t="shared" si="1"/>
        <v>-1.5955909939668889E-3</v>
      </c>
    </row>
    <row r="17" spans="1:5" x14ac:dyDescent="0.25">
      <c r="A17" s="457">
        <v>43579</v>
      </c>
      <c r="B17" s="448">
        <v>7016.7</v>
      </c>
      <c r="C17" s="448">
        <v>11726.15</v>
      </c>
      <c r="D17" s="151">
        <f t="shared" si="0"/>
        <v>-4.568088637943446E-3</v>
      </c>
      <c r="E17" s="151">
        <f t="shared" si="1"/>
        <v>1.2975176983314407E-2</v>
      </c>
    </row>
    <row r="18" spans="1:5" x14ac:dyDescent="0.25">
      <c r="A18" s="457">
        <v>43580</v>
      </c>
      <c r="B18" s="448">
        <v>6905.25</v>
      </c>
      <c r="C18" s="448">
        <v>11641.8</v>
      </c>
      <c r="D18" s="151">
        <f t="shared" si="0"/>
        <v>-1.5883534995083104E-2</v>
      </c>
      <c r="E18" s="151">
        <f t="shared" si="1"/>
        <v>-7.1933243221347087E-3</v>
      </c>
    </row>
    <row r="19" spans="1:5" x14ac:dyDescent="0.25">
      <c r="A19" s="457">
        <v>43581</v>
      </c>
      <c r="B19" s="448">
        <v>6842.85</v>
      </c>
      <c r="C19" s="448">
        <v>11754.65</v>
      </c>
      <c r="D19" s="151">
        <f t="shared" si="0"/>
        <v>-9.036602584989617E-3</v>
      </c>
      <c r="E19" s="151">
        <f t="shared" si="1"/>
        <v>9.6935181844732821E-3</v>
      </c>
    </row>
    <row r="20" spans="1:5" x14ac:dyDescent="0.25">
      <c r="A20" s="457">
        <v>43585</v>
      </c>
      <c r="B20" s="448">
        <v>6666.4</v>
      </c>
      <c r="C20" s="448">
        <v>11748.15</v>
      </c>
      <c r="D20" s="151">
        <f t="shared" si="0"/>
        <v>-2.5786039442630027E-2</v>
      </c>
      <c r="E20" s="151">
        <f t="shared" si="1"/>
        <v>-5.5297265337550527E-4</v>
      </c>
    </row>
    <row r="21" spans="1:5" x14ac:dyDescent="0.25">
      <c r="A21" s="457">
        <v>43587</v>
      </c>
      <c r="B21" s="448">
        <v>6683.25</v>
      </c>
      <c r="C21" s="448">
        <v>11724.75</v>
      </c>
      <c r="D21" s="151">
        <f t="shared" si="0"/>
        <v>2.5276011040442636E-3</v>
      </c>
      <c r="E21" s="151">
        <f t="shared" si="1"/>
        <v>-1.9918029647221225E-3</v>
      </c>
    </row>
    <row r="22" spans="1:5" x14ac:dyDescent="0.25">
      <c r="A22" s="457">
        <v>43588</v>
      </c>
      <c r="B22" s="448">
        <v>6710</v>
      </c>
      <c r="C22" s="448">
        <v>11712.25</v>
      </c>
      <c r="D22" s="151">
        <f t="shared" si="0"/>
        <v>4.0025436726143226E-3</v>
      </c>
      <c r="E22" s="151">
        <f t="shared" si="1"/>
        <v>-1.0661208128105448E-3</v>
      </c>
    </row>
    <row r="23" spans="1:5" x14ac:dyDescent="0.25">
      <c r="A23" s="457">
        <v>43591</v>
      </c>
      <c r="B23" s="448">
        <v>6709.65</v>
      </c>
      <c r="C23" s="448">
        <v>11598.25</v>
      </c>
      <c r="D23" s="151">
        <f t="shared" si="0"/>
        <v>-5.2160953800339804E-5</v>
      </c>
      <c r="E23" s="151">
        <f t="shared" si="1"/>
        <v>-9.7333987918631903E-3</v>
      </c>
    </row>
    <row r="24" spans="1:5" x14ac:dyDescent="0.25">
      <c r="A24" s="457">
        <v>43592</v>
      </c>
      <c r="B24" s="448">
        <v>6702</v>
      </c>
      <c r="C24" s="448">
        <v>11497.9</v>
      </c>
      <c r="D24" s="151">
        <f t="shared" si="0"/>
        <v>-1.1401488900314449E-3</v>
      </c>
      <c r="E24" s="151">
        <f t="shared" si="1"/>
        <v>-8.652167352833473E-3</v>
      </c>
    </row>
    <row r="25" spans="1:5" x14ac:dyDescent="0.25">
      <c r="A25" s="457">
        <v>43593</v>
      </c>
      <c r="B25" s="448">
        <v>6650.15</v>
      </c>
      <c r="C25" s="448">
        <v>11359.45</v>
      </c>
      <c r="D25" s="151">
        <f t="shared" si="0"/>
        <v>-7.7364965681886444E-3</v>
      </c>
      <c r="E25" s="151">
        <f t="shared" si="1"/>
        <v>-1.2041329286217373E-2</v>
      </c>
    </row>
    <row r="26" spans="1:5" x14ac:dyDescent="0.25">
      <c r="A26" s="457">
        <v>43594</v>
      </c>
      <c r="B26" s="448">
        <v>6624.95</v>
      </c>
      <c r="C26" s="448">
        <v>11301.8</v>
      </c>
      <c r="D26" s="151">
        <f t="shared" si="0"/>
        <v>-3.7893882092885356E-3</v>
      </c>
      <c r="E26" s="151">
        <f t="shared" si="1"/>
        <v>-5.0750696556612906E-3</v>
      </c>
    </row>
    <row r="27" spans="1:5" x14ac:dyDescent="0.25">
      <c r="A27" s="457">
        <v>43595</v>
      </c>
      <c r="B27" s="448">
        <v>6631.6</v>
      </c>
      <c r="C27" s="448">
        <v>11278.9</v>
      </c>
      <c r="D27" s="151">
        <f t="shared" si="0"/>
        <v>1.0037811606125047E-3</v>
      </c>
      <c r="E27" s="151">
        <f t="shared" si="1"/>
        <v>-2.0262259109168346E-3</v>
      </c>
    </row>
    <row r="28" spans="1:5" x14ac:dyDescent="0.25">
      <c r="A28" s="457">
        <v>43598</v>
      </c>
      <c r="B28" s="448">
        <v>6543.75</v>
      </c>
      <c r="C28" s="448">
        <v>11148.2</v>
      </c>
      <c r="D28" s="151">
        <f t="shared" si="0"/>
        <v>-1.3247180167682115E-2</v>
      </c>
      <c r="E28" s="151">
        <f t="shared" si="1"/>
        <v>-1.1588009469008398E-2</v>
      </c>
    </row>
    <row r="29" spans="1:5" x14ac:dyDescent="0.25">
      <c r="A29" s="457">
        <v>43599</v>
      </c>
      <c r="B29" s="448">
        <v>6576.2</v>
      </c>
      <c r="C29" s="448">
        <v>11222.05</v>
      </c>
      <c r="D29" s="151">
        <f t="shared" si="0"/>
        <v>4.9589302769819099E-3</v>
      </c>
      <c r="E29" s="151">
        <f t="shared" si="1"/>
        <v>6.6243877935450168E-3</v>
      </c>
    </row>
    <row r="30" spans="1:5" x14ac:dyDescent="0.25">
      <c r="A30" s="457">
        <v>43600</v>
      </c>
      <c r="B30" s="448">
        <v>6493.75</v>
      </c>
      <c r="C30" s="448">
        <v>11157</v>
      </c>
      <c r="D30" s="151">
        <f t="shared" si="0"/>
        <v>-1.2537635716675211E-2</v>
      </c>
      <c r="E30" s="151">
        <f t="shared" si="1"/>
        <v>-5.7966236115504222E-3</v>
      </c>
    </row>
    <row r="31" spans="1:5" x14ac:dyDescent="0.25">
      <c r="A31" s="457">
        <v>43601</v>
      </c>
      <c r="B31" s="448">
        <v>6479.65</v>
      </c>
      <c r="C31" s="448">
        <v>11257.1</v>
      </c>
      <c r="D31" s="151">
        <f t="shared" si="0"/>
        <v>-2.1713185755535269E-3</v>
      </c>
      <c r="E31" s="151">
        <f t="shared" si="1"/>
        <v>8.9719458635835192E-3</v>
      </c>
    </row>
    <row r="32" spans="1:5" x14ac:dyDescent="0.25">
      <c r="A32" s="457">
        <v>43602</v>
      </c>
      <c r="B32" s="448">
        <v>6706.85</v>
      </c>
      <c r="C32" s="448">
        <v>11407.15</v>
      </c>
      <c r="D32" s="151">
        <f t="shared" si="0"/>
        <v>3.5063622263548311E-2</v>
      </c>
      <c r="E32" s="151">
        <f t="shared" si="1"/>
        <v>1.3329365467127374E-2</v>
      </c>
    </row>
    <row r="33" spans="1:5" x14ac:dyDescent="0.25">
      <c r="A33" s="457">
        <v>43605</v>
      </c>
      <c r="B33" s="448">
        <v>7084.6</v>
      </c>
      <c r="C33" s="448">
        <v>11828.25</v>
      </c>
      <c r="D33" s="151">
        <f t="shared" si="0"/>
        <v>5.6323013038908076E-2</v>
      </c>
      <c r="E33" s="151">
        <f t="shared" si="1"/>
        <v>3.691544338419317E-2</v>
      </c>
    </row>
    <row r="34" spans="1:5" x14ac:dyDescent="0.25">
      <c r="A34" s="457">
        <v>43606</v>
      </c>
      <c r="B34" s="448">
        <v>6875.35</v>
      </c>
      <c r="C34" s="448">
        <v>11709.1</v>
      </c>
      <c r="D34" s="151">
        <f t="shared" si="0"/>
        <v>-2.9535894757643288E-2</v>
      </c>
      <c r="E34" s="151">
        <f t="shared" si="1"/>
        <v>-1.0073341364952526E-2</v>
      </c>
    </row>
    <row r="35" spans="1:5" x14ac:dyDescent="0.25">
      <c r="A35" s="457">
        <v>43607</v>
      </c>
      <c r="B35" s="448">
        <v>6899.8</v>
      </c>
      <c r="C35" s="448">
        <v>11737.9</v>
      </c>
      <c r="D35" s="151">
        <f t="shared" si="0"/>
        <v>3.5561825943406511E-3</v>
      </c>
      <c r="E35" s="151">
        <f t="shared" si="1"/>
        <v>2.4596254195454748E-3</v>
      </c>
    </row>
    <row r="36" spans="1:5" x14ac:dyDescent="0.25">
      <c r="A36" s="457">
        <v>43608</v>
      </c>
      <c r="B36" s="448">
        <v>6929.25</v>
      </c>
      <c r="C36" s="448">
        <v>11657.05</v>
      </c>
      <c r="D36" s="151">
        <f t="shared" si="0"/>
        <v>4.2682396591204874E-3</v>
      </c>
      <c r="E36" s="151">
        <f t="shared" si="1"/>
        <v>-6.8879441808160635E-3</v>
      </c>
    </row>
    <row r="37" spans="1:5" x14ac:dyDescent="0.25">
      <c r="A37" s="457">
        <v>43609</v>
      </c>
      <c r="B37" s="448">
        <v>7093.15</v>
      </c>
      <c r="C37" s="448">
        <v>11844.1</v>
      </c>
      <c r="D37" s="151">
        <f t="shared" si="0"/>
        <v>2.3653353537540056E-2</v>
      </c>
      <c r="E37" s="151">
        <f t="shared" si="1"/>
        <v>1.6046083700421709E-2</v>
      </c>
    </row>
    <row r="38" spans="1:5" x14ac:dyDescent="0.25">
      <c r="A38" s="457">
        <v>43612</v>
      </c>
      <c r="B38" s="448">
        <v>7068.45</v>
      </c>
      <c r="C38" s="448">
        <v>11924.75</v>
      </c>
      <c r="D38" s="151">
        <f t="shared" si="0"/>
        <v>-3.4822328584620532E-3</v>
      </c>
      <c r="E38" s="151">
        <f t="shared" si="1"/>
        <v>6.809297456117358E-3</v>
      </c>
    </row>
    <row r="39" spans="1:5" x14ac:dyDescent="0.25">
      <c r="A39" s="457">
        <v>43613</v>
      </c>
      <c r="B39" s="448">
        <v>7054.65</v>
      </c>
      <c r="C39" s="448">
        <v>11928.75</v>
      </c>
      <c r="D39" s="151">
        <f t="shared" si="0"/>
        <v>-1.9523374997347798E-3</v>
      </c>
      <c r="E39" s="151">
        <f t="shared" si="1"/>
        <v>3.3543680161018941E-4</v>
      </c>
    </row>
    <row r="40" spans="1:5" x14ac:dyDescent="0.25">
      <c r="A40" s="457">
        <v>43614</v>
      </c>
      <c r="B40" s="448">
        <v>6891.45</v>
      </c>
      <c r="C40" s="448">
        <v>11861.1</v>
      </c>
      <c r="D40" s="151">
        <f t="shared" si="0"/>
        <v>-2.3133677786991491E-2</v>
      </c>
      <c r="E40" s="151">
        <f t="shared" si="1"/>
        <v>-5.6711725872367058E-3</v>
      </c>
    </row>
    <row r="41" spans="1:5" x14ac:dyDescent="0.25">
      <c r="A41" s="457">
        <v>43615</v>
      </c>
      <c r="B41" s="448">
        <v>6867.7</v>
      </c>
      <c r="C41" s="448">
        <v>11945.9</v>
      </c>
      <c r="D41" s="151">
        <f t="shared" si="0"/>
        <v>-3.4462993999810898E-3</v>
      </c>
      <c r="E41" s="151">
        <f t="shared" si="1"/>
        <v>7.1494212172562577E-3</v>
      </c>
    </row>
    <row r="42" spans="1:5" x14ac:dyDescent="0.25">
      <c r="A42" s="457">
        <v>43616</v>
      </c>
      <c r="B42" s="448">
        <v>6869.85</v>
      </c>
      <c r="C42" s="448">
        <v>11922.8</v>
      </c>
      <c r="D42" s="151">
        <f t="shared" si="0"/>
        <v>3.1305968519301786E-4</v>
      </c>
      <c r="E42" s="151">
        <f t="shared" si="1"/>
        <v>-1.9337178446161563E-3</v>
      </c>
    </row>
    <row r="43" spans="1:5" x14ac:dyDescent="0.25">
      <c r="A43" s="457">
        <v>43619</v>
      </c>
      <c r="B43" s="448">
        <v>7022.9</v>
      </c>
      <c r="C43" s="448">
        <v>12088.55</v>
      </c>
      <c r="D43" s="151">
        <f t="shared" si="0"/>
        <v>2.2278506808736553E-2</v>
      </c>
      <c r="E43" s="151">
        <f t="shared" si="1"/>
        <v>1.3901935786895692E-2</v>
      </c>
    </row>
    <row r="44" spans="1:5" x14ac:dyDescent="0.25">
      <c r="A44" s="457">
        <v>43620</v>
      </c>
      <c r="B44" s="448">
        <v>7051.8</v>
      </c>
      <c r="C44" s="448">
        <v>12021.65</v>
      </c>
      <c r="D44" s="151">
        <f t="shared" si="0"/>
        <v>4.1151091429467712E-3</v>
      </c>
      <c r="E44" s="151">
        <f t="shared" si="1"/>
        <v>-5.5341624926066313E-3</v>
      </c>
    </row>
    <row r="45" spans="1:5" x14ac:dyDescent="0.25">
      <c r="A45" s="457">
        <v>43622</v>
      </c>
      <c r="B45" s="448">
        <v>6988.7</v>
      </c>
      <c r="C45" s="448">
        <v>11843.75</v>
      </c>
      <c r="D45" s="151">
        <f t="shared" si="0"/>
        <v>-8.948069996313035E-3</v>
      </c>
      <c r="E45" s="151">
        <f t="shared" si="1"/>
        <v>-1.479830139789462E-2</v>
      </c>
    </row>
    <row r="46" spans="1:5" x14ac:dyDescent="0.25">
      <c r="A46" s="457">
        <v>43623</v>
      </c>
      <c r="B46" s="448">
        <v>6948.25</v>
      </c>
      <c r="C46" s="448">
        <v>11870.65</v>
      </c>
      <c r="D46" s="151">
        <f t="shared" si="0"/>
        <v>-5.7879147767109229E-3</v>
      </c>
      <c r="E46" s="151">
        <f t="shared" si="1"/>
        <v>2.271240105540917E-3</v>
      </c>
    </row>
    <row r="47" spans="1:5" x14ac:dyDescent="0.25">
      <c r="A47" s="457">
        <v>43626</v>
      </c>
      <c r="B47" s="448">
        <v>6969.95</v>
      </c>
      <c r="C47" s="448">
        <v>11922.7</v>
      </c>
      <c r="D47" s="151">
        <f t="shared" si="0"/>
        <v>3.1230885474760051E-3</v>
      </c>
      <c r="E47" s="151">
        <f t="shared" si="1"/>
        <v>4.3847641030609896E-3</v>
      </c>
    </row>
    <row r="48" spans="1:5" x14ac:dyDescent="0.25">
      <c r="A48" s="457">
        <v>43627</v>
      </c>
      <c r="B48" s="448">
        <v>6978.3</v>
      </c>
      <c r="C48" s="448">
        <v>11965.6</v>
      </c>
      <c r="D48" s="151">
        <f t="shared" si="0"/>
        <v>1.1979999856528423E-3</v>
      </c>
      <c r="E48" s="151">
        <f t="shared" si="1"/>
        <v>3.5981782649903149E-3</v>
      </c>
    </row>
    <row r="49" spans="1:5" x14ac:dyDescent="0.25">
      <c r="A49" s="457">
        <v>43628</v>
      </c>
      <c r="B49" s="448">
        <v>6852</v>
      </c>
      <c r="C49" s="448">
        <v>11906.2</v>
      </c>
      <c r="D49" s="151">
        <f t="shared" si="0"/>
        <v>-1.8098963931043377E-2</v>
      </c>
      <c r="E49" s="151">
        <f t="shared" si="1"/>
        <v>-4.9642307949454567E-3</v>
      </c>
    </row>
    <row r="50" spans="1:5" x14ac:dyDescent="0.25">
      <c r="A50" s="457">
        <v>43629</v>
      </c>
      <c r="B50" s="448">
        <v>6784.7</v>
      </c>
      <c r="C50" s="448">
        <v>11914.05</v>
      </c>
      <c r="D50" s="151">
        <f t="shared" si="0"/>
        <v>-9.8219497956800739E-3</v>
      </c>
      <c r="E50" s="151">
        <f t="shared" si="1"/>
        <v>6.5932035410121159E-4</v>
      </c>
    </row>
    <row r="51" spans="1:5" x14ac:dyDescent="0.25">
      <c r="A51" s="457">
        <v>43630</v>
      </c>
      <c r="B51" s="448">
        <v>6747.4</v>
      </c>
      <c r="C51" s="448">
        <v>11823.3</v>
      </c>
      <c r="D51" s="151">
        <f t="shared" si="0"/>
        <v>-5.4976638613351003E-3</v>
      </c>
      <c r="E51" s="151">
        <f t="shared" si="1"/>
        <v>-7.6170571719944569E-3</v>
      </c>
    </row>
    <row r="52" spans="1:5" x14ac:dyDescent="0.25">
      <c r="A52" s="457">
        <v>43633</v>
      </c>
      <c r="B52" s="448">
        <v>6581.65</v>
      </c>
      <c r="C52" s="448">
        <v>11672.15</v>
      </c>
      <c r="D52" s="151">
        <f t="shared" si="0"/>
        <v>-2.4565017636422937E-2</v>
      </c>
      <c r="E52" s="151">
        <f t="shared" si="1"/>
        <v>-1.2784078895063056E-2</v>
      </c>
    </row>
    <row r="53" spans="1:5" x14ac:dyDescent="0.25">
      <c r="A53" s="457">
        <v>43634</v>
      </c>
      <c r="B53" s="448">
        <v>6439</v>
      </c>
      <c r="C53" s="448">
        <v>11691.5</v>
      </c>
      <c r="D53" s="151">
        <f t="shared" si="0"/>
        <v>-2.1673896363373912E-2</v>
      </c>
      <c r="E53" s="151">
        <f t="shared" si="1"/>
        <v>1.657792266206437E-3</v>
      </c>
    </row>
    <row r="54" spans="1:5" x14ac:dyDescent="0.25">
      <c r="A54" s="457">
        <v>43635</v>
      </c>
      <c r="B54" s="448">
        <v>6424.65</v>
      </c>
      <c r="C54" s="448">
        <v>11691.45</v>
      </c>
      <c r="D54" s="151">
        <f t="shared" si="0"/>
        <v>-2.2286069265414765E-3</v>
      </c>
      <c r="E54" s="151">
        <f t="shared" si="1"/>
        <v>-4.2766112131609191E-6</v>
      </c>
    </row>
    <row r="55" spans="1:5" x14ac:dyDescent="0.25">
      <c r="A55" s="457">
        <v>43636</v>
      </c>
      <c r="B55" s="448">
        <v>6616.75</v>
      </c>
      <c r="C55" s="448">
        <v>11831.75</v>
      </c>
      <c r="D55" s="151">
        <f t="shared" si="0"/>
        <v>2.9900461503739484E-2</v>
      </c>
      <c r="E55" s="151">
        <f t="shared" si="1"/>
        <v>1.2000222384733972E-2</v>
      </c>
    </row>
    <row r="56" spans="1:5" x14ac:dyDescent="0.25">
      <c r="A56" s="457">
        <v>43637</v>
      </c>
      <c r="B56" s="448">
        <v>6417.25</v>
      </c>
      <c r="C56" s="448">
        <v>11724.1</v>
      </c>
      <c r="D56" s="151">
        <f t="shared" si="0"/>
        <v>-3.0150753768844241E-2</v>
      </c>
      <c r="E56" s="151">
        <f t="shared" si="1"/>
        <v>-9.098400490206382E-3</v>
      </c>
    </row>
    <row r="57" spans="1:5" x14ac:dyDescent="0.25">
      <c r="A57" s="457">
        <v>43640</v>
      </c>
      <c r="B57" s="448">
        <v>6459.9</v>
      </c>
      <c r="C57" s="448">
        <v>11699.65</v>
      </c>
      <c r="D57" s="151">
        <f t="shared" si="0"/>
        <v>6.6461490513849419E-3</v>
      </c>
      <c r="E57" s="151">
        <f t="shared" si="1"/>
        <v>-2.0854479235080658E-3</v>
      </c>
    </row>
    <row r="58" spans="1:5" x14ac:dyDescent="0.25">
      <c r="A58" s="457">
        <v>43641</v>
      </c>
      <c r="B58" s="448">
        <v>6522.5</v>
      </c>
      <c r="C58" s="448">
        <v>11796.45</v>
      </c>
      <c r="D58" s="151">
        <f t="shared" si="0"/>
        <v>9.6905524853325709E-3</v>
      </c>
      <c r="E58" s="151">
        <f t="shared" si="1"/>
        <v>8.2737517788995518E-3</v>
      </c>
    </row>
    <row r="59" spans="1:5" x14ac:dyDescent="0.25">
      <c r="A59" s="457">
        <v>43642</v>
      </c>
      <c r="B59" s="448">
        <v>6480.3</v>
      </c>
      <c r="C59" s="448">
        <v>11847.55</v>
      </c>
      <c r="D59" s="151">
        <f t="shared" si="0"/>
        <v>-6.4699118436182257E-3</v>
      </c>
      <c r="E59" s="151">
        <f t="shared" si="1"/>
        <v>4.331811689109788E-3</v>
      </c>
    </row>
    <row r="60" spans="1:5" x14ac:dyDescent="0.25">
      <c r="A60" s="457">
        <v>43643</v>
      </c>
      <c r="B60" s="448">
        <v>6486.7</v>
      </c>
      <c r="C60" s="448">
        <v>11841.55</v>
      </c>
      <c r="D60" s="151">
        <f t="shared" si="0"/>
        <v>9.8760859836732884E-4</v>
      </c>
      <c r="E60" s="151">
        <f t="shared" si="1"/>
        <v>-5.0643381965043144E-4</v>
      </c>
    </row>
    <row r="61" spans="1:5" x14ac:dyDescent="0.25">
      <c r="A61" s="457">
        <v>43644</v>
      </c>
      <c r="B61" s="448">
        <v>6534.65</v>
      </c>
      <c r="C61" s="448">
        <v>11788.85</v>
      </c>
      <c r="D61" s="151">
        <f t="shared" si="0"/>
        <v>7.3920483450753416E-3</v>
      </c>
      <c r="E61" s="151">
        <f t="shared" si="1"/>
        <v>-4.4504308979820273E-3</v>
      </c>
    </row>
    <row r="62" spans="1:5" x14ac:dyDescent="0.25">
      <c r="A62" s="457">
        <v>43647</v>
      </c>
      <c r="B62" s="448">
        <v>6507.85</v>
      </c>
      <c r="C62" s="448">
        <v>11865.6</v>
      </c>
      <c r="D62" s="151">
        <f t="shared" si="0"/>
        <v>-4.1012142960983322E-3</v>
      </c>
      <c r="E62" s="151">
        <f t="shared" si="1"/>
        <v>6.5103890540638698E-3</v>
      </c>
    </row>
    <row r="63" spans="1:5" x14ac:dyDescent="0.25">
      <c r="A63" s="457">
        <v>43648</v>
      </c>
      <c r="B63" s="448">
        <v>6560</v>
      </c>
      <c r="C63" s="448">
        <v>11910.3</v>
      </c>
      <c r="D63" s="151">
        <f t="shared" si="0"/>
        <v>8.0133992025015477E-3</v>
      </c>
      <c r="E63" s="151">
        <f t="shared" si="1"/>
        <v>3.767192556634269E-3</v>
      </c>
    </row>
    <row r="64" spans="1:5" x14ac:dyDescent="0.25">
      <c r="A64" s="457">
        <v>43649</v>
      </c>
      <c r="B64" s="448">
        <v>6533.8</v>
      </c>
      <c r="C64" s="448">
        <v>11916.75</v>
      </c>
      <c r="D64" s="151">
        <f t="shared" si="0"/>
        <v>-3.9939024390243105E-3</v>
      </c>
      <c r="E64" s="151">
        <f t="shared" si="1"/>
        <v>5.4154807183715015E-4</v>
      </c>
    </row>
    <row r="65" spans="1:5" x14ac:dyDescent="0.25">
      <c r="A65" s="457">
        <v>43650</v>
      </c>
      <c r="B65" s="448">
        <v>6544.45</v>
      </c>
      <c r="C65" s="448">
        <v>11946.75</v>
      </c>
      <c r="D65" s="151">
        <f t="shared" si="0"/>
        <v>1.6299856132724333E-3</v>
      </c>
      <c r="E65" s="151">
        <f t="shared" si="1"/>
        <v>2.5174649128327786E-3</v>
      </c>
    </row>
    <row r="66" spans="1:5" x14ac:dyDescent="0.25">
      <c r="A66" s="457">
        <v>43651</v>
      </c>
      <c r="B66" s="448">
        <v>6360</v>
      </c>
      <c r="C66" s="448">
        <v>11811.15</v>
      </c>
      <c r="D66" s="151">
        <f t="shared" si="0"/>
        <v>-2.8184186600860195E-2</v>
      </c>
      <c r="E66" s="151">
        <f t="shared" si="1"/>
        <v>-1.1350367254692739E-2</v>
      </c>
    </row>
    <row r="67" spans="1:5" x14ac:dyDescent="0.25">
      <c r="A67" s="457">
        <v>43654</v>
      </c>
      <c r="B67" s="448">
        <v>6038.7</v>
      </c>
      <c r="C67" s="448">
        <v>11558.6</v>
      </c>
      <c r="D67" s="151">
        <f t="shared" ref="D67:D130" si="2">B67/B66-1</f>
        <v>-5.051886792452831E-2</v>
      </c>
      <c r="E67" s="151">
        <f t="shared" ref="E67:E130" si="3">C67/C66-1</f>
        <v>-2.1382337875651358E-2</v>
      </c>
    </row>
    <row r="68" spans="1:5" x14ac:dyDescent="0.25">
      <c r="A68" s="457">
        <v>43655</v>
      </c>
      <c r="B68" s="448">
        <v>5945.45</v>
      </c>
      <c r="C68" s="448">
        <v>11555.9</v>
      </c>
      <c r="D68" s="151">
        <f t="shared" si="2"/>
        <v>-1.5442065345190215E-2</v>
      </c>
      <c r="E68" s="151">
        <f t="shared" si="3"/>
        <v>-2.335923035662324E-4</v>
      </c>
    </row>
    <row r="69" spans="1:5" x14ac:dyDescent="0.25">
      <c r="A69" s="457">
        <v>43656</v>
      </c>
      <c r="B69" s="448">
        <v>5927.9</v>
      </c>
      <c r="C69" s="448">
        <v>11498.9</v>
      </c>
      <c r="D69" s="151">
        <f t="shared" si="2"/>
        <v>-2.9518371191415982E-3</v>
      </c>
      <c r="E69" s="151">
        <f t="shared" si="3"/>
        <v>-4.93254527990028E-3</v>
      </c>
    </row>
    <row r="70" spans="1:5" x14ac:dyDescent="0.25">
      <c r="A70" s="457">
        <v>43657</v>
      </c>
      <c r="B70" s="448">
        <v>6031.2</v>
      </c>
      <c r="C70" s="448">
        <v>11582.9</v>
      </c>
      <c r="D70" s="151">
        <f t="shared" si="2"/>
        <v>1.742606994045115E-2</v>
      </c>
      <c r="E70" s="151">
        <f t="shared" si="3"/>
        <v>7.3050465696717914E-3</v>
      </c>
    </row>
    <row r="71" spans="1:5" x14ac:dyDescent="0.25">
      <c r="A71" s="457">
        <v>43658</v>
      </c>
      <c r="B71" s="448">
        <v>5971.45</v>
      </c>
      <c r="C71" s="448">
        <v>11552.5</v>
      </c>
      <c r="D71" s="151">
        <f t="shared" si="2"/>
        <v>-9.9068178803555229E-3</v>
      </c>
      <c r="E71" s="151">
        <f t="shared" si="3"/>
        <v>-2.6245586165812851E-3</v>
      </c>
    </row>
    <row r="72" spans="1:5" x14ac:dyDescent="0.25">
      <c r="A72" s="457">
        <v>43661</v>
      </c>
      <c r="B72" s="448">
        <v>6079.7</v>
      </c>
      <c r="C72" s="448">
        <v>11588.35</v>
      </c>
      <c r="D72" s="151">
        <f t="shared" si="2"/>
        <v>1.8127925378258247E-2</v>
      </c>
      <c r="E72" s="151">
        <f t="shared" si="3"/>
        <v>3.1032244103008644E-3</v>
      </c>
    </row>
    <row r="73" spans="1:5" x14ac:dyDescent="0.25">
      <c r="A73" s="457">
        <v>43662</v>
      </c>
      <c r="B73" s="448">
        <v>6158.05</v>
      </c>
      <c r="C73" s="448">
        <v>11662.6</v>
      </c>
      <c r="D73" s="151">
        <f t="shared" si="2"/>
        <v>1.2887149036959089E-2</v>
      </c>
      <c r="E73" s="151">
        <f t="shared" si="3"/>
        <v>6.4072969836086457E-3</v>
      </c>
    </row>
    <row r="74" spans="1:5" x14ac:dyDescent="0.25">
      <c r="A74" s="457">
        <v>43663</v>
      </c>
      <c r="B74" s="448">
        <v>6075.7</v>
      </c>
      <c r="C74" s="448">
        <v>11687.5</v>
      </c>
      <c r="D74" s="151">
        <f t="shared" si="2"/>
        <v>-1.3372739747160245E-2</v>
      </c>
      <c r="E74" s="151">
        <f t="shared" si="3"/>
        <v>2.1350299247164806E-3</v>
      </c>
    </row>
    <row r="75" spans="1:5" x14ac:dyDescent="0.25">
      <c r="A75" s="457">
        <v>43664</v>
      </c>
      <c r="B75" s="448">
        <v>5882.35</v>
      </c>
      <c r="C75" s="448">
        <v>11596.9</v>
      </c>
      <c r="D75" s="151">
        <f t="shared" si="2"/>
        <v>-3.182349358921599E-2</v>
      </c>
      <c r="E75" s="151">
        <f t="shared" si="3"/>
        <v>-7.7518716577540392E-3</v>
      </c>
    </row>
    <row r="76" spans="1:5" x14ac:dyDescent="0.25">
      <c r="A76" s="457">
        <v>43665</v>
      </c>
      <c r="B76" s="448">
        <v>5769.1</v>
      </c>
      <c r="C76" s="448">
        <v>11419.25</v>
      </c>
      <c r="D76" s="151">
        <f t="shared" si="2"/>
        <v>-1.9252509626254799E-2</v>
      </c>
      <c r="E76" s="151">
        <f t="shared" si="3"/>
        <v>-1.531874897601937E-2</v>
      </c>
    </row>
    <row r="77" spans="1:5" x14ac:dyDescent="0.25">
      <c r="A77" s="457">
        <v>43668</v>
      </c>
      <c r="B77" s="448">
        <v>5912.5</v>
      </c>
      <c r="C77" s="448">
        <v>11346.2</v>
      </c>
      <c r="D77" s="151">
        <f t="shared" si="2"/>
        <v>2.4856563415437405E-2</v>
      </c>
      <c r="E77" s="151">
        <f t="shared" si="3"/>
        <v>-6.3970926286751606E-3</v>
      </c>
    </row>
    <row r="78" spans="1:5" x14ac:dyDescent="0.25">
      <c r="A78" s="457">
        <v>43669</v>
      </c>
      <c r="B78" s="448">
        <v>5873.75</v>
      </c>
      <c r="C78" s="448">
        <v>11331.05</v>
      </c>
      <c r="D78" s="151">
        <f t="shared" si="2"/>
        <v>-6.5539112050739812E-3</v>
      </c>
      <c r="E78" s="151">
        <f t="shared" si="3"/>
        <v>-1.3352488057677414E-3</v>
      </c>
    </row>
    <row r="79" spans="1:5" x14ac:dyDescent="0.25">
      <c r="A79" s="457">
        <v>43670</v>
      </c>
      <c r="B79" s="448">
        <v>5768</v>
      </c>
      <c r="C79" s="448">
        <v>11271.3</v>
      </c>
      <c r="D79" s="151">
        <f t="shared" si="2"/>
        <v>-1.8003830602255744E-2</v>
      </c>
      <c r="E79" s="151">
        <f t="shared" si="3"/>
        <v>-5.2731212023598983E-3</v>
      </c>
    </row>
    <row r="80" spans="1:5" x14ac:dyDescent="0.25">
      <c r="A80" s="457">
        <v>43671</v>
      </c>
      <c r="B80" s="448">
        <v>5756.75</v>
      </c>
      <c r="C80" s="448">
        <v>11252.15</v>
      </c>
      <c r="D80" s="151">
        <f t="shared" si="2"/>
        <v>-1.9504160887655608E-3</v>
      </c>
      <c r="E80" s="151">
        <f t="shared" si="3"/>
        <v>-1.6990054385918052E-3</v>
      </c>
    </row>
    <row r="81" spans="1:5" x14ac:dyDescent="0.25">
      <c r="A81" s="457">
        <v>43672</v>
      </c>
      <c r="B81" s="448">
        <v>5805.65</v>
      </c>
      <c r="C81" s="448">
        <v>11284.3</v>
      </c>
      <c r="D81" s="151">
        <f t="shared" si="2"/>
        <v>8.4943761671081308E-3</v>
      </c>
      <c r="E81" s="151">
        <f t="shared" si="3"/>
        <v>2.8572317290473936E-3</v>
      </c>
    </row>
    <row r="82" spans="1:5" x14ac:dyDescent="0.25">
      <c r="A82" s="457">
        <v>43675</v>
      </c>
      <c r="B82" s="448">
        <v>5561.25</v>
      </c>
      <c r="C82" s="448">
        <v>11189.2</v>
      </c>
      <c r="D82" s="151">
        <f t="shared" si="2"/>
        <v>-4.2096922825178851E-2</v>
      </c>
      <c r="E82" s="151">
        <f t="shared" si="3"/>
        <v>-8.4276384002550664E-3</v>
      </c>
    </row>
    <row r="83" spans="1:5" x14ac:dyDescent="0.25">
      <c r="A83" s="457">
        <v>43676</v>
      </c>
      <c r="B83" s="448">
        <v>5507.15</v>
      </c>
      <c r="C83" s="448">
        <v>11085.4</v>
      </c>
      <c r="D83" s="151">
        <f t="shared" si="2"/>
        <v>-9.7280287705102664E-3</v>
      </c>
      <c r="E83" s="151">
        <f t="shared" si="3"/>
        <v>-9.2768026311086382E-3</v>
      </c>
    </row>
    <row r="84" spans="1:5" x14ac:dyDescent="0.25">
      <c r="A84" s="457">
        <v>43677</v>
      </c>
      <c r="B84" s="448">
        <v>5469.7</v>
      </c>
      <c r="C84" s="448">
        <v>11118</v>
      </c>
      <c r="D84" s="151">
        <f t="shared" si="2"/>
        <v>-6.8002505833325566E-3</v>
      </c>
      <c r="E84" s="151">
        <f t="shared" si="3"/>
        <v>2.94080502282279E-3</v>
      </c>
    </row>
    <row r="85" spans="1:5" x14ac:dyDescent="0.25">
      <c r="A85" s="457">
        <v>43678</v>
      </c>
      <c r="B85" s="448">
        <v>5572.6</v>
      </c>
      <c r="C85" s="448">
        <v>10980</v>
      </c>
      <c r="D85" s="151">
        <f t="shared" si="2"/>
        <v>1.8812731959705342E-2</v>
      </c>
      <c r="E85" s="151">
        <f t="shared" si="3"/>
        <v>-1.2412304371289817E-2</v>
      </c>
    </row>
    <row r="86" spans="1:5" x14ac:dyDescent="0.25">
      <c r="A86" s="457">
        <v>43679</v>
      </c>
      <c r="B86" s="448">
        <v>5689.35</v>
      </c>
      <c r="C86" s="448">
        <v>10997.35</v>
      </c>
      <c r="D86" s="151">
        <f t="shared" si="2"/>
        <v>2.0950723181279773E-2</v>
      </c>
      <c r="E86" s="151">
        <f t="shared" si="3"/>
        <v>1.5801457194899449E-3</v>
      </c>
    </row>
    <row r="87" spans="1:5" x14ac:dyDescent="0.25">
      <c r="A87" s="457">
        <v>43682</v>
      </c>
      <c r="B87" s="448">
        <v>5670.35</v>
      </c>
      <c r="C87" s="448">
        <v>10862.6</v>
      </c>
      <c r="D87" s="151">
        <f t="shared" si="2"/>
        <v>-3.3395730619490971E-3</v>
      </c>
      <c r="E87" s="151">
        <f t="shared" si="3"/>
        <v>-1.2252951847490534E-2</v>
      </c>
    </row>
    <row r="88" spans="1:5" x14ac:dyDescent="0.25">
      <c r="A88" s="457">
        <v>43683</v>
      </c>
      <c r="B88" s="448">
        <v>5833.3</v>
      </c>
      <c r="C88" s="448">
        <v>10948.25</v>
      </c>
      <c r="D88" s="151">
        <f t="shared" si="2"/>
        <v>2.8737203170880132E-2</v>
      </c>
      <c r="E88" s="151">
        <f t="shared" si="3"/>
        <v>7.8848526135546493E-3</v>
      </c>
    </row>
    <row r="89" spans="1:5" x14ac:dyDescent="0.25">
      <c r="A89" s="457">
        <v>43684</v>
      </c>
      <c r="B89" s="448">
        <v>5775</v>
      </c>
      <c r="C89" s="448">
        <v>10855.5</v>
      </c>
      <c r="D89" s="151">
        <f t="shared" si="2"/>
        <v>-9.9943428248161492E-3</v>
      </c>
      <c r="E89" s="151">
        <f t="shared" si="3"/>
        <v>-8.4716735551343403E-3</v>
      </c>
    </row>
    <row r="90" spans="1:5" x14ac:dyDescent="0.25">
      <c r="A90" s="457">
        <v>43685</v>
      </c>
      <c r="B90" s="448">
        <v>5902.25</v>
      </c>
      <c r="C90" s="448">
        <v>11032.45</v>
      </c>
      <c r="D90" s="151">
        <f t="shared" si="2"/>
        <v>2.2034632034632073E-2</v>
      </c>
      <c r="E90" s="151">
        <f t="shared" si="3"/>
        <v>1.6300492837732161E-2</v>
      </c>
    </row>
    <row r="91" spans="1:5" x14ac:dyDescent="0.25">
      <c r="A91" s="457">
        <v>43686</v>
      </c>
      <c r="B91" s="448">
        <v>6099.9</v>
      </c>
      <c r="C91" s="448">
        <v>11109.65</v>
      </c>
      <c r="D91" s="151">
        <f t="shared" si="2"/>
        <v>3.3487229446397482E-2</v>
      </c>
      <c r="E91" s="151">
        <f t="shared" si="3"/>
        <v>6.9975390779020152E-3</v>
      </c>
    </row>
    <row r="92" spans="1:5" x14ac:dyDescent="0.25">
      <c r="A92" s="457">
        <v>43690</v>
      </c>
      <c r="B92" s="448">
        <v>5815.45</v>
      </c>
      <c r="C92" s="448">
        <v>10925.85</v>
      </c>
      <c r="D92" s="151">
        <f t="shared" si="2"/>
        <v>-4.6631911998557318E-2</v>
      </c>
      <c r="E92" s="151">
        <f t="shared" si="3"/>
        <v>-1.6544175559085939E-2</v>
      </c>
    </row>
    <row r="93" spans="1:5" x14ac:dyDescent="0.25">
      <c r="A93" s="457">
        <v>43691</v>
      </c>
      <c r="B93" s="448">
        <v>5816</v>
      </c>
      <c r="C93" s="448">
        <v>11029.4</v>
      </c>
      <c r="D93" s="151">
        <f t="shared" si="2"/>
        <v>9.4575656226059124E-5</v>
      </c>
      <c r="E93" s="151">
        <f t="shared" si="3"/>
        <v>9.4775234878750059E-3</v>
      </c>
    </row>
    <row r="94" spans="1:5" x14ac:dyDescent="0.25">
      <c r="A94" s="457">
        <v>43693</v>
      </c>
      <c r="B94" s="448">
        <v>5975.05</v>
      </c>
      <c r="C94" s="448">
        <v>11047.8</v>
      </c>
      <c r="D94" s="151">
        <f t="shared" si="2"/>
        <v>2.7346973865199464E-2</v>
      </c>
      <c r="E94" s="151">
        <f t="shared" si="3"/>
        <v>1.6682684461530872E-3</v>
      </c>
    </row>
    <row r="95" spans="1:5" x14ac:dyDescent="0.25">
      <c r="A95" s="457">
        <v>43696</v>
      </c>
      <c r="B95" s="448">
        <v>5982.55</v>
      </c>
      <c r="C95" s="448">
        <v>11053.9</v>
      </c>
      <c r="D95" s="151">
        <f t="shared" si="2"/>
        <v>1.2552196215931399E-3</v>
      </c>
      <c r="E95" s="151">
        <f t="shared" si="3"/>
        <v>5.5214612864107337E-4</v>
      </c>
    </row>
    <row r="96" spans="1:5" x14ac:dyDescent="0.25">
      <c r="A96" s="457">
        <v>43697</v>
      </c>
      <c r="B96" s="448">
        <v>6190.95</v>
      </c>
      <c r="C96" s="448">
        <v>11017</v>
      </c>
      <c r="D96" s="151">
        <f t="shared" si="2"/>
        <v>3.4834644089894784E-2</v>
      </c>
      <c r="E96" s="151">
        <f t="shared" si="3"/>
        <v>-3.338188331719949E-3</v>
      </c>
    </row>
    <row r="97" spans="1:5" x14ac:dyDescent="0.25">
      <c r="A97" s="457">
        <v>43698</v>
      </c>
      <c r="B97" s="448">
        <v>6228.9</v>
      </c>
      <c r="C97" s="448">
        <v>10918.7</v>
      </c>
      <c r="D97" s="151">
        <f t="shared" si="2"/>
        <v>6.1299154410874301E-3</v>
      </c>
      <c r="E97" s="151">
        <f t="shared" si="3"/>
        <v>-8.9225742035036193E-3</v>
      </c>
    </row>
    <row r="98" spans="1:5" x14ac:dyDescent="0.25">
      <c r="A98" s="457">
        <v>43699</v>
      </c>
      <c r="B98" s="448">
        <v>6208.55</v>
      </c>
      <c r="C98" s="448">
        <v>10741.35</v>
      </c>
      <c r="D98" s="151">
        <f t="shared" si="2"/>
        <v>-3.2670294915634335E-3</v>
      </c>
      <c r="E98" s="151">
        <f t="shared" si="3"/>
        <v>-1.6242776154670513E-2</v>
      </c>
    </row>
    <row r="99" spans="1:5" x14ac:dyDescent="0.25">
      <c r="A99" s="457">
        <v>43700</v>
      </c>
      <c r="B99" s="448">
        <v>6254.35</v>
      </c>
      <c r="C99" s="448">
        <v>10829.35</v>
      </c>
      <c r="D99" s="151">
        <f t="shared" si="2"/>
        <v>7.3769237583654057E-3</v>
      </c>
      <c r="E99" s="151">
        <f t="shared" si="3"/>
        <v>8.1926387279065427E-3</v>
      </c>
    </row>
    <row r="100" spans="1:5" x14ac:dyDescent="0.25">
      <c r="A100" s="457">
        <v>43703</v>
      </c>
      <c r="B100" s="448">
        <v>6255.55</v>
      </c>
      <c r="C100" s="448">
        <v>11057.85</v>
      </c>
      <c r="D100" s="151">
        <f t="shared" si="2"/>
        <v>1.9186646094304649E-4</v>
      </c>
      <c r="E100" s="151">
        <f t="shared" si="3"/>
        <v>2.1100066024276609E-2</v>
      </c>
    </row>
    <row r="101" spans="1:5" x14ac:dyDescent="0.25">
      <c r="A101" s="457">
        <v>43704</v>
      </c>
      <c r="B101" s="448">
        <v>6277.75</v>
      </c>
      <c r="C101" s="448">
        <v>11105.35</v>
      </c>
      <c r="D101" s="151">
        <f t="shared" si="2"/>
        <v>3.5488486224233284E-3</v>
      </c>
      <c r="E101" s="151">
        <f t="shared" si="3"/>
        <v>4.2955909150512728E-3</v>
      </c>
    </row>
    <row r="102" spans="1:5" x14ac:dyDescent="0.25">
      <c r="A102" s="457">
        <v>43705</v>
      </c>
      <c r="B102" s="448">
        <v>6103.4</v>
      </c>
      <c r="C102" s="448">
        <v>11046.1</v>
      </c>
      <c r="D102" s="151">
        <f t="shared" si="2"/>
        <v>-2.7772689259687011E-2</v>
      </c>
      <c r="E102" s="151">
        <f t="shared" si="3"/>
        <v>-5.3352663355950014E-3</v>
      </c>
    </row>
    <row r="103" spans="1:5" x14ac:dyDescent="0.25">
      <c r="A103" s="457">
        <v>43706</v>
      </c>
      <c r="B103" s="448">
        <v>6110.2</v>
      </c>
      <c r="C103" s="448">
        <v>10948.3</v>
      </c>
      <c r="D103" s="151">
        <f t="shared" si="2"/>
        <v>1.1141331061375048E-3</v>
      </c>
      <c r="E103" s="151">
        <f t="shared" si="3"/>
        <v>-8.8538036048922963E-3</v>
      </c>
    </row>
    <row r="104" spans="1:5" x14ac:dyDescent="0.25">
      <c r="A104" s="457">
        <v>43707</v>
      </c>
      <c r="B104" s="448">
        <v>6123.75</v>
      </c>
      <c r="C104" s="448">
        <v>11023.25</v>
      </c>
      <c r="D104" s="151">
        <f t="shared" si="2"/>
        <v>2.2176033517724569E-3</v>
      </c>
      <c r="E104" s="151">
        <f t="shared" si="3"/>
        <v>6.845811678525493E-3</v>
      </c>
    </row>
    <row r="105" spans="1:5" x14ac:dyDescent="0.25">
      <c r="A105" s="457">
        <v>43711</v>
      </c>
      <c r="B105" s="448">
        <v>6049.7</v>
      </c>
      <c r="C105" s="448">
        <v>10797.9</v>
      </c>
      <c r="D105" s="151">
        <f t="shared" si="2"/>
        <v>-1.209226372729133E-2</v>
      </c>
      <c r="E105" s="151">
        <f t="shared" si="3"/>
        <v>-2.0443154242170025E-2</v>
      </c>
    </row>
    <row r="106" spans="1:5" x14ac:dyDescent="0.25">
      <c r="A106" s="457">
        <v>43712</v>
      </c>
      <c r="B106" s="448">
        <v>5830.75</v>
      </c>
      <c r="C106" s="448">
        <v>10844.65</v>
      </c>
      <c r="D106" s="151">
        <f t="shared" si="2"/>
        <v>-3.6191877283171081E-2</v>
      </c>
      <c r="E106" s="151">
        <f t="shared" si="3"/>
        <v>4.3295455597847088E-3</v>
      </c>
    </row>
    <row r="107" spans="1:5" x14ac:dyDescent="0.25">
      <c r="A107" s="457">
        <v>43713</v>
      </c>
      <c r="B107" s="448">
        <v>5968.65</v>
      </c>
      <c r="C107" s="448">
        <v>10847.9</v>
      </c>
      <c r="D107" s="151">
        <f t="shared" si="2"/>
        <v>2.3650473781245962E-2</v>
      </c>
      <c r="E107" s="151">
        <f t="shared" si="3"/>
        <v>2.9968694240944949E-4</v>
      </c>
    </row>
    <row r="108" spans="1:5" x14ac:dyDescent="0.25">
      <c r="A108" s="457">
        <v>43714</v>
      </c>
      <c r="B108" s="448">
        <v>6186.95</v>
      </c>
      <c r="C108" s="448">
        <v>10946.2</v>
      </c>
      <c r="D108" s="151">
        <f t="shared" si="2"/>
        <v>3.6574434754927942E-2</v>
      </c>
      <c r="E108" s="151">
        <f t="shared" si="3"/>
        <v>9.0616617041088254E-3</v>
      </c>
    </row>
    <row r="109" spans="1:5" x14ac:dyDescent="0.25">
      <c r="A109" s="457">
        <v>43717</v>
      </c>
      <c r="B109" s="448">
        <v>6335.5</v>
      </c>
      <c r="C109" s="448">
        <v>11003.05</v>
      </c>
      <c r="D109" s="151">
        <f t="shared" si="2"/>
        <v>2.4010215049418582E-2</v>
      </c>
      <c r="E109" s="151">
        <f t="shared" si="3"/>
        <v>5.1935831612794914E-3</v>
      </c>
    </row>
    <row r="110" spans="1:5" x14ac:dyDescent="0.25">
      <c r="A110" s="457">
        <v>43719</v>
      </c>
      <c r="B110" s="448">
        <v>6597.3</v>
      </c>
      <c r="C110" s="448">
        <v>11035.7</v>
      </c>
      <c r="D110" s="151">
        <f t="shared" si="2"/>
        <v>4.1322705390261172E-2</v>
      </c>
      <c r="E110" s="151">
        <f t="shared" si="3"/>
        <v>2.9673590504453173E-3</v>
      </c>
    </row>
    <row r="111" spans="1:5" x14ac:dyDescent="0.25">
      <c r="A111" s="457">
        <v>43720</v>
      </c>
      <c r="B111" s="448">
        <v>6392.05</v>
      </c>
      <c r="C111" s="448">
        <v>10982.8</v>
      </c>
      <c r="D111" s="151">
        <f t="shared" si="2"/>
        <v>-3.1111212162551305E-2</v>
      </c>
      <c r="E111" s="151">
        <f t="shared" si="3"/>
        <v>-4.7935337133123701E-3</v>
      </c>
    </row>
    <row r="112" spans="1:5" x14ac:dyDescent="0.25">
      <c r="A112" s="457">
        <v>43721</v>
      </c>
      <c r="B112" s="448">
        <v>6450.3</v>
      </c>
      <c r="C112" s="448">
        <v>11075.9</v>
      </c>
      <c r="D112" s="151">
        <f t="shared" si="2"/>
        <v>9.1128824086168514E-3</v>
      </c>
      <c r="E112" s="151">
        <f t="shared" si="3"/>
        <v>8.4768911388717338E-3</v>
      </c>
    </row>
    <row r="113" spans="1:5" x14ac:dyDescent="0.25">
      <c r="A113" s="457">
        <v>43724</v>
      </c>
      <c r="B113" s="448">
        <v>6412.75</v>
      </c>
      <c r="C113" s="448">
        <v>11003.5</v>
      </c>
      <c r="D113" s="151">
        <f t="shared" si="2"/>
        <v>-5.8214346619537283E-3</v>
      </c>
      <c r="E113" s="151">
        <f t="shared" si="3"/>
        <v>-6.5367148493575833E-3</v>
      </c>
    </row>
    <row r="114" spans="1:5" x14ac:dyDescent="0.25">
      <c r="A114" s="457">
        <v>43725</v>
      </c>
      <c r="B114" s="448">
        <v>6130.4</v>
      </c>
      <c r="C114" s="448">
        <v>10817.6</v>
      </c>
      <c r="D114" s="151">
        <f t="shared" si="2"/>
        <v>-4.4029472535183856E-2</v>
      </c>
      <c r="E114" s="151">
        <f t="shared" si="3"/>
        <v>-1.6894624437678862E-2</v>
      </c>
    </row>
    <row r="115" spans="1:5" x14ac:dyDescent="0.25">
      <c r="A115" s="457">
        <v>43726</v>
      </c>
      <c r="B115" s="448">
        <v>6095.05</v>
      </c>
      <c r="C115" s="448">
        <v>10840.65</v>
      </c>
      <c r="D115" s="151">
        <f t="shared" si="2"/>
        <v>-5.7663447735872841E-3</v>
      </c>
      <c r="E115" s="151">
        <f t="shared" si="3"/>
        <v>2.1307868658482221E-3</v>
      </c>
    </row>
    <row r="116" spans="1:5" x14ac:dyDescent="0.25">
      <c r="A116" s="457">
        <v>43727</v>
      </c>
      <c r="B116" s="448">
        <v>5971.75</v>
      </c>
      <c r="C116" s="448">
        <v>10704.8</v>
      </c>
      <c r="D116" s="151">
        <f t="shared" si="2"/>
        <v>-2.0229530520668448E-2</v>
      </c>
      <c r="E116" s="151">
        <f t="shared" si="3"/>
        <v>-1.2531536393112996E-2</v>
      </c>
    </row>
    <row r="117" spans="1:5" x14ac:dyDescent="0.25">
      <c r="A117" s="457">
        <v>43728</v>
      </c>
      <c r="B117" s="448">
        <v>6591.95</v>
      </c>
      <c r="C117" s="448">
        <v>11274.2</v>
      </c>
      <c r="D117" s="151">
        <f t="shared" si="2"/>
        <v>0.10385565370285099</v>
      </c>
      <c r="E117" s="151">
        <f t="shared" si="3"/>
        <v>5.3191091846648275E-2</v>
      </c>
    </row>
    <row r="118" spans="1:5" x14ac:dyDescent="0.25">
      <c r="A118" s="457">
        <v>43731</v>
      </c>
      <c r="B118" s="448">
        <v>6897.85</v>
      </c>
      <c r="C118" s="448">
        <v>11600.2</v>
      </c>
      <c r="D118" s="151">
        <f t="shared" si="2"/>
        <v>4.6405084990025713E-2</v>
      </c>
      <c r="E118" s="151">
        <f t="shared" si="3"/>
        <v>2.8915577158467931E-2</v>
      </c>
    </row>
    <row r="119" spans="1:5" x14ac:dyDescent="0.25">
      <c r="A119" s="457">
        <v>43732</v>
      </c>
      <c r="B119" s="448">
        <v>7009.1</v>
      </c>
      <c r="C119" s="448">
        <v>11588.2</v>
      </c>
      <c r="D119" s="151">
        <f t="shared" si="2"/>
        <v>1.6128213863740193E-2</v>
      </c>
      <c r="E119" s="151">
        <f t="shared" si="3"/>
        <v>-1.0344649230186187E-3</v>
      </c>
    </row>
    <row r="120" spans="1:5" x14ac:dyDescent="0.25">
      <c r="A120" s="457">
        <v>43733</v>
      </c>
      <c r="B120" s="448">
        <v>6638.5</v>
      </c>
      <c r="C120" s="448">
        <v>11440.2</v>
      </c>
      <c r="D120" s="151">
        <f t="shared" si="2"/>
        <v>-5.2874120785835643E-2</v>
      </c>
      <c r="E120" s="151">
        <f t="shared" si="3"/>
        <v>-1.2771612502373131E-2</v>
      </c>
    </row>
    <row r="121" spans="1:5" x14ac:dyDescent="0.25">
      <c r="A121" s="457">
        <v>43734</v>
      </c>
      <c r="B121" s="448">
        <v>6857.45</v>
      </c>
      <c r="C121" s="448">
        <v>11571.2</v>
      </c>
      <c r="D121" s="151">
        <f t="shared" si="2"/>
        <v>3.2981848309105999E-2</v>
      </c>
      <c r="E121" s="151">
        <f t="shared" si="3"/>
        <v>1.1450848761385357E-2</v>
      </c>
    </row>
    <row r="122" spans="1:5" x14ac:dyDescent="0.25">
      <c r="A122" s="457">
        <v>43735</v>
      </c>
      <c r="B122" s="448">
        <v>6773.7</v>
      </c>
      <c r="C122" s="448">
        <v>11512.4</v>
      </c>
      <c r="D122" s="151">
        <f t="shared" si="2"/>
        <v>-1.2212994626282336E-2</v>
      </c>
      <c r="E122" s="151">
        <f t="shared" si="3"/>
        <v>-5.0815818584071248E-3</v>
      </c>
    </row>
    <row r="123" spans="1:5" x14ac:dyDescent="0.25">
      <c r="A123" s="457">
        <v>43738</v>
      </c>
      <c r="B123" s="448">
        <v>6715.8</v>
      </c>
      <c r="C123" s="448">
        <v>11474.45</v>
      </c>
      <c r="D123" s="151">
        <f t="shared" si="2"/>
        <v>-8.5477656229239196E-3</v>
      </c>
      <c r="E123" s="151">
        <f t="shared" si="3"/>
        <v>-3.2964455717312546E-3</v>
      </c>
    </row>
    <row r="124" spans="1:5" x14ac:dyDescent="0.25">
      <c r="A124" s="457">
        <v>43739</v>
      </c>
      <c r="B124" s="448">
        <v>6782</v>
      </c>
      <c r="C124" s="448">
        <v>11359.9</v>
      </c>
      <c r="D124" s="151">
        <f t="shared" si="2"/>
        <v>9.857351320765817E-3</v>
      </c>
      <c r="E124" s="151">
        <f t="shared" si="3"/>
        <v>-9.9830492964805284E-3</v>
      </c>
    </row>
    <row r="125" spans="1:5" x14ac:dyDescent="0.25">
      <c r="A125" s="457">
        <v>43741</v>
      </c>
      <c r="B125" s="448">
        <v>6754.05</v>
      </c>
      <c r="C125" s="448">
        <v>11314</v>
      </c>
      <c r="D125" s="151">
        <f t="shared" si="2"/>
        <v>-4.1212031849011677E-3</v>
      </c>
      <c r="E125" s="151">
        <f t="shared" si="3"/>
        <v>-4.0405285257792967E-3</v>
      </c>
    </row>
    <row r="126" spans="1:5" x14ac:dyDescent="0.25">
      <c r="A126" s="457">
        <v>43742</v>
      </c>
      <c r="B126" s="448">
        <v>6649.6</v>
      </c>
      <c r="C126" s="448">
        <v>11174.75</v>
      </c>
      <c r="D126" s="151">
        <f t="shared" si="2"/>
        <v>-1.5464795196955872E-2</v>
      </c>
      <c r="E126" s="151">
        <f t="shared" si="3"/>
        <v>-1.2307760296977222E-2</v>
      </c>
    </row>
    <row r="127" spans="1:5" x14ac:dyDescent="0.25">
      <c r="A127" s="457">
        <v>43745</v>
      </c>
      <c r="B127" s="448">
        <v>6629.85</v>
      </c>
      <c r="C127" s="448">
        <v>11126.4</v>
      </c>
      <c r="D127" s="151">
        <f t="shared" si="2"/>
        <v>-2.9701034648700331E-3</v>
      </c>
      <c r="E127" s="151">
        <f t="shared" si="3"/>
        <v>-4.3267187185396239E-3</v>
      </c>
    </row>
    <row r="128" spans="1:5" x14ac:dyDescent="0.25">
      <c r="A128" s="457">
        <v>43747</v>
      </c>
      <c r="B128" s="448">
        <v>6719.55</v>
      </c>
      <c r="C128" s="448">
        <v>11313.3</v>
      </c>
      <c r="D128" s="151">
        <f t="shared" si="2"/>
        <v>1.3529717866920032E-2</v>
      </c>
      <c r="E128" s="151">
        <f t="shared" si="3"/>
        <v>1.6797886108714355E-2</v>
      </c>
    </row>
    <row r="129" spans="1:5" x14ac:dyDescent="0.25">
      <c r="A129" s="457">
        <v>43748</v>
      </c>
      <c r="B129" s="448">
        <v>6605.45</v>
      </c>
      <c r="C129" s="448">
        <v>11234.55</v>
      </c>
      <c r="D129" s="151">
        <f t="shared" si="2"/>
        <v>-1.6980303740577907E-2</v>
      </c>
      <c r="E129" s="151">
        <f t="shared" si="3"/>
        <v>-6.9608337089973604E-3</v>
      </c>
    </row>
    <row r="130" spans="1:5" x14ac:dyDescent="0.25">
      <c r="A130" s="457">
        <v>43749</v>
      </c>
      <c r="B130" s="448">
        <v>6698.9</v>
      </c>
      <c r="C130" s="448">
        <v>11305.05</v>
      </c>
      <c r="D130" s="151">
        <f t="shared" si="2"/>
        <v>1.4147408579279208E-2</v>
      </c>
      <c r="E130" s="151">
        <f t="shared" si="3"/>
        <v>6.2752847243547905E-3</v>
      </c>
    </row>
    <row r="131" spans="1:5" x14ac:dyDescent="0.25">
      <c r="A131" s="457">
        <v>43752</v>
      </c>
      <c r="B131" s="448">
        <v>6821.1</v>
      </c>
      <c r="C131" s="448">
        <v>11341.15</v>
      </c>
      <c r="D131" s="151">
        <f t="shared" ref="D131:D194" si="4">B131/B130-1</f>
        <v>1.8241800892683901E-2</v>
      </c>
      <c r="E131" s="151">
        <f t="shared" ref="E131:E194" si="5">C131/C130-1</f>
        <v>3.1932631876905315E-3</v>
      </c>
    </row>
    <row r="132" spans="1:5" x14ac:dyDescent="0.25">
      <c r="A132" s="457">
        <v>43753</v>
      </c>
      <c r="B132" s="448">
        <v>6985.75</v>
      </c>
      <c r="C132" s="448">
        <v>11428.3</v>
      </c>
      <c r="D132" s="151">
        <f t="shared" si="4"/>
        <v>2.4138335459090055E-2</v>
      </c>
      <c r="E132" s="151">
        <f t="shared" si="5"/>
        <v>7.6844059023997158E-3</v>
      </c>
    </row>
    <row r="133" spans="1:5" x14ac:dyDescent="0.25">
      <c r="A133" s="457">
        <v>43754</v>
      </c>
      <c r="B133" s="448">
        <v>6975</v>
      </c>
      <c r="C133" s="448">
        <v>11464</v>
      </c>
      <c r="D133" s="151">
        <f t="shared" si="4"/>
        <v>-1.538846938410332E-3</v>
      </c>
      <c r="E133" s="151">
        <f t="shared" si="5"/>
        <v>3.1238241908246867E-3</v>
      </c>
    </row>
    <row r="134" spans="1:5" x14ac:dyDescent="0.25">
      <c r="A134" s="457">
        <v>43755</v>
      </c>
      <c r="B134" s="448">
        <v>7123.9</v>
      </c>
      <c r="C134" s="448">
        <v>11586.35</v>
      </c>
      <c r="D134" s="151">
        <f t="shared" si="4"/>
        <v>2.13476702508959E-2</v>
      </c>
      <c r="E134" s="151">
        <f t="shared" si="5"/>
        <v>1.0672540125610697E-2</v>
      </c>
    </row>
    <row r="135" spans="1:5" x14ac:dyDescent="0.25">
      <c r="A135" s="457">
        <v>43756</v>
      </c>
      <c r="B135" s="448">
        <v>7302.3</v>
      </c>
      <c r="C135" s="448">
        <v>11661.85</v>
      </c>
      <c r="D135" s="151">
        <f t="shared" si="4"/>
        <v>2.5042462695995305E-2</v>
      </c>
      <c r="E135" s="151">
        <f t="shared" si="5"/>
        <v>6.5162885636977919E-3</v>
      </c>
    </row>
    <row r="136" spans="1:5" x14ac:dyDescent="0.25">
      <c r="A136" s="457">
        <v>43760</v>
      </c>
      <c r="B136" s="448">
        <v>7256.25</v>
      </c>
      <c r="C136" s="448">
        <v>11588.35</v>
      </c>
      <c r="D136" s="151">
        <f t="shared" si="4"/>
        <v>-6.3062322829793294E-3</v>
      </c>
      <c r="E136" s="151">
        <f t="shared" si="5"/>
        <v>-6.302602074284902E-3</v>
      </c>
    </row>
    <row r="137" spans="1:5" x14ac:dyDescent="0.25">
      <c r="A137" s="457">
        <v>43761</v>
      </c>
      <c r="B137" s="448">
        <v>7440.25</v>
      </c>
      <c r="C137" s="448">
        <v>11604.1</v>
      </c>
      <c r="D137" s="151">
        <f t="shared" si="4"/>
        <v>2.5357450473729504E-2</v>
      </c>
      <c r="E137" s="151">
        <f t="shared" si="5"/>
        <v>1.3591236025836118E-3</v>
      </c>
    </row>
    <row r="138" spans="1:5" x14ac:dyDescent="0.25">
      <c r="A138" s="457">
        <v>43762</v>
      </c>
      <c r="B138" s="448">
        <v>7391.4</v>
      </c>
      <c r="C138" s="448">
        <v>11582.6</v>
      </c>
      <c r="D138" s="151">
        <f t="shared" si="4"/>
        <v>-6.5656395954437619E-3</v>
      </c>
      <c r="E138" s="151">
        <f t="shared" si="5"/>
        <v>-1.8527934092260612E-3</v>
      </c>
    </row>
    <row r="139" spans="1:5" x14ac:dyDescent="0.25">
      <c r="A139" s="457">
        <v>43763</v>
      </c>
      <c r="B139" s="448">
        <v>7471.15</v>
      </c>
      <c r="C139" s="448">
        <v>11583.9</v>
      </c>
      <c r="D139" s="151">
        <f t="shared" si="4"/>
        <v>1.0789566252672023E-2</v>
      </c>
      <c r="E139" s="151">
        <f t="shared" si="5"/>
        <v>1.122373214994532E-4</v>
      </c>
    </row>
    <row r="140" spans="1:5" x14ac:dyDescent="0.25">
      <c r="A140" s="457">
        <v>43765</v>
      </c>
      <c r="B140" s="448">
        <v>7422.1</v>
      </c>
      <c r="C140" s="448">
        <v>11627.15</v>
      </c>
      <c r="D140" s="151">
        <f t="shared" si="4"/>
        <v>-6.5652543450471779E-3</v>
      </c>
      <c r="E140" s="151">
        <f t="shared" si="5"/>
        <v>3.7336302972228452E-3</v>
      </c>
    </row>
    <row r="141" spans="1:5" x14ac:dyDescent="0.25">
      <c r="A141" s="457">
        <v>43767</v>
      </c>
      <c r="B141" s="448">
        <v>7721.3</v>
      </c>
      <c r="C141" s="448">
        <v>11786.85</v>
      </c>
      <c r="D141" s="151">
        <f t="shared" si="4"/>
        <v>4.0312041066544513E-2</v>
      </c>
      <c r="E141" s="151">
        <f t="shared" si="5"/>
        <v>1.3735094154629479E-2</v>
      </c>
    </row>
    <row r="142" spans="1:5" x14ac:dyDescent="0.25">
      <c r="A142" s="457">
        <v>43768</v>
      </c>
      <c r="B142" s="448">
        <v>7556.95</v>
      </c>
      <c r="C142" s="448">
        <v>11844.1</v>
      </c>
      <c r="D142" s="151">
        <f t="shared" si="4"/>
        <v>-2.1285275795526748E-2</v>
      </c>
      <c r="E142" s="151">
        <f t="shared" si="5"/>
        <v>4.8571077090147075E-3</v>
      </c>
    </row>
    <row r="143" spans="1:5" x14ac:dyDescent="0.25">
      <c r="A143" s="457">
        <v>43769</v>
      </c>
      <c r="B143" s="448">
        <v>7559.4</v>
      </c>
      <c r="C143" s="448">
        <v>11877.45</v>
      </c>
      <c r="D143" s="151">
        <f t="shared" si="4"/>
        <v>3.2420487101281203E-4</v>
      </c>
      <c r="E143" s="151">
        <f t="shared" si="5"/>
        <v>2.8157479251273987E-3</v>
      </c>
    </row>
    <row r="144" spans="1:5" x14ac:dyDescent="0.25">
      <c r="A144" s="457">
        <v>43770</v>
      </c>
      <c r="B144" s="448">
        <v>7618.65</v>
      </c>
      <c r="C144" s="448">
        <v>11890.6</v>
      </c>
      <c r="D144" s="151">
        <f t="shared" si="4"/>
        <v>7.8379236447336798E-3</v>
      </c>
      <c r="E144" s="151">
        <f t="shared" si="5"/>
        <v>1.1071400005893128E-3</v>
      </c>
    </row>
    <row r="145" spans="1:5" x14ac:dyDescent="0.25">
      <c r="A145" s="457">
        <v>43773</v>
      </c>
      <c r="B145" s="448">
        <v>7424</v>
      </c>
      <c r="C145" s="448">
        <v>11941.3</v>
      </c>
      <c r="D145" s="151">
        <f t="shared" si="4"/>
        <v>-2.5549145846048837E-2</v>
      </c>
      <c r="E145" s="151">
        <f t="shared" si="5"/>
        <v>4.2638723024910341E-3</v>
      </c>
    </row>
    <row r="146" spans="1:5" x14ac:dyDescent="0.25">
      <c r="A146" s="457">
        <v>43774</v>
      </c>
      <c r="B146" s="448">
        <v>7389</v>
      </c>
      <c r="C146" s="448">
        <v>11917.2</v>
      </c>
      <c r="D146" s="151">
        <f t="shared" si="4"/>
        <v>-4.7144396551723755E-3</v>
      </c>
      <c r="E146" s="151">
        <f t="shared" si="5"/>
        <v>-2.0182057229948258E-3</v>
      </c>
    </row>
    <row r="147" spans="1:5" x14ac:dyDescent="0.25">
      <c r="A147" s="457">
        <v>43775</v>
      </c>
      <c r="B147" s="448">
        <v>7311.15</v>
      </c>
      <c r="C147" s="448">
        <v>11966.05</v>
      </c>
      <c r="D147" s="151">
        <f t="shared" si="4"/>
        <v>-1.0535931790499387E-2</v>
      </c>
      <c r="E147" s="151">
        <f t="shared" si="5"/>
        <v>4.0991172423050504E-3</v>
      </c>
    </row>
    <row r="148" spans="1:5" x14ac:dyDescent="0.25">
      <c r="A148" s="457">
        <v>43776</v>
      </c>
      <c r="B148" s="448">
        <v>7287.15</v>
      </c>
      <c r="C148" s="448">
        <v>12012.05</v>
      </c>
      <c r="D148" s="151">
        <f t="shared" si="4"/>
        <v>-3.2826573110933399E-3</v>
      </c>
      <c r="E148" s="151">
        <f t="shared" si="5"/>
        <v>3.8442092419803675E-3</v>
      </c>
    </row>
    <row r="149" spans="1:5" x14ac:dyDescent="0.25">
      <c r="A149" s="457">
        <v>43777</v>
      </c>
      <c r="B149" s="448">
        <v>7200.55</v>
      </c>
      <c r="C149" s="448">
        <v>11908.15</v>
      </c>
      <c r="D149" s="151">
        <f t="shared" si="4"/>
        <v>-1.1883932676011844E-2</v>
      </c>
      <c r="E149" s="151">
        <f t="shared" si="5"/>
        <v>-8.6496476454892557E-3</v>
      </c>
    </row>
    <row r="150" spans="1:5" x14ac:dyDescent="0.25">
      <c r="A150" s="457">
        <v>43780</v>
      </c>
      <c r="B150" s="448">
        <v>7137.3</v>
      </c>
      <c r="C150" s="448">
        <v>11913.45</v>
      </c>
      <c r="D150" s="151">
        <f t="shared" si="4"/>
        <v>-8.7840512183097186E-3</v>
      </c>
      <c r="E150" s="151">
        <f t="shared" si="5"/>
        <v>4.4507333212973066E-4</v>
      </c>
    </row>
    <row r="151" spans="1:5" x14ac:dyDescent="0.25">
      <c r="A151" s="457">
        <v>43782</v>
      </c>
      <c r="B151" s="448">
        <v>7154.6</v>
      </c>
      <c r="C151" s="448">
        <v>11840.45</v>
      </c>
      <c r="D151" s="151">
        <f t="shared" si="4"/>
        <v>2.4238857831393457E-3</v>
      </c>
      <c r="E151" s="151">
        <f t="shared" si="5"/>
        <v>-6.1275281299707496E-3</v>
      </c>
    </row>
    <row r="152" spans="1:5" x14ac:dyDescent="0.25">
      <c r="A152" s="457">
        <v>43783</v>
      </c>
      <c r="B152" s="448">
        <v>7247.15</v>
      </c>
      <c r="C152" s="448">
        <v>11872.1</v>
      </c>
      <c r="D152" s="151">
        <f t="shared" si="4"/>
        <v>1.2935733653872905E-2</v>
      </c>
      <c r="E152" s="151">
        <f t="shared" si="5"/>
        <v>2.6730402982995116E-3</v>
      </c>
    </row>
    <row r="153" spans="1:5" x14ac:dyDescent="0.25">
      <c r="A153" s="457">
        <v>43784</v>
      </c>
      <c r="B153" s="448">
        <v>7147.2</v>
      </c>
      <c r="C153" s="448">
        <v>11895.45</v>
      </c>
      <c r="D153" s="151">
        <f t="shared" si="4"/>
        <v>-1.3791628433246106E-2</v>
      </c>
      <c r="E153" s="151">
        <f t="shared" si="5"/>
        <v>1.9667961017848512E-3</v>
      </c>
    </row>
    <row r="154" spans="1:5" x14ac:dyDescent="0.25">
      <c r="A154" s="457">
        <v>43787</v>
      </c>
      <c r="B154" s="448">
        <v>7098.45</v>
      </c>
      <c r="C154" s="448">
        <v>11884.5</v>
      </c>
      <c r="D154" s="151">
        <f t="shared" si="4"/>
        <v>-6.820852921423759E-3</v>
      </c>
      <c r="E154" s="151">
        <f t="shared" si="5"/>
        <v>-9.2052003076814604E-4</v>
      </c>
    </row>
    <row r="155" spans="1:5" x14ac:dyDescent="0.25">
      <c r="A155" s="457">
        <v>43788</v>
      </c>
      <c r="B155" s="448">
        <v>7045.45</v>
      </c>
      <c r="C155" s="448">
        <v>11940.1</v>
      </c>
      <c r="D155" s="151">
        <f t="shared" si="4"/>
        <v>-7.4664187252146963E-3</v>
      </c>
      <c r="E155" s="151">
        <f t="shared" si="5"/>
        <v>4.6783625730995038E-3</v>
      </c>
    </row>
    <row r="156" spans="1:5" x14ac:dyDescent="0.25">
      <c r="A156" s="457">
        <v>43789</v>
      </c>
      <c r="B156" s="448">
        <v>7152.75</v>
      </c>
      <c r="C156" s="448">
        <v>11999.1</v>
      </c>
      <c r="D156" s="151">
        <f t="shared" si="4"/>
        <v>1.5229687244959544E-2</v>
      </c>
      <c r="E156" s="151">
        <f t="shared" si="5"/>
        <v>4.941332149646982E-3</v>
      </c>
    </row>
    <row r="157" spans="1:5" x14ac:dyDescent="0.25">
      <c r="A157" s="457">
        <v>43790</v>
      </c>
      <c r="B157" s="448">
        <v>7019.05</v>
      </c>
      <c r="C157" s="448">
        <v>11968.4</v>
      </c>
      <c r="D157" s="151">
        <f t="shared" si="4"/>
        <v>-1.8692111425675395E-2</v>
      </c>
      <c r="E157" s="151">
        <f t="shared" si="5"/>
        <v>-2.5585252227251498E-3</v>
      </c>
    </row>
    <row r="158" spans="1:5" x14ac:dyDescent="0.25">
      <c r="A158" s="457">
        <v>43791</v>
      </c>
      <c r="B158" s="448">
        <v>7060.45</v>
      </c>
      <c r="C158" s="448">
        <v>11914.4</v>
      </c>
      <c r="D158" s="151">
        <f t="shared" si="4"/>
        <v>5.8982340915081366E-3</v>
      </c>
      <c r="E158" s="151">
        <f t="shared" si="5"/>
        <v>-4.5118812873901071E-3</v>
      </c>
    </row>
    <row r="159" spans="1:5" x14ac:dyDescent="0.25">
      <c r="A159" s="457">
        <v>43794</v>
      </c>
      <c r="B159" s="448">
        <v>7236.1</v>
      </c>
      <c r="C159" s="448">
        <v>12073.75</v>
      </c>
      <c r="D159" s="151">
        <f t="shared" si="4"/>
        <v>2.4878017690090681E-2</v>
      </c>
      <c r="E159" s="151">
        <f t="shared" si="5"/>
        <v>1.3374571946552116E-2</v>
      </c>
    </row>
    <row r="160" spans="1:5" x14ac:dyDescent="0.25">
      <c r="A160" s="457">
        <v>43795</v>
      </c>
      <c r="B160" s="448">
        <v>7125</v>
      </c>
      <c r="C160" s="448">
        <v>12037.7</v>
      </c>
      <c r="D160" s="151">
        <f t="shared" si="4"/>
        <v>-1.5353574439269768E-2</v>
      </c>
      <c r="E160" s="151">
        <f t="shared" si="5"/>
        <v>-2.9858163370948265E-3</v>
      </c>
    </row>
    <row r="161" spans="1:5" x14ac:dyDescent="0.25">
      <c r="A161" s="457">
        <v>43796</v>
      </c>
      <c r="B161" s="448">
        <v>7294.4</v>
      </c>
      <c r="C161" s="448">
        <v>12100.7</v>
      </c>
      <c r="D161" s="151">
        <f t="shared" si="4"/>
        <v>2.3775438596491227E-2</v>
      </c>
      <c r="E161" s="151">
        <f t="shared" si="5"/>
        <v>5.2335579055799997E-3</v>
      </c>
    </row>
    <row r="162" spans="1:5" x14ac:dyDescent="0.25">
      <c r="A162" s="457">
        <v>43797</v>
      </c>
      <c r="B162" s="448">
        <v>7261.25</v>
      </c>
      <c r="C162" s="448">
        <v>12151.15</v>
      </c>
      <c r="D162" s="151">
        <f t="shared" si="4"/>
        <v>-4.5445821452072543E-3</v>
      </c>
      <c r="E162" s="151">
        <f t="shared" si="5"/>
        <v>4.1691802953547352E-3</v>
      </c>
    </row>
    <row r="163" spans="1:5" x14ac:dyDescent="0.25">
      <c r="A163" s="457">
        <v>43798</v>
      </c>
      <c r="B163" s="448">
        <v>7245.85</v>
      </c>
      <c r="C163" s="448">
        <v>12056.05</v>
      </c>
      <c r="D163" s="151">
        <f t="shared" si="4"/>
        <v>-2.1208469616111891E-3</v>
      </c>
      <c r="E163" s="151">
        <f t="shared" si="5"/>
        <v>-7.8264197215901499E-3</v>
      </c>
    </row>
    <row r="164" spans="1:5" x14ac:dyDescent="0.25">
      <c r="A164" s="457">
        <v>43801</v>
      </c>
      <c r="B164" s="448">
        <v>7139.35</v>
      </c>
      <c r="C164" s="448">
        <v>12048.2</v>
      </c>
      <c r="D164" s="151">
        <f t="shared" si="4"/>
        <v>-1.4698068549583554E-2</v>
      </c>
      <c r="E164" s="151">
        <f t="shared" si="5"/>
        <v>-6.5112536859079917E-4</v>
      </c>
    </row>
    <row r="165" spans="1:5" x14ac:dyDescent="0.25">
      <c r="A165" s="457">
        <v>43802</v>
      </c>
      <c r="B165" s="448">
        <v>7138.8</v>
      </c>
      <c r="C165" s="448">
        <v>11994.2</v>
      </c>
      <c r="D165" s="151">
        <f t="shared" si="4"/>
        <v>-7.7037825572334739E-5</v>
      </c>
      <c r="E165" s="151">
        <f t="shared" si="5"/>
        <v>-4.4819973108015665E-3</v>
      </c>
    </row>
    <row r="166" spans="1:5" x14ac:dyDescent="0.25">
      <c r="A166" s="457">
        <v>43803</v>
      </c>
      <c r="B166" s="448">
        <v>7076.1</v>
      </c>
      <c r="C166" s="448">
        <v>12043.2</v>
      </c>
      <c r="D166" s="151">
        <f t="shared" si="4"/>
        <v>-8.7829887376029703E-3</v>
      </c>
      <c r="E166" s="151">
        <f t="shared" si="5"/>
        <v>4.0853078988176694E-3</v>
      </c>
    </row>
    <row r="167" spans="1:5" x14ac:dyDescent="0.25">
      <c r="A167" s="457">
        <v>43804</v>
      </c>
      <c r="B167" s="448">
        <v>7012.85</v>
      </c>
      <c r="C167" s="448">
        <v>12018.4</v>
      </c>
      <c r="D167" s="151">
        <f t="shared" si="4"/>
        <v>-8.9385395910176468E-3</v>
      </c>
      <c r="E167" s="151">
        <f t="shared" si="5"/>
        <v>-2.0592533545902292E-3</v>
      </c>
    </row>
    <row r="168" spans="1:5" x14ac:dyDescent="0.25">
      <c r="A168" s="457">
        <v>43805</v>
      </c>
      <c r="B168" s="448">
        <v>6886.7</v>
      </c>
      <c r="C168" s="448">
        <v>11921.5</v>
      </c>
      <c r="D168" s="151">
        <f t="shared" si="4"/>
        <v>-1.7988406995729345E-2</v>
      </c>
      <c r="E168" s="151">
        <f t="shared" si="5"/>
        <v>-8.062637289489416E-3</v>
      </c>
    </row>
    <row r="169" spans="1:5" x14ac:dyDescent="0.25">
      <c r="A169" s="457">
        <v>43808</v>
      </c>
      <c r="B169" s="448">
        <v>6994.75</v>
      </c>
      <c r="C169" s="448">
        <v>11937.5</v>
      </c>
      <c r="D169" s="151">
        <f t="shared" si="4"/>
        <v>1.5689662683142869E-2</v>
      </c>
      <c r="E169" s="151">
        <f t="shared" si="5"/>
        <v>1.342112989137334E-3</v>
      </c>
    </row>
    <row r="170" spans="1:5" x14ac:dyDescent="0.25">
      <c r="A170" s="457">
        <v>43809</v>
      </c>
      <c r="B170" s="448">
        <v>6963.65</v>
      </c>
      <c r="C170" s="448">
        <v>11856.8</v>
      </c>
      <c r="D170" s="151">
        <f t="shared" si="4"/>
        <v>-4.4461917866972511E-3</v>
      </c>
      <c r="E170" s="151">
        <f t="shared" si="5"/>
        <v>-6.7602094240838406E-3</v>
      </c>
    </row>
    <row r="171" spans="1:5" x14ac:dyDescent="0.25">
      <c r="A171" s="457">
        <v>43810</v>
      </c>
      <c r="B171" s="448">
        <v>6993.2</v>
      </c>
      <c r="C171" s="448">
        <v>11910.15</v>
      </c>
      <c r="D171" s="151">
        <f t="shared" si="4"/>
        <v>4.2434642752005036E-3</v>
      </c>
      <c r="E171" s="151">
        <f t="shared" si="5"/>
        <v>4.4995276971864229E-3</v>
      </c>
    </row>
    <row r="172" spans="1:5" x14ac:dyDescent="0.25">
      <c r="A172" s="457">
        <v>43811</v>
      </c>
      <c r="B172" s="448">
        <v>6999.8</v>
      </c>
      <c r="C172" s="448">
        <v>11971.8</v>
      </c>
      <c r="D172" s="151">
        <f t="shared" si="4"/>
        <v>9.4377395183897761E-4</v>
      </c>
      <c r="E172" s="151">
        <f t="shared" si="5"/>
        <v>5.1762572259794748E-3</v>
      </c>
    </row>
    <row r="173" spans="1:5" x14ac:dyDescent="0.25">
      <c r="A173" s="457">
        <v>43812</v>
      </c>
      <c r="B173" s="448">
        <v>7214.95</v>
      </c>
      <c r="C173" s="448">
        <v>12086.7</v>
      </c>
      <c r="D173" s="151">
        <f t="shared" si="4"/>
        <v>3.0736592474070568E-2</v>
      </c>
      <c r="E173" s="151">
        <f t="shared" si="5"/>
        <v>9.5975542524935342E-3</v>
      </c>
    </row>
    <row r="174" spans="1:5" x14ac:dyDescent="0.25">
      <c r="A174" s="457">
        <v>43815</v>
      </c>
      <c r="B174" s="448">
        <v>7140.05</v>
      </c>
      <c r="C174" s="448">
        <v>12053.95</v>
      </c>
      <c r="D174" s="151">
        <f t="shared" si="4"/>
        <v>-1.038122232309302E-2</v>
      </c>
      <c r="E174" s="151">
        <f t="shared" si="5"/>
        <v>-2.7095898797852014E-3</v>
      </c>
    </row>
    <row r="175" spans="1:5" x14ac:dyDescent="0.25">
      <c r="A175" s="457">
        <v>43816</v>
      </c>
      <c r="B175" s="448">
        <v>7195.15</v>
      </c>
      <c r="C175" s="448">
        <v>12165</v>
      </c>
      <c r="D175" s="151">
        <f t="shared" si="4"/>
        <v>7.7170327938880234E-3</v>
      </c>
      <c r="E175" s="151">
        <f t="shared" si="5"/>
        <v>9.2127476885168758E-3</v>
      </c>
    </row>
    <row r="176" spans="1:5" x14ac:dyDescent="0.25">
      <c r="A176" s="457">
        <v>43817</v>
      </c>
      <c r="B176" s="448">
        <v>7240.65</v>
      </c>
      <c r="C176" s="448">
        <v>12221.65</v>
      </c>
      <c r="D176" s="151">
        <f t="shared" si="4"/>
        <v>6.3237041618311451E-3</v>
      </c>
      <c r="E176" s="151">
        <f t="shared" si="5"/>
        <v>4.6568023016850812E-3</v>
      </c>
    </row>
    <row r="177" spans="1:5" x14ac:dyDescent="0.25">
      <c r="A177" s="457">
        <v>43818</v>
      </c>
      <c r="B177" s="448">
        <v>7240.65</v>
      </c>
      <c r="C177" s="448">
        <v>12259.7</v>
      </c>
      <c r="D177" s="151">
        <f t="shared" si="4"/>
        <v>0</v>
      </c>
      <c r="E177" s="151">
        <f t="shared" si="5"/>
        <v>3.1133275785184544E-3</v>
      </c>
    </row>
    <row r="178" spans="1:5" x14ac:dyDescent="0.25">
      <c r="A178" s="457">
        <v>43819</v>
      </c>
      <c r="B178" s="448">
        <v>7261.5</v>
      </c>
      <c r="C178" s="448">
        <v>12271.8</v>
      </c>
      <c r="D178" s="151">
        <f t="shared" si="4"/>
        <v>2.879575728698347E-3</v>
      </c>
      <c r="E178" s="151">
        <f t="shared" si="5"/>
        <v>9.8697358010380043E-4</v>
      </c>
    </row>
    <row r="179" spans="1:5" x14ac:dyDescent="0.25">
      <c r="A179" s="457">
        <v>43822</v>
      </c>
      <c r="B179" s="448">
        <v>7360.9</v>
      </c>
      <c r="C179" s="448">
        <v>12262.75</v>
      </c>
      <c r="D179" s="151">
        <f t="shared" si="4"/>
        <v>1.3688631825380382E-2</v>
      </c>
      <c r="E179" s="151">
        <f t="shared" si="5"/>
        <v>-7.3746312684364046E-4</v>
      </c>
    </row>
    <row r="180" spans="1:5" x14ac:dyDescent="0.25">
      <c r="A180" s="457">
        <v>43823</v>
      </c>
      <c r="B180" s="448">
        <v>7327.8</v>
      </c>
      <c r="C180" s="448">
        <v>12214.55</v>
      </c>
      <c r="D180" s="151">
        <f t="shared" si="4"/>
        <v>-4.4967327364859866E-3</v>
      </c>
      <c r="E180" s="151">
        <f t="shared" si="5"/>
        <v>-3.930602841940134E-3</v>
      </c>
    </row>
    <row r="181" spans="1:5" x14ac:dyDescent="0.25">
      <c r="A181" s="457">
        <v>43825</v>
      </c>
      <c r="B181" s="448">
        <v>7240.9</v>
      </c>
      <c r="C181" s="448">
        <v>12126.55</v>
      </c>
      <c r="D181" s="151">
        <f t="shared" si="4"/>
        <v>-1.1858948115396228E-2</v>
      </c>
      <c r="E181" s="151">
        <f t="shared" si="5"/>
        <v>-7.2045224752447234E-3</v>
      </c>
    </row>
    <row r="182" spans="1:5" x14ac:dyDescent="0.25">
      <c r="A182" s="457">
        <v>43826</v>
      </c>
      <c r="B182" s="448">
        <v>7344.9</v>
      </c>
      <c r="C182" s="448">
        <v>12245.8</v>
      </c>
      <c r="D182" s="151">
        <f t="shared" si="4"/>
        <v>1.4362855446146128E-2</v>
      </c>
      <c r="E182" s="151">
        <f t="shared" si="5"/>
        <v>9.8337944427722146E-3</v>
      </c>
    </row>
    <row r="183" spans="1:5" x14ac:dyDescent="0.25">
      <c r="A183" s="457">
        <v>43829</v>
      </c>
      <c r="B183" s="448">
        <v>7416.25</v>
      </c>
      <c r="C183" s="448">
        <v>12255.85</v>
      </c>
      <c r="D183" s="151">
        <f t="shared" si="4"/>
        <v>9.7142234747920053E-3</v>
      </c>
      <c r="E183" s="151">
        <f t="shared" si="5"/>
        <v>8.206895425371119E-4</v>
      </c>
    </row>
    <row r="184" spans="1:5" x14ac:dyDescent="0.25">
      <c r="A184" s="457">
        <v>43830</v>
      </c>
      <c r="B184" s="448">
        <v>7368.6</v>
      </c>
      <c r="C184" s="448">
        <v>12168.45</v>
      </c>
      <c r="D184" s="151">
        <f t="shared" si="4"/>
        <v>-6.425080060677546E-3</v>
      </c>
      <c r="E184" s="151">
        <f t="shared" si="5"/>
        <v>-7.1312883235352675E-3</v>
      </c>
    </row>
    <row r="185" spans="1:5" x14ac:dyDescent="0.25">
      <c r="A185" s="457">
        <v>43831</v>
      </c>
      <c r="B185" s="448">
        <v>7311.7</v>
      </c>
      <c r="C185" s="448">
        <v>12182.5</v>
      </c>
      <c r="D185" s="151">
        <f t="shared" si="4"/>
        <v>-7.7219553239421534E-3</v>
      </c>
      <c r="E185" s="151">
        <f t="shared" si="5"/>
        <v>1.1546252809520041E-3</v>
      </c>
    </row>
    <row r="186" spans="1:5" x14ac:dyDescent="0.25">
      <c r="A186" s="457">
        <v>43832</v>
      </c>
      <c r="B186" s="448">
        <v>7329.85</v>
      </c>
      <c r="C186" s="448">
        <v>12282.2</v>
      </c>
      <c r="D186" s="151">
        <f t="shared" si="4"/>
        <v>2.4823228524146757E-3</v>
      </c>
      <c r="E186" s="151">
        <f t="shared" si="5"/>
        <v>8.1838703057666162E-3</v>
      </c>
    </row>
    <row r="187" spans="1:5" x14ac:dyDescent="0.25">
      <c r="A187" s="457">
        <v>43833</v>
      </c>
      <c r="B187" s="448">
        <v>7254.25</v>
      </c>
      <c r="C187" s="448">
        <v>12226.65</v>
      </c>
      <c r="D187" s="151">
        <f t="shared" si="4"/>
        <v>-1.0313990054366728E-2</v>
      </c>
      <c r="E187" s="151">
        <f t="shared" si="5"/>
        <v>-4.5228053606032326E-3</v>
      </c>
    </row>
    <row r="188" spans="1:5" x14ac:dyDescent="0.25">
      <c r="A188" s="457">
        <v>43836</v>
      </c>
      <c r="B188" s="448">
        <v>7042.4</v>
      </c>
      <c r="C188" s="448">
        <v>11993.05</v>
      </c>
      <c r="D188" s="151">
        <f t="shared" si="4"/>
        <v>-2.9203570320846417E-2</v>
      </c>
      <c r="E188" s="151">
        <f t="shared" si="5"/>
        <v>-1.91058057603678E-2</v>
      </c>
    </row>
    <row r="189" spans="1:5" x14ac:dyDescent="0.25">
      <c r="A189" s="457">
        <v>43837</v>
      </c>
      <c r="B189" s="448">
        <v>7073.6</v>
      </c>
      <c r="C189" s="448">
        <v>12052.95</v>
      </c>
      <c r="D189" s="151">
        <f t="shared" si="4"/>
        <v>4.4303078495968595E-3</v>
      </c>
      <c r="E189" s="151">
        <f t="shared" si="5"/>
        <v>4.9945593489564288E-3</v>
      </c>
    </row>
    <row r="190" spans="1:5" x14ac:dyDescent="0.25">
      <c r="A190" s="457">
        <v>43838</v>
      </c>
      <c r="B190" s="448">
        <v>7035.2</v>
      </c>
      <c r="C190" s="448">
        <v>12025.35</v>
      </c>
      <c r="D190" s="151">
        <f t="shared" si="4"/>
        <v>-5.4286360551911716E-3</v>
      </c>
      <c r="E190" s="151">
        <f t="shared" si="5"/>
        <v>-2.2898958346296849E-3</v>
      </c>
    </row>
    <row r="191" spans="1:5" x14ac:dyDescent="0.25">
      <c r="A191" s="457">
        <v>43839</v>
      </c>
      <c r="B191" s="448">
        <v>7227.9</v>
      </c>
      <c r="C191" s="448">
        <v>12215.9</v>
      </c>
      <c r="D191" s="151">
        <f t="shared" si="4"/>
        <v>2.7390834659995367E-2</v>
      </c>
      <c r="E191" s="151">
        <f t="shared" si="5"/>
        <v>1.5845692640962472E-2</v>
      </c>
    </row>
    <row r="192" spans="1:5" x14ac:dyDescent="0.25">
      <c r="A192" s="457">
        <v>43840</v>
      </c>
      <c r="B192" s="448">
        <v>7330.5</v>
      </c>
      <c r="C192" s="448">
        <v>12256.8</v>
      </c>
      <c r="D192" s="151">
        <f t="shared" si="4"/>
        <v>1.419499439671279E-2</v>
      </c>
      <c r="E192" s="151">
        <f t="shared" si="5"/>
        <v>3.3480955148617042E-3</v>
      </c>
    </row>
    <row r="193" spans="1:5" x14ac:dyDescent="0.25">
      <c r="A193" s="457">
        <v>43843</v>
      </c>
      <c r="B193" s="448">
        <v>7352.7</v>
      </c>
      <c r="C193" s="448">
        <v>12329.55</v>
      </c>
      <c r="D193" s="151">
        <f t="shared" si="4"/>
        <v>3.028442807448295E-3</v>
      </c>
      <c r="E193" s="151">
        <f t="shared" si="5"/>
        <v>5.9354807127471876E-3</v>
      </c>
    </row>
    <row r="194" spans="1:5" x14ac:dyDescent="0.25">
      <c r="A194" s="457">
        <v>43844</v>
      </c>
      <c r="B194" s="448">
        <v>7386.8</v>
      </c>
      <c r="C194" s="448">
        <v>12362.3</v>
      </c>
      <c r="D194" s="151">
        <f t="shared" si="4"/>
        <v>4.6377521182694448E-3</v>
      </c>
      <c r="E194" s="151">
        <f t="shared" si="5"/>
        <v>2.6562202189048811E-3</v>
      </c>
    </row>
    <row r="195" spans="1:5" x14ac:dyDescent="0.25">
      <c r="A195" s="457">
        <v>43845</v>
      </c>
      <c r="B195" s="448">
        <v>7482.95</v>
      </c>
      <c r="C195" s="448">
        <v>12343.3</v>
      </c>
      <c r="D195" s="151">
        <f t="shared" ref="D195:D247" si="6">B195/B194-1</f>
        <v>1.3016461796718337E-2</v>
      </c>
      <c r="E195" s="151">
        <f t="shared" ref="E195:E247" si="7">C195/C194-1</f>
        <v>-1.5369308300234863E-3</v>
      </c>
    </row>
    <row r="196" spans="1:5" x14ac:dyDescent="0.25">
      <c r="A196" s="457">
        <v>43846</v>
      </c>
      <c r="B196" s="448">
        <v>7462.65</v>
      </c>
      <c r="C196" s="448">
        <v>12355.5</v>
      </c>
      <c r="D196" s="151">
        <f t="shared" si="6"/>
        <v>-2.7128338422680587E-3</v>
      </c>
      <c r="E196" s="151">
        <f t="shared" si="7"/>
        <v>9.8839046284227017E-4</v>
      </c>
    </row>
    <row r="197" spans="1:5" x14ac:dyDescent="0.25">
      <c r="A197" s="457">
        <v>43847</v>
      </c>
      <c r="B197" s="448">
        <v>7520.15</v>
      </c>
      <c r="C197" s="448">
        <v>12352.35</v>
      </c>
      <c r="D197" s="151">
        <f t="shared" si="6"/>
        <v>7.7050377546850068E-3</v>
      </c>
      <c r="E197" s="151">
        <f t="shared" si="7"/>
        <v>-2.5494718951069029E-4</v>
      </c>
    </row>
    <row r="198" spans="1:5" x14ac:dyDescent="0.25">
      <c r="A198" s="457">
        <v>43850</v>
      </c>
      <c r="B198" s="448">
        <v>7449.6</v>
      </c>
      <c r="C198" s="448">
        <v>12224.55</v>
      </c>
      <c r="D198" s="151">
        <f t="shared" si="6"/>
        <v>-9.3814618059478994E-3</v>
      </c>
      <c r="E198" s="151">
        <f t="shared" si="7"/>
        <v>-1.0346209425736941E-2</v>
      </c>
    </row>
    <row r="199" spans="1:5" x14ac:dyDescent="0.25">
      <c r="A199" s="457">
        <v>43851</v>
      </c>
      <c r="B199" s="448">
        <v>7302.65</v>
      </c>
      <c r="C199" s="448">
        <v>12169.85</v>
      </c>
      <c r="D199" s="151">
        <f t="shared" si="6"/>
        <v>-1.9725891323024158E-2</v>
      </c>
      <c r="E199" s="151">
        <f t="shared" si="7"/>
        <v>-4.4746023371002863E-3</v>
      </c>
    </row>
    <row r="200" spans="1:5" x14ac:dyDescent="0.25">
      <c r="A200" s="457">
        <v>43852</v>
      </c>
      <c r="B200" s="448">
        <v>7135.6</v>
      </c>
      <c r="C200" s="448">
        <v>12106.9</v>
      </c>
      <c r="D200" s="151">
        <f t="shared" si="6"/>
        <v>-2.2875257611962629E-2</v>
      </c>
      <c r="E200" s="151">
        <f t="shared" si="7"/>
        <v>-5.172619218807184E-3</v>
      </c>
    </row>
    <row r="201" spans="1:5" x14ac:dyDescent="0.25">
      <c r="A201" s="457">
        <v>43853</v>
      </c>
      <c r="B201" s="448">
        <v>7147.1</v>
      </c>
      <c r="C201" s="448">
        <v>12180.35</v>
      </c>
      <c r="D201" s="151">
        <f t="shared" si="6"/>
        <v>1.6116374236223585E-3</v>
      </c>
      <c r="E201" s="151">
        <f t="shared" si="7"/>
        <v>6.0667883603564565E-3</v>
      </c>
    </row>
    <row r="202" spans="1:5" x14ac:dyDescent="0.25">
      <c r="A202" s="457">
        <v>43854</v>
      </c>
      <c r="B202" s="448">
        <v>7128.45</v>
      </c>
      <c r="C202" s="448">
        <v>12248.25</v>
      </c>
      <c r="D202" s="151">
        <f t="shared" si="6"/>
        <v>-2.609449986707979E-3</v>
      </c>
      <c r="E202" s="151">
        <f t="shared" si="7"/>
        <v>5.5745524553891812E-3</v>
      </c>
    </row>
    <row r="203" spans="1:5" x14ac:dyDescent="0.25">
      <c r="A203" s="457">
        <v>43857</v>
      </c>
      <c r="B203" s="448">
        <v>7148.8</v>
      </c>
      <c r="C203" s="448">
        <v>12119</v>
      </c>
      <c r="D203" s="151">
        <f t="shared" si="6"/>
        <v>2.8547580469808764E-3</v>
      </c>
      <c r="E203" s="151">
        <f t="shared" si="7"/>
        <v>-1.0552527912150667E-2</v>
      </c>
    </row>
    <row r="204" spans="1:5" x14ac:dyDescent="0.25">
      <c r="A204" s="457">
        <v>43858</v>
      </c>
      <c r="B204" s="448">
        <v>6997.05</v>
      </c>
      <c r="C204" s="448">
        <v>12055.8</v>
      </c>
      <c r="D204" s="151">
        <f t="shared" si="6"/>
        <v>-2.1227338854073463E-2</v>
      </c>
      <c r="E204" s="151">
        <f t="shared" si="7"/>
        <v>-5.2149517286905755E-3</v>
      </c>
    </row>
    <row r="205" spans="1:5" x14ac:dyDescent="0.25">
      <c r="A205" s="457">
        <v>43859</v>
      </c>
      <c r="B205" s="448">
        <v>7010.3</v>
      </c>
      <c r="C205" s="448">
        <v>12129.5</v>
      </c>
      <c r="D205" s="151">
        <f t="shared" si="6"/>
        <v>1.8936551832557935E-3</v>
      </c>
      <c r="E205" s="151">
        <f t="shared" si="7"/>
        <v>6.1132401002008674E-3</v>
      </c>
    </row>
    <row r="206" spans="1:5" x14ac:dyDescent="0.25">
      <c r="A206" s="457">
        <v>43860</v>
      </c>
      <c r="B206" s="448">
        <v>7020.45</v>
      </c>
      <c r="C206" s="448">
        <v>12035.8</v>
      </c>
      <c r="D206" s="151">
        <f t="shared" si="6"/>
        <v>1.4478695633566296E-3</v>
      </c>
      <c r="E206" s="151">
        <f t="shared" si="7"/>
        <v>-7.7249680530937503E-3</v>
      </c>
    </row>
    <row r="207" spans="1:5" x14ac:dyDescent="0.25">
      <c r="A207" s="457">
        <v>43861</v>
      </c>
      <c r="B207" s="448">
        <v>6913.5</v>
      </c>
      <c r="C207" s="448">
        <v>11962.1</v>
      </c>
      <c r="D207" s="151">
        <f t="shared" si="6"/>
        <v>-1.5234066192338025E-2</v>
      </c>
      <c r="E207" s="151">
        <f t="shared" si="7"/>
        <v>-6.1233985277254765E-3</v>
      </c>
    </row>
    <row r="208" spans="1:5" x14ac:dyDescent="0.25">
      <c r="A208" s="457">
        <v>43862</v>
      </c>
      <c r="B208" s="448">
        <v>6812.65</v>
      </c>
      <c r="C208" s="448">
        <v>11661.85</v>
      </c>
      <c r="D208" s="151">
        <f t="shared" si="6"/>
        <v>-1.4587401460909866E-2</v>
      </c>
      <c r="E208" s="151">
        <f t="shared" si="7"/>
        <v>-2.5100107840596575E-2</v>
      </c>
    </row>
    <row r="209" spans="1:5" x14ac:dyDescent="0.25">
      <c r="A209" s="457">
        <v>43864</v>
      </c>
      <c r="B209" s="448">
        <v>7011.3</v>
      </c>
      <c r="C209" s="448">
        <v>11707.9</v>
      </c>
      <c r="D209" s="151">
        <f t="shared" si="6"/>
        <v>2.9158990994693879E-2</v>
      </c>
      <c r="E209" s="151">
        <f t="shared" si="7"/>
        <v>3.9487731363376799E-3</v>
      </c>
    </row>
    <row r="210" spans="1:5" x14ac:dyDescent="0.25">
      <c r="A210" s="457">
        <v>43865</v>
      </c>
      <c r="B210" s="448">
        <v>7199.6</v>
      </c>
      <c r="C210" s="448">
        <v>11979.65</v>
      </c>
      <c r="D210" s="151">
        <f t="shared" si="6"/>
        <v>2.6856645700512161E-2</v>
      </c>
      <c r="E210" s="151">
        <f t="shared" si="7"/>
        <v>2.3210823461081942E-2</v>
      </c>
    </row>
    <row r="211" spans="1:5" x14ac:dyDescent="0.25">
      <c r="A211" s="457">
        <v>43866</v>
      </c>
      <c r="B211" s="448">
        <v>7040.9</v>
      </c>
      <c r="C211" s="448">
        <v>12089.15</v>
      </c>
      <c r="D211" s="151">
        <f t="shared" si="6"/>
        <v>-2.2042891271737419E-2</v>
      </c>
      <c r="E211" s="151">
        <f t="shared" si="7"/>
        <v>9.1405007658822424E-3</v>
      </c>
    </row>
    <row r="212" spans="1:5" x14ac:dyDescent="0.25">
      <c r="A212" s="457">
        <v>43867</v>
      </c>
      <c r="B212" s="448">
        <v>7021.6</v>
      </c>
      <c r="C212" s="448">
        <v>12137.95</v>
      </c>
      <c r="D212" s="151">
        <f t="shared" si="6"/>
        <v>-2.741126844579389E-3</v>
      </c>
      <c r="E212" s="151">
        <f t="shared" si="7"/>
        <v>4.0366775166162938E-3</v>
      </c>
    </row>
    <row r="213" spans="1:5" x14ac:dyDescent="0.25">
      <c r="A213" s="457">
        <v>43868</v>
      </c>
      <c r="B213" s="448">
        <v>6971.75</v>
      </c>
      <c r="C213" s="448">
        <v>12098.35</v>
      </c>
      <c r="D213" s="151">
        <f t="shared" si="6"/>
        <v>-7.0995214765865455E-3</v>
      </c>
      <c r="E213" s="151">
        <f t="shared" si="7"/>
        <v>-3.2624949023517535E-3</v>
      </c>
    </row>
    <row r="214" spans="1:5" x14ac:dyDescent="0.25">
      <c r="A214" s="457">
        <v>43871</v>
      </c>
      <c r="B214" s="448">
        <v>6892.9</v>
      </c>
      <c r="C214" s="448">
        <v>12031.5</v>
      </c>
      <c r="D214" s="151">
        <f t="shared" si="6"/>
        <v>-1.1309929357765314E-2</v>
      </c>
      <c r="E214" s="151">
        <f t="shared" si="7"/>
        <v>-5.525546872094167E-3</v>
      </c>
    </row>
    <row r="215" spans="1:5" x14ac:dyDescent="0.25">
      <c r="A215" s="457">
        <v>43872</v>
      </c>
      <c r="B215" s="448">
        <v>7033.75</v>
      </c>
      <c r="C215" s="448">
        <v>12107.9</v>
      </c>
      <c r="D215" s="151">
        <f t="shared" si="6"/>
        <v>2.0434069839980307E-2</v>
      </c>
      <c r="E215" s="151">
        <f t="shared" si="7"/>
        <v>6.3499979221210978E-3</v>
      </c>
    </row>
    <row r="216" spans="1:5" x14ac:dyDescent="0.25">
      <c r="A216" s="457">
        <v>43873</v>
      </c>
      <c r="B216" s="448">
        <v>7043.3</v>
      </c>
      <c r="C216" s="448">
        <v>12201.2</v>
      </c>
      <c r="D216" s="151">
        <f t="shared" si="6"/>
        <v>1.3577394704105128E-3</v>
      </c>
      <c r="E216" s="151">
        <f t="shared" si="7"/>
        <v>7.7057127990816099E-3</v>
      </c>
    </row>
    <row r="217" spans="1:5" x14ac:dyDescent="0.25">
      <c r="A217" s="457">
        <v>43874</v>
      </c>
      <c r="B217" s="448">
        <v>7005.05</v>
      </c>
      <c r="C217" s="448">
        <v>12174.65</v>
      </c>
      <c r="D217" s="151">
        <f t="shared" si="6"/>
        <v>-5.4306929990203257E-3</v>
      </c>
      <c r="E217" s="151">
        <f t="shared" si="7"/>
        <v>-2.1760154738879045E-3</v>
      </c>
    </row>
    <row r="218" spans="1:5" x14ac:dyDescent="0.25">
      <c r="A218" s="457">
        <v>43875</v>
      </c>
      <c r="B218" s="448">
        <v>6913.8</v>
      </c>
      <c r="C218" s="448">
        <v>12113.45</v>
      </c>
      <c r="D218" s="151">
        <f t="shared" si="6"/>
        <v>-1.3026316728645737E-2</v>
      </c>
      <c r="E218" s="151">
        <f t="shared" si="7"/>
        <v>-5.0268385538803084E-3</v>
      </c>
    </row>
    <row r="219" spans="1:5" x14ac:dyDescent="0.25">
      <c r="A219" s="457">
        <v>43878</v>
      </c>
      <c r="B219" s="448">
        <v>6906.75</v>
      </c>
      <c r="C219" s="448">
        <v>12045.8</v>
      </c>
      <c r="D219" s="151">
        <f t="shared" si="6"/>
        <v>-1.0196997309728228E-3</v>
      </c>
      <c r="E219" s="151">
        <f t="shared" si="7"/>
        <v>-5.5847013030970727E-3</v>
      </c>
    </row>
    <row r="220" spans="1:5" x14ac:dyDescent="0.25">
      <c r="A220" s="457">
        <v>43879</v>
      </c>
      <c r="B220" s="448">
        <v>6781.1</v>
      </c>
      <c r="C220" s="448">
        <v>11992.5</v>
      </c>
      <c r="D220" s="151">
        <f t="shared" si="6"/>
        <v>-1.8192348065298347E-2</v>
      </c>
      <c r="E220" s="151">
        <f t="shared" si="7"/>
        <v>-4.4247787610618428E-3</v>
      </c>
    </row>
    <row r="221" spans="1:5" x14ac:dyDescent="0.25">
      <c r="A221" s="457">
        <v>43880</v>
      </c>
      <c r="B221" s="448">
        <v>6756.6</v>
      </c>
      <c r="C221" s="448">
        <v>12125.9</v>
      </c>
      <c r="D221" s="151">
        <f t="shared" si="6"/>
        <v>-3.612983144327564E-3</v>
      </c>
      <c r="E221" s="151">
        <f t="shared" si="7"/>
        <v>1.1123618928496892E-2</v>
      </c>
    </row>
    <row r="222" spans="1:5" x14ac:dyDescent="0.25">
      <c r="A222" s="457">
        <v>43881</v>
      </c>
      <c r="B222" s="448">
        <v>6757.6</v>
      </c>
      <c r="C222" s="448">
        <v>12080.85</v>
      </c>
      <c r="D222" s="151">
        <f t="shared" si="6"/>
        <v>1.4800343367959989E-4</v>
      </c>
      <c r="E222" s="151">
        <f t="shared" si="7"/>
        <v>-3.7151881509825957E-3</v>
      </c>
    </row>
    <row r="223" spans="1:5" x14ac:dyDescent="0.25">
      <c r="A223" s="457">
        <v>43885</v>
      </c>
      <c r="B223" s="448">
        <v>6470.4</v>
      </c>
      <c r="C223" s="448">
        <v>11829.4</v>
      </c>
      <c r="D223" s="151">
        <f t="shared" si="6"/>
        <v>-4.2500295963063928E-2</v>
      </c>
      <c r="E223" s="151">
        <f t="shared" si="7"/>
        <v>-2.0813932794463974E-2</v>
      </c>
    </row>
    <row r="224" spans="1:5" x14ac:dyDescent="0.25">
      <c r="A224" s="457">
        <v>43886</v>
      </c>
      <c r="B224" s="448">
        <v>6414.55</v>
      </c>
      <c r="C224" s="448">
        <v>11797.9</v>
      </c>
      <c r="D224" s="151">
        <f t="shared" si="6"/>
        <v>-8.6316147378832087E-3</v>
      </c>
      <c r="E224" s="151">
        <f t="shared" si="7"/>
        <v>-2.6628569496339738E-3</v>
      </c>
    </row>
    <row r="225" spans="1:5" x14ac:dyDescent="0.25">
      <c r="A225" s="457">
        <v>43887</v>
      </c>
      <c r="B225" s="448">
        <v>6234.85</v>
      </c>
      <c r="C225" s="448">
        <v>11678.5</v>
      </c>
      <c r="D225" s="151">
        <f t="shared" si="6"/>
        <v>-2.8014435930813542E-2</v>
      </c>
      <c r="E225" s="151">
        <f t="shared" si="7"/>
        <v>-1.0120445163969816E-2</v>
      </c>
    </row>
    <row r="226" spans="1:5" x14ac:dyDescent="0.25">
      <c r="A226" s="457">
        <v>43888</v>
      </c>
      <c r="B226" s="448">
        <v>6289.8</v>
      </c>
      <c r="C226" s="448">
        <v>11633.3</v>
      </c>
      <c r="D226" s="151">
        <f t="shared" si="6"/>
        <v>8.8133635933502763E-3</v>
      </c>
      <c r="E226" s="151">
        <f t="shared" si="7"/>
        <v>-3.8703600633643864E-3</v>
      </c>
    </row>
    <row r="227" spans="1:5" x14ac:dyDescent="0.25">
      <c r="A227" s="457">
        <v>43889</v>
      </c>
      <c r="B227" s="448">
        <v>6283.1</v>
      </c>
      <c r="C227" s="448">
        <v>11201.75</v>
      </c>
      <c r="D227" s="151">
        <f t="shared" si="6"/>
        <v>-1.0652167000539947E-3</v>
      </c>
      <c r="E227" s="151">
        <f t="shared" si="7"/>
        <v>-3.709609483121723E-2</v>
      </c>
    </row>
    <row r="228" spans="1:5" x14ac:dyDescent="0.25">
      <c r="A228" s="457">
        <v>43892</v>
      </c>
      <c r="B228" s="448">
        <v>6285.15</v>
      </c>
      <c r="C228" s="448">
        <v>11132.75</v>
      </c>
      <c r="D228" s="151">
        <f t="shared" si="6"/>
        <v>3.2627206315338775E-4</v>
      </c>
      <c r="E228" s="151">
        <f t="shared" si="7"/>
        <v>-6.1597518244916882E-3</v>
      </c>
    </row>
    <row r="229" spans="1:5" x14ac:dyDescent="0.25">
      <c r="A229" s="457">
        <v>43893</v>
      </c>
      <c r="B229" s="448">
        <v>6386.05</v>
      </c>
      <c r="C229" s="448">
        <v>11303.3</v>
      </c>
      <c r="D229" s="151">
        <f t="shared" si="6"/>
        <v>1.6053713912953738E-2</v>
      </c>
      <c r="E229" s="151">
        <f t="shared" si="7"/>
        <v>1.5319664952504919E-2</v>
      </c>
    </row>
    <row r="230" spans="1:5" x14ac:dyDescent="0.25">
      <c r="A230" s="457">
        <v>43894</v>
      </c>
      <c r="B230" s="448">
        <v>6384.35</v>
      </c>
      <c r="C230" s="448">
        <v>11251</v>
      </c>
      <c r="D230" s="151">
        <f t="shared" si="6"/>
        <v>-2.6620524424325609E-4</v>
      </c>
      <c r="E230" s="151">
        <f t="shared" si="7"/>
        <v>-4.626967345819244E-3</v>
      </c>
    </row>
    <row r="231" spans="1:5" x14ac:dyDescent="0.25">
      <c r="A231" s="457">
        <v>43895</v>
      </c>
      <c r="B231" s="448">
        <v>6365.95</v>
      </c>
      <c r="C231" s="448">
        <v>11269</v>
      </c>
      <c r="D231" s="151">
        <f t="shared" si="6"/>
        <v>-2.8820475067939944E-3</v>
      </c>
      <c r="E231" s="151">
        <f t="shared" si="7"/>
        <v>1.5998577904186018E-3</v>
      </c>
    </row>
    <row r="232" spans="1:5" x14ac:dyDescent="0.25">
      <c r="A232" s="457">
        <v>43896</v>
      </c>
      <c r="B232" s="448">
        <v>6445.95</v>
      </c>
      <c r="C232" s="448">
        <v>10989.45</v>
      </c>
      <c r="D232" s="151">
        <f t="shared" si="6"/>
        <v>1.2566859620323667E-2</v>
      </c>
      <c r="E232" s="151">
        <f t="shared" si="7"/>
        <v>-2.4806992634661351E-2</v>
      </c>
    </row>
    <row r="233" spans="1:5" x14ac:dyDescent="0.25">
      <c r="A233" s="457">
        <v>43899</v>
      </c>
      <c r="B233" s="448">
        <v>6201.1</v>
      </c>
      <c r="C233" s="448">
        <v>10451.450000000001</v>
      </c>
      <c r="D233" s="151">
        <f t="shared" si="6"/>
        <v>-3.7985091413988537E-2</v>
      </c>
      <c r="E233" s="151">
        <f t="shared" si="7"/>
        <v>-4.8956044206033944E-2</v>
      </c>
    </row>
    <row r="234" spans="1:5" x14ac:dyDescent="0.25">
      <c r="A234" s="457">
        <v>43901</v>
      </c>
      <c r="B234" s="448">
        <v>6146.3</v>
      </c>
      <c r="C234" s="448">
        <v>10458.4</v>
      </c>
      <c r="D234" s="151">
        <f t="shared" si="6"/>
        <v>-8.8371417974231203E-3</v>
      </c>
      <c r="E234" s="151">
        <f t="shared" si="7"/>
        <v>6.6497950045207865E-4</v>
      </c>
    </row>
    <row r="235" spans="1:5" x14ac:dyDescent="0.25">
      <c r="A235" s="457">
        <v>43902</v>
      </c>
      <c r="B235" s="448">
        <v>5643.15</v>
      </c>
      <c r="C235" s="448">
        <v>9590.15</v>
      </c>
      <c r="D235" s="151">
        <f t="shared" si="6"/>
        <v>-8.1862258594601722E-2</v>
      </c>
      <c r="E235" s="151">
        <f t="shared" si="7"/>
        <v>-8.3019391111451069E-2</v>
      </c>
    </row>
    <row r="236" spans="1:5" x14ac:dyDescent="0.25">
      <c r="A236" s="457">
        <v>43903</v>
      </c>
      <c r="B236" s="448">
        <v>5838.6</v>
      </c>
      <c r="C236" s="448">
        <v>9955.2000000000007</v>
      </c>
      <c r="D236" s="151">
        <f t="shared" si="6"/>
        <v>3.4634911352702025E-2</v>
      </c>
      <c r="E236" s="151">
        <f t="shared" si="7"/>
        <v>3.8065098043305046E-2</v>
      </c>
    </row>
    <row r="237" spans="1:5" x14ac:dyDescent="0.25">
      <c r="A237" s="457">
        <v>43906</v>
      </c>
      <c r="B237" s="448">
        <v>5480.25</v>
      </c>
      <c r="C237" s="448">
        <v>9197.4</v>
      </c>
      <c r="D237" s="151">
        <f t="shared" si="6"/>
        <v>-6.137601479806809E-2</v>
      </c>
      <c r="E237" s="151">
        <f t="shared" si="7"/>
        <v>-7.6121022179363673E-2</v>
      </c>
    </row>
    <row r="238" spans="1:5" x14ac:dyDescent="0.25">
      <c r="A238" s="457">
        <v>43907</v>
      </c>
      <c r="B238" s="448">
        <v>5603.95</v>
      </c>
      <c r="C238" s="448">
        <v>8967.0499999999993</v>
      </c>
      <c r="D238" s="151">
        <f t="shared" si="6"/>
        <v>2.2571962957894209E-2</v>
      </c>
      <c r="E238" s="151">
        <f t="shared" si="7"/>
        <v>-2.5045121447365593E-2</v>
      </c>
    </row>
    <row r="239" spans="1:5" x14ac:dyDescent="0.25">
      <c r="A239" s="457">
        <v>43908</v>
      </c>
      <c r="B239" s="448">
        <v>5352.65</v>
      </c>
      <c r="C239" s="448">
        <v>8468.7999999999993</v>
      </c>
      <c r="D239" s="151">
        <f t="shared" si="6"/>
        <v>-4.4843369409077516E-2</v>
      </c>
      <c r="E239" s="151">
        <f t="shared" si="7"/>
        <v>-5.5564539062456397E-2</v>
      </c>
    </row>
    <row r="240" spans="1:5" x14ac:dyDescent="0.25">
      <c r="A240" s="457">
        <v>43909</v>
      </c>
      <c r="B240" s="448">
        <v>4819.55</v>
      </c>
      <c r="C240" s="448">
        <v>8263.4500000000007</v>
      </c>
      <c r="D240" s="151">
        <f t="shared" si="6"/>
        <v>-9.9595527449020449E-2</v>
      </c>
      <c r="E240" s="151">
        <f t="shared" si="7"/>
        <v>-2.4247827319100579E-2</v>
      </c>
    </row>
    <row r="241" spans="1:10" x14ac:dyDescent="0.25">
      <c r="A241" s="457">
        <v>43910</v>
      </c>
      <c r="B241" s="448">
        <v>5079.2</v>
      </c>
      <c r="C241" s="448">
        <v>8745.4500000000007</v>
      </c>
      <c r="D241" s="151">
        <f t="shared" si="6"/>
        <v>5.387432436638262E-2</v>
      </c>
      <c r="E241" s="151">
        <f t="shared" si="7"/>
        <v>5.8329148237116435E-2</v>
      </c>
    </row>
    <row r="242" spans="1:10" x14ac:dyDescent="0.25">
      <c r="A242" s="457">
        <v>43913</v>
      </c>
      <c r="B242" s="448">
        <v>4220.3500000000004</v>
      </c>
      <c r="C242" s="448">
        <v>7610.25</v>
      </c>
      <c r="D242" s="151">
        <f t="shared" si="6"/>
        <v>-0.1690915892266498</v>
      </c>
      <c r="E242" s="151">
        <f t="shared" si="7"/>
        <v>-0.12980464127060365</v>
      </c>
    </row>
    <row r="243" spans="1:10" x14ac:dyDescent="0.25">
      <c r="A243" s="457">
        <v>43914</v>
      </c>
      <c r="B243" s="448">
        <v>4486.45</v>
      </c>
      <c r="C243" s="448">
        <v>7801.05</v>
      </c>
      <c r="D243" s="151">
        <f t="shared" si="6"/>
        <v>6.3051642636274163E-2</v>
      </c>
      <c r="E243" s="151">
        <f t="shared" si="7"/>
        <v>2.507144968956343E-2</v>
      </c>
    </row>
    <row r="244" spans="1:10" x14ac:dyDescent="0.25">
      <c r="A244" s="457">
        <v>43915</v>
      </c>
      <c r="B244" s="448">
        <v>5005.95</v>
      </c>
      <c r="C244" s="448">
        <v>8317.85</v>
      </c>
      <c r="D244" s="151">
        <f t="shared" si="6"/>
        <v>0.11579311036565665</v>
      </c>
      <c r="E244" s="151">
        <f t="shared" si="7"/>
        <v>6.6247492324751134E-2</v>
      </c>
    </row>
    <row r="245" spans="1:10" x14ac:dyDescent="0.25">
      <c r="A245" s="457">
        <v>43916</v>
      </c>
      <c r="B245" s="448">
        <v>4878</v>
      </c>
      <c r="C245" s="448">
        <v>8641.4500000000007</v>
      </c>
      <c r="D245" s="151">
        <f t="shared" si="6"/>
        <v>-2.5559584094926979E-2</v>
      </c>
      <c r="E245" s="151">
        <f t="shared" si="7"/>
        <v>3.890428415996916E-2</v>
      </c>
    </row>
    <row r="246" spans="1:10" x14ac:dyDescent="0.25">
      <c r="A246" s="457">
        <v>43917</v>
      </c>
      <c r="B246" s="448">
        <v>4646.1000000000004</v>
      </c>
      <c r="C246" s="448">
        <v>8660.25</v>
      </c>
      <c r="D246" s="151">
        <f t="shared" si="6"/>
        <v>-4.7539975399753964E-2</v>
      </c>
      <c r="E246" s="151">
        <f t="shared" si="7"/>
        <v>2.1755608144464755E-3</v>
      </c>
    </row>
    <row r="247" spans="1:10" x14ac:dyDescent="0.25">
      <c r="A247" s="457">
        <v>43920</v>
      </c>
      <c r="B247" s="448">
        <v>4328.45</v>
      </c>
      <c r="C247" s="448">
        <v>8281.1</v>
      </c>
      <c r="D247" s="151">
        <f t="shared" si="6"/>
        <v>-6.8369169841372424E-2</v>
      </c>
      <c r="E247" s="151">
        <f t="shared" si="7"/>
        <v>-4.3780491325308146E-2</v>
      </c>
    </row>
    <row r="248" spans="1:10" x14ac:dyDescent="0.25">
      <c r="A248" s="149"/>
    </row>
    <row r="249" spans="1:10" ht="18" x14ac:dyDescent="0.25">
      <c r="A249" s="149"/>
      <c r="F249" s="150" t="s">
        <v>74</v>
      </c>
      <c r="G249" s="150">
        <f>SLOPE(D2:D247,E2:E247)</f>
        <v>1.157031495257925</v>
      </c>
      <c r="H249" s="453" t="s">
        <v>309</v>
      </c>
      <c r="I249" s="454">
        <f>_xlfn.COVARIANCE.S(D35:D247,E35:E247)</f>
        <v>3.6748347298345204E-4</v>
      </c>
      <c r="J249" s="453" t="str">
        <f ca="1">IFERROR(_xlfn.FORMULATEXT(I249),"")</f>
        <v>=COVARIANCE.S(D35:D247,E35:E247)</v>
      </c>
    </row>
    <row r="250" spans="1:10" ht="18" x14ac:dyDescent="0.25">
      <c r="A250" s="149"/>
      <c r="F250" s="150"/>
      <c r="G250" s="148"/>
      <c r="H250" s="453" t="s">
        <v>310</v>
      </c>
      <c r="I250" s="454">
        <f>_xlfn.VAR.S(E35:E247)</f>
        <v>3.1769857225825401E-4</v>
      </c>
      <c r="J250" s="453" t="str">
        <f ca="1">IFERROR(_xlfn.FORMULATEXT(I250),"")</f>
        <v>=VAR.S(E35:E247)</v>
      </c>
    </row>
    <row r="251" spans="1:10" ht="18.75" thickBot="1" x14ac:dyDescent="0.3">
      <c r="F251" s="148"/>
      <c r="G251" s="152"/>
      <c r="H251" s="453"/>
      <c r="I251" s="453"/>
      <c r="J251" s="453"/>
    </row>
    <row r="252" spans="1:10" ht="18.75" thickBot="1" x14ac:dyDescent="0.3">
      <c r="F252" s="148"/>
      <c r="G252" s="152"/>
      <c r="H252" s="455" t="s">
        <v>74</v>
      </c>
      <c r="I252" s="456">
        <f>I249/I250</f>
        <v>1.1567048298999858</v>
      </c>
      <c r="J252" s="453" t="str">
        <f ca="1">IFERROR(_xlfn.FORMULATEXT(I252),"")</f>
        <v>=I249/I250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0.59999389629810485"/>
  </sheetPr>
  <dimension ref="A1:D990"/>
  <sheetViews>
    <sheetView showGridLines="0" topLeftCell="A971" workbookViewId="0">
      <selection activeCell="C988" sqref="C988"/>
    </sheetView>
  </sheetViews>
  <sheetFormatPr defaultColWidth="8.85546875" defaultRowHeight="14.25" x14ac:dyDescent="0.2"/>
  <cols>
    <col min="1" max="1" width="10.140625" style="136" bestFit="1" customWidth="1"/>
    <col min="2" max="2" width="8.85546875" style="136"/>
    <col min="3" max="3" width="9.85546875" style="136" bestFit="1" customWidth="1"/>
    <col min="4" max="16384" width="8.85546875" style="136"/>
  </cols>
  <sheetData>
    <row r="1" spans="1:4" x14ac:dyDescent="0.2">
      <c r="A1" s="153" t="s">
        <v>184</v>
      </c>
      <c r="B1" s="153" t="s">
        <v>183</v>
      </c>
      <c r="C1" s="153" t="s">
        <v>182</v>
      </c>
      <c r="D1" s="153"/>
    </row>
    <row r="2" spans="1:4" x14ac:dyDescent="0.2">
      <c r="A2" s="137">
        <v>42604</v>
      </c>
      <c r="B2" s="136">
        <v>8629.15</v>
      </c>
    </row>
    <row r="3" spans="1:4" x14ac:dyDescent="0.2">
      <c r="A3" s="137">
        <v>42605</v>
      </c>
      <c r="B3" s="136">
        <v>8632.6</v>
      </c>
      <c r="C3" s="138">
        <f t="shared" ref="C3:C66" si="0">B3/B2-1</f>
        <v>3.9980762879321396E-4</v>
      </c>
      <c r="D3" s="138">
        <f t="shared" ref="D3:D66" si="1">1+C3</f>
        <v>1.0003998076287932</v>
      </c>
    </row>
    <row r="4" spans="1:4" x14ac:dyDescent="0.2">
      <c r="A4" s="137">
        <v>42606</v>
      </c>
      <c r="B4" s="136">
        <v>8650.2999999999993</v>
      </c>
      <c r="C4" s="138">
        <f t="shared" si="0"/>
        <v>2.0503672126588324E-3</v>
      </c>
      <c r="D4" s="138">
        <f t="shared" si="1"/>
        <v>1.0020503672126588</v>
      </c>
    </row>
    <row r="5" spans="1:4" x14ac:dyDescent="0.2">
      <c r="A5" s="137">
        <v>42607</v>
      </c>
      <c r="B5" s="136">
        <v>8592.2000000000007</v>
      </c>
      <c r="C5" s="138">
        <f t="shared" si="0"/>
        <v>-6.7165300625410262E-3</v>
      </c>
      <c r="D5" s="138">
        <f t="shared" si="1"/>
        <v>0.99328346993745897</v>
      </c>
    </row>
    <row r="6" spans="1:4" x14ac:dyDescent="0.2">
      <c r="A6" s="137">
        <v>42608</v>
      </c>
      <c r="B6" s="136">
        <v>8572.5499999999993</v>
      </c>
      <c r="C6" s="138">
        <f t="shared" si="0"/>
        <v>-2.2869579385956795E-3</v>
      </c>
      <c r="D6" s="138">
        <f t="shared" si="1"/>
        <v>0.99771304206140432</v>
      </c>
    </row>
    <row r="7" spans="1:4" x14ac:dyDescent="0.2">
      <c r="A7" s="137">
        <v>42611</v>
      </c>
      <c r="B7" s="136">
        <v>8607.4500000000007</v>
      </c>
      <c r="C7" s="138">
        <f t="shared" si="0"/>
        <v>4.0711340266317286E-3</v>
      </c>
      <c r="D7" s="138">
        <f t="shared" si="1"/>
        <v>1.0040711340266317</v>
      </c>
    </row>
    <row r="8" spans="1:4" x14ac:dyDescent="0.2">
      <c r="A8" s="137">
        <v>42612</v>
      </c>
      <c r="B8" s="136">
        <v>8744.35</v>
      </c>
      <c r="C8" s="138">
        <f t="shared" si="0"/>
        <v>1.5904826632742619E-2</v>
      </c>
      <c r="D8" s="138">
        <f t="shared" si="1"/>
        <v>1.0159048266327426</v>
      </c>
    </row>
    <row r="9" spans="1:4" x14ac:dyDescent="0.2">
      <c r="A9" s="137">
        <v>42613</v>
      </c>
      <c r="B9" s="136">
        <v>8786.2000000000007</v>
      </c>
      <c r="C9" s="138">
        <f t="shared" si="0"/>
        <v>4.7859474975269212E-3</v>
      </c>
      <c r="D9" s="138">
        <f t="shared" si="1"/>
        <v>1.0047859474975269</v>
      </c>
    </row>
    <row r="10" spans="1:4" x14ac:dyDescent="0.2">
      <c r="A10" s="137">
        <v>42614</v>
      </c>
      <c r="B10" s="136">
        <v>8774.65</v>
      </c>
      <c r="C10" s="138">
        <f t="shared" si="0"/>
        <v>-1.3145614713984122E-3</v>
      </c>
      <c r="D10" s="138">
        <f t="shared" si="1"/>
        <v>0.99868543852860159</v>
      </c>
    </row>
    <row r="11" spans="1:4" x14ac:dyDescent="0.2">
      <c r="A11" s="137">
        <v>42615</v>
      </c>
      <c r="B11" s="136">
        <v>8809.65</v>
      </c>
      <c r="C11" s="138">
        <f t="shared" si="0"/>
        <v>3.9887630845674149E-3</v>
      </c>
      <c r="D11" s="138">
        <f t="shared" si="1"/>
        <v>1.0039887630845674</v>
      </c>
    </row>
    <row r="12" spans="1:4" x14ac:dyDescent="0.2">
      <c r="A12" s="137">
        <v>42619</v>
      </c>
      <c r="B12" s="136">
        <v>8943</v>
      </c>
      <c r="C12" s="138">
        <f t="shared" si="0"/>
        <v>1.5136810202448503E-2</v>
      </c>
      <c r="D12" s="138">
        <f t="shared" si="1"/>
        <v>1.0151368102024485</v>
      </c>
    </row>
    <row r="13" spans="1:4" x14ac:dyDescent="0.2">
      <c r="A13" s="137">
        <v>42620</v>
      </c>
      <c r="B13" s="136">
        <v>8917.9500000000007</v>
      </c>
      <c r="C13" s="138">
        <f t="shared" si="0"/>
        <v>-2.801073465280024E-3</v>
      </c>
      <c r="D13" s="138">
        <f t="shared" si="1"/>
        <v>0.99719892653471998</v>
      </c>
    </row>
    <row r="14" spans="1:4" x14ac:dyDescent="0.2">
      <c r="A14" s="137">
        <v>42621</v>
      </c>
      <c r="B14" s="136">
        <v>8952.5</v>
      </c>
      <c r="C14" s="138">
        <f t="shared" si="0"/>
        <v>3.8742087587393392E-3</v>
      </c>
      <c r="D14" s="138">
        <f t="shared" si="1"/>
        <v>1.0038742087587393</v>
      </c>
    </row>
    <row r="15" spans="1:4" x14ac:dyDescent="0.2">
      <c r="A15" s="137">
        <v>42622</v>
      </c>
      <c r="B15" s="136">
        <v>8866.7000000000007</v>
      </c>
      <c r="C15" s="138">
        <f t="shared" si="0"/>
        <v>-9.5839151075117757E-3</v>
      </c>
      <c r="D15" s="138">
        <f t="shared" si="1"/>
        <v>0.99041608489248822</v>
      </c>
    </row>
    <row r="16" spans="1:4" x14ac:dyDescent="0.2">
      <c r="A16" s="137">
        <v>42625</v>
      </c>
      <c r="B16" s="136">
        <v>8715.6</v>
      </c>
      <c r="C16" s="138">
        <f t="shared" si="0"/>
        <v>-1.7041289318461272E-2</v>
      </c>
      <c r="D16" s="138">
        <f t="shared" si="1"/>
        <v>0.98295871068153873</v>
      </c>
    </row>
    <row r="17" spans="1:4" x14ac:dyDescent="0.2">
      <c r="A17" s="137">
        <v>42627</v>
      </c>
      <c r="B17" s="136">
        <v>8726.6</v>
      </c>
      <c r="C17" s="138">
        <f t="shared" si="0"/>
        <v>1.2621047317453726E-3</v>
      </c>
      <c r="D17" s="138">
        <f t="shared" si="1"/>
        <v>1.0012621047317454</v>
      </c>
    </row>
    <row r="18" spans="1:4" x14ac:dyDescent="0.2">
      <c r="A18" s="137">
        <v>42628</v>
      </c>
      <c r="B18" s="136">
        <v>8742.5499999999993</v>
      </c>
      <c r="C18" s="138">
        <f t="shared" si="0"/>
        <v>1.8277450553478847E-3</v>
      </c>
      <c r="D18" s="138">
        <f t="shared" si="1"/>
        <v>1.0018277450553479</v>
      </c>
    </row>
    <row r="19" spans="1:4" x14ac:dyDescent="0.2">
      <c r="A19" s="137">
        <v>42629</v>
      </c>
      <c r="B19" s="136">
        <v>8779.85</v>
      </c>
      <c r="C19" s="138">
        <f t="shared" si="0"/>
        <v>4.2664897541335733E-3</v>
      </c>
      <c r="D19" s="138">
        <f t="shared" si="1"/>
        <v>1.0042664897541336</v>
      </c>
    </row>
    <row r="20" spans="1:4" x14ac:dyDescent="0.2">
      <c r="A20" s="137">
        <v>42632</v>
      </c>
      <c r="B20" s="136">
        <v>8808.4</v>
      </c>
      <c r="C20" s="138">
        <f t="shared" si="0"/>
        <v>3.2517639823002042E-3</v>
      </c>
      <c r="D20" s="138">
        <f t="shared" si="1"/>
        <v>1.0032517639823002</v>
      </c>
    </row>
    <row r="21" spans="1:4" x14ac:dyDescent="0.2">
      <c r="A21" s="137">
        <v>42633</v>
      </c>
      <c r="B21" s="136">
        <v>8775.9</v>
      </c>
      <c r="C21" s="138">
        <f t="shared" si="0"/>
        <v>-3.6896598701239292E-3</v>
      </c>
      <c r="D21" s="138">
        <f t="shared" si="1"/>
        <v>0.99631034012987607</v>
      </c>
    </row>
    <row r="22" spans="1:4" x14ac:dyDescent="0.2">
      <c r="A22" s="137">
        <v>42634</v>
      </c>
      <c r="B22" s="136">
        <v>8777.15</v>
      </c>
      <c r="C22" s="138">
        <f t="shared" si="0"/>
        <v>1.4243553367743189E-4</v>
      </c>
      <c r="D22" s="138">
        <f t="shared" si="1"/>
        <v>1.0001424355336774</v>
      </c>
    </row>
    <row r="23" spans="1:4" x14ac:dyDescent="0.2">
      <c r="A23" s="137">
        <v>42635</v>
      </c>
      <c r="B23" s="136">
        <v>8867.4500000000007</v>
      </c>
      <c r="C23" s="138">
        <f t="shared" si="0"/>
        <v>1.0288077565041132E-2</v>
      </c>
      <c r="D23" s="138">
        <f t="shared" si="1"/>
        <v>1.0102880775650411</v>
      </c>
    </row>
    <row r="24" spans="1:4" x14ac:dyDescent="0.2">
      <c r="A24" s="137">
        <v>42636</v>
      </c>
      <c r="B24" s="136">
        <v>8831.5499999999993</v>
      </c>
      <c r="C24" s="138">
        <f t="shared" si="0"/>
        <v>-4.0485145109362408E-3</v>
      </c>
      <c r="D24" s="138">
        <f t="shared" si="1"/>
        <v>0.99595148548906376</v>
      </c>
    </row>
    <row r="25" spans="1:4" x14ac:dyDescent="0.2">
      <c r="A25" s="137">
        <v>42639</v>
      </c>
      <c r="B25" s="136">
        <v>8723.0499999999993</v>
      </c>
      <c r="C25" s="138">
        <f t="shared" si="0"/>
        <v>-1.2285499147941192E-2</v>
      </c>
      <c r="D25" s="138">
        <f t="shared" si="1"/>
        <v>0.98771450085205881</v>
      </c>
    </row>
    <row r="26" spans="1:4" x14ac:dyDescent="0.2">
      <c r="A26" s="137">
        <v>42640</v>
      </c>
      <c r="B26" s="136">
        <v>8706.4</v>
      </c>
      <c r="C26" s="138">
        <f t="shared" si="0"/>
        <v>-1.9087360498907247E-3</v>
      </c>
      <c r="D26" s="138">
        <f t="shared" si="1"/>
        <v>0.99809126395010928</v>
      </c>
    </row>
    <row r="27" spans="1:4" x14ac:dyDescent="0.2">
      <c r="A27" s="137">
        <v>42641</v>
      </c>
      <c r="B27" s="136">
        <v>8745.15</v>
      </c>
      <c r="C27" s="138">
        <f t="shared" si="0"/>
        <v>4.4507488743912305E-3</v>
      </c>
      <c r="D27" s="138">
        <f t="shared" si="1"/>
        <v>1.0044507488743912</v>
      </c>
    </row>
    <row r="28" spans="1:4" x14ac:dyDescent="0.2">
      <c r="A28" s="137">
        <v>42642</v>
      </c>
      <c r="B28" s="136">
        <v>8591.25</v>
      </c>
      <c r="C28" s="138">
        <f t="shared" si="0"/>
        <v>-1.7598325929229275E-2</v>
      </c>
      <c r="D28" s="138">
        <f t="shared" si="1"/>
        <v>0.98240167407077073</v>
      </c>
    </row>
    <row r="29" spans="1:4" x14ac:dyDescent="0.2">
      <c r="A29" s="137">
        <v>42643</v>
      </c>
      <c r="B29" s="136">
        <v>8611.15</v>
      </c>
      <c r="C29" s="138">
        <f t="shared" si="0"/>
        <v>2.3163101993306512E-3</v>
      </c>
      <c r="D29" s="138">
        <f t="shared" si="1"/>
        <v>1.0023163101993307</v>
      </c>
    </row>
    <row r="30" spans="1:4" x14ac:dyDescent="0.2">
      <c r="A30" s="137">
        <v>42646</v>
      </c>
      <c r="B30" s="136">
        <v>8738.1</v>
      </c>
      <c r="C30" s="138">
        <f t="shared" si="0"/>
        <v>1.4742514066065526E-2</v>
      </c>
      <c r="D30" s="138">
        <f t="shared" si="1"/>
        <v>1.0147425140660655</v>
      </c>
    </row>
    <row r="31" spans="1:4" x14ac:dyDescent="0.2">
      <c r="A31" s="137">
        <v>42647</v>
      </c>
      <c r="B31" s="136">
        <v>8769.15</v>
      </c>
      <c r="C31" s="138">
        <f t="shared" si="0"/>
        <v>3.5534040580902371E-3</v>
      </c>
      <c r="D31" s="138">
        <f t="shared" si="1"/>
        <v>1.0035534040580902</v>
      </c>
    </row>
    <row r="32" spans="1:4" x14ac:dyDescent="0.2">
      <c r="A32" s="137">
        <v>42648</v>
      </c>
      <c r="B32" s="136">
        <v>8743.9500000000007</v>
      </c>
      <c r="C32" s="138">
        <f t="shared" si="0"/>
        <v>-2.8737106789140654E-3</v>
      </c>
      <c r="D32" s="138">
        <f t="shared" si="1"/>
        <v>0.99712628932108593</v>
      </c>
    </row>
    <row r="33" spans="1:4" x14ac:dyDescent="0.2">
      <c r="A33" s="137">
        <v>42649</v>
      </c>
      <c r="B33" s="136">
        <v>8709.5499999999993</v>
      </c>
      <c r="C33" s="138">
        <f t="shared" si="0"/>
        <v>-3.9341487542816633E-3</v>
      </c>
      <c r="D33" s="138">
        <f t="shared" si="1"/>
        <v>0.99606585124571834</v>
      </c>
    </row>
    <row r="34" spans="1:4" x14ac:dyDescent="0.2">
      <c r="A34" s="137">
        <v>42650</v>
      </c>
      <c r="B34" s="136">
        <v>8697.6</v>
      </c>
      <c r="C34" s="138">
        <f t="shared" si="0"/>
        <v>-1.3720571097242118E-3</v>
      </c>
      <c r="D34" s="138">
        <f t="shared" si="1"/>
        <v>0.99862794289027579</v>
      </c>
    </row>
    <row r="35" spans="1:4" x14ac:dyDescent="0.2">
      <c r="A35" s="137">
        <v>42653</v>
      </c>
      <c r="B35" s="136">
        <v>8708.7999999999993</v>
      </c>
      <c r="C35" s="138">
        <f t="shared" si="0"/>
        <v>1.2877115526119809E-3</v>
      </c>
      <c r="D35" s="138">
        <f t="shared" si="1"/>
        <v>1.001287711552612</v>
      </c>
    </row>
    <row r="36" spans="1:4" x14ac:dyDescent="0.2">
      <c r="A36" s="137">
        <v>42656</v>
      </c>
      <c r="B36" s="136">
        <v>8573.35</v>
      </c>
      <c r="C36" s="138">
        <f t="shared" si="0"/>
        <v>-1.5553233510931297E-2</v>
      </c>
      <c r="D36" s="138">
        <f t="shared" si="1"/>
        <v>0.9844467664890687</v>
      </c>
    </row>
    <row r="37" spans="1:4" x14ac:dyDescent="0.2">
      <c r="A37" s="137">
        <v>42657</v>
      </c>
      <c r="B37" s="136">
        <v>8583.4</v>
      </c>
      <c r="C37" s="138">
        <f t="shared" si="0"/>
        <v>1.1722372234890255E-3</v>
      </c>
      <c r="D37" s="138">
        <f t="shared" si="1"/>
        <v>1.001172237223489</v>
      </c>
    </row>
    <row r="38" spans="1:4" x14ac:dyDescent="0.2">
      <c r="A38" s="137">
        <v>42660</v>
      </c>
      <c r="B38" s="136">
        <v>8520.4</v>
      </c>
      <c r="C38" s="138">
        <f t="shared" si="0"/>
        <v>-7.3397488174848924E-3</v>
      </c>
      <c r="D38" s="138">
        <f t="shared" si="1"/>
        <v>0.99266025118251511</v>
      </c>
    </row>
    <row r="39" spans="1:4" x14ac:dyDescent="0.2">
      <c r="A39" s="137">
        <v>42661</v>
      </c>
      <c r="B39" s="136">
        <v>8677.9</v>
      </c>
      <c r="C39" s="138">
        <f t="shared" si="0"/>
        <v>1.8485047650345088E-2</v>
      </c>
      <c r="D39" s="138">
        <f t="shared" si="1"/>
        <v>1.0184850476503451</v>
      </c>
    </row>
    <row r="40" spans="1:4" x14ac:dyDescent="0.2">
      <c r="A40" s="137">
        <v>42662</v>
      </c>
      <c r="B40" s="136">
        <v>8659.1</v>
      </c>
      <c r="C40" s="138">
        <f t="shared" si="0"/>
        <v>-2.1664227520482582E-3</v>
      </c>
      <c r="D40" s="138">
        <f t="shared" si="1"/>
        <v>0.99783357724795174</v>
      </c>
    </row>
    <row r="41" spans="1:4" x14ac:dyDescent="0.2">
      <c r="A41" s="137">
        <v>42663</v>
      </c>
      <c r="B41" s="136">
        <v>8699.4</v>
      </c>
      <c r="C41" s="138">
        <f t="shared" si="0"/>
        <v>4.654063355314042E-3</v>
      </c>
      <c r="D41" s="138">
        <f t="shared" si="1"/>
        <v>1.004654063355314</v>
      </c>
    </row>
    <row r="42" spans="1:4" x14ac:dyDescent="0.2">
      <c r="A42" s="137">
        <v>42664</v>
      </c>
      <c r="B42" s="136">
        <v>8693.0499999999993</v>
      </c>
      <c r="C42" s="138">
        <f t="shared" si="0"/>
        <v>-7.2993539784360628E-4</v>
      </c>
      <c r="D42" s="138">
        <f t="shared" si="1"/>
        <v>0.99927006460215639</v>
      </c>
    </row>
    <row r="43" spans="1:4" x14ac:dyDescent="0.2">
      <c r="A43" s="137">
        <v>42667</v>
      </c>
      <c r="B43" s="136">
        <v>8708.9500000000007</v>
      </c>
      <c r="C43" s="138">
        <f t="shared" si="0"/>
        <v>1.8290473424174003E-3</v>
      </c>
      <c r="D43" s="138">
        <f t="shared" si="1"/>
        <v>1.0018290473424174</v>
      </c>
    </row>
    <row r="44" spans="1:4" x14ac:dyDescent="0.2">
      <c r="A44" s="137">
        <v>42668</v>
      </c>
      <c r="B44" s="136">
        <v>8691.2999999999993</v>
      </c>
      <c r="C44" s="138">
        <f t="shared" si="0"/>
        <v>-2.0266507443493786E-3</v>
      </c>
      <c r="D44" s="138">
        <f t="shared" si="1"/>
        <v>0.99797334925565062</v>
      </c>
    </row>
    <row r="45" spans="1:4" x14ac:dyDescent="0.2">
      <c r="A45" s="137">
        <v>42669</v>
      </c>
      <c r="B45" s="136">
        <v>8615.25</v>
      </c>
      <c r="C45" s="138">
        <f t="shared" si="0"/>
        <v>-8.750129439784482E-3</v>
      </c>
      <c r="D45" s="138">
        <f t="shared" si="1"/>
        <v>0.99124987056021552</v>
      </c>
    </row>
    <row r="46" spans="1:4" x14ac:dyDescent="0.2">
      <c r="A46" s="137">
        <v>42670</v>
      </c>
      <c r="B46" s="136">
        <v>8615.25</v>
      </c>
      <c r="C46" s="138">
        <f t="shared" si="0"/>
        <v>0</v>
      </c>
      <c r="D46" s="138">
        <f t="shared" si="1"/>
        <v>1</v>
      </c>
    </row>
    <row r="47" spans="1:4" x14ac:dyDescent="0.2">
      <c r="A47" s="137">
        <v>42671</v>
      </c>
      <c r="B47" s="136">
        <v>8638</v>
      </c>
      <c r="C47" s="138">
        <f t="shared" si="0"/>
        <v>2.6406662604103737E-3</v>
      </c>
      <c r="D47" s="138">
        <f t="shared" si="1"/>
        <v>1.0026406662604104</v>
      </c>
    </row>
    <row r="48" spans="1:4" x14ac:dyDescent="0.2">
      <c r="A48" s="137">
        <v>42673</v>
      </c>
      <c r="B48" s="136">
        <v>8625.7000000000007</v>
      </c>
      <c r="C48" s="138">
        <f t="shared" si="0"/>
        <v>-1.4239407270200122E-3</v>
      </c>
      <c r="D48" s="138">
        <f t="shared" si="1"/>
        <v>0.99857605927297999</v>
      </c>
    </row>
    <row r="49" spans="1:4" x14ac:dyDescent="0.2">
      <c r="A49" s="137">
        <v>42675</v>
      </c>
      <c r="B49" s="136">
        <v>8626.25</v>
      </c>
      <c r="C49" s="138">
        <f t="shared" si="0"/>
        <v>6.3762940978540072E-5</v>
      </c>
      <c r="D49" s="138">
        <f t="shared" si="1"/>
        <v>1.0000637629409785</v>
      </c>
    </row>
    <row r="50" spans="1:4" x14ac:dyDescent="0.2">
      <c r="A50" s="137">
        <v>42676</v>
      </c>
      <c r="B50" s="136">
        <v>8514</v>
      </c>
      <c r="C50" s="138">
        <f t="shared" si="0"/>
        <v>-1.3012606868569754E-2</v>
      </c>
      <c r="D50" s="138">
        <f t="shared" si="1"/>
        <v>0.98698739313143025</v>
      </c>
    </row>
    <row r="51" spans="1:4" x14ac:dyDescent="0.2">
      <c r="A51" s="137">
        <v>42677</v>
      </c>
      <c r="B51" s="136">
        <v>8484.9500000000007</v>
      </c>
      <c r="C51" s="138">
        <f t="shared" si="0"/>
        <v>-3.4120272492365045E-3</v>
      </c>
      <c r="D51" s="138">
        <f t="shared" si="1"/>
        <v>0.9965879727507635</v>
      </c>
    </row>
    <row r="52" spans="1:4" x14ac:dyDescent="0.2">
      <c r="A52" s="137">
        <v>42678</v>
      </c>
      <c r="B52" s="136">
        <v>8433.75</v>
      </c>
      <c r="C52" s="138">
        <f t="shared" si="0"/>
        <v>-6.0342135192311686E-3</v>
      </c>
      <c r="D52" s="138">
        <f t="shared" si="1"/>
        <v>0.99396578648076883</v>
      </c>
    </row>
    <row r="53" spans="1:4" x14ac:dyDescent="0.2">
      <c r="A53" s="137">
        <v>42681</v>
      </c>
      <c r="B53" s="136">
        <v>8497.0499999999993</v>
      </c>
      <c r="C53" s="138">
        <f t="shared" si="0"/>
        <v>7.5055580257892274E-3</v>
      </c>
      <c r="D53" s="138">
        <f t="shared" si="1"/>
        <v>1.0075055580257892</v>
      </c>
    </row>
    <row r="54" spans="1:4" x14ac:dyDescent="0.2">
      <c r="A54" s="137">
        <v>42682</v>
      </c>
      <c r="B54" s="136">
        <v>8543.5499999999993</v>
      </c>
      <c r="C54" s="138">
        <f t="shared" si="0"/>
        <v>5.4724875103713266E-3</v>
      </c>
      <c r="D54" s="138">
        <f t="shared" si="1"/>
        <v>1.0054724875103713</v>
      </c>
    </row>
    <row r="55" spans="1:4" x14ac:dyDescent="0.2">
      <c r="A55" s="137">
        <v>42683</v>
      </c>
      <c r="B55" s="136">
        <v>8432</v>
      </c>
      <c r="C55" s="138">
        <f t="shared" si="0"/>
        <v>-1.3056633366691717E-2</v>
      </c>
      <c r="D55" s="138">
        <f t="shared" si="1"/>
        <v>0.98694336663330828</v>
      </c>
    </row>
    <row r="56" spans="1:4" x14ac:dyDescent="0.2">
      <c r="A56" s="137">
        <v>42684</v>
      </c>
      <c r="B56" s="136">
        <v>8525.75</v>
      </c>
      <c r="C56" s="138">
        <f t="shared" si="0"/>
        <v>1.1118358633776193E-2</v>
      </c>
      <c r="D56" s="138">
        <f t="shared" si="1"/>
        <v>1.0111183586337762</v>
      </c>
    </row>
    <row r="57" spans="1:4" x14ac:dyDescent="0.2">
      <c r="A57" s="137">
        <v>42685</v>
      </c>
      <c r="B57" s="136">
        <v>8296.2999999999993</v>
      </c>
      <c r="C57" s="138">
        <f t="shared" si="0"/>
        <v>-2.6912588335337162E-2</v>
      </c>
      <c r="D57" s="138">
        <f t="shared" si="1"/>
        <v>0.97308741166466284</v>
      </c>
    </row>
    <row r="58" spans="1:4" x14ac:dyDescent="0.2">
      <c r="A58" s="137">
        <v>42689</v>
      </c>
      <c r="B58" s="136">
        <v>8108.45</v>
      </c>
      <c r="C58" s="138">
        <f t="shared" si="0"/>
        <v>-2.2642623820257168E-2</v>
      </c>
      <c r="D58" s="138">
        <f t="shared" si="1"/>
        <v>0.97735737617974283</v>
      </c>
    </row>
    <row r="59" spans="1:4" x14ac:dyDescent="0.2">
      <c r="A59" s="137">
        <v>42690</v>
      </c>
      <c r="B59" s="136">
        <v>8111.6</v>
      </c>
      <c r="C59" s="138">
        <f t="shared" si="0"/>
        <v>3.8848361894072703E-4</v>
      </c>
      <c r="D59" s="138">
        <f t="shared" si="1"/>
        <v>1.0003884836189407</v>
      </c>
    </row>
    <row r="60" spans="1:4" x14ac:dyDescent="0.2">
      <c r="A60" s="137">
        <v>42691</v>
      </c>
      <c r="B60" s="136">
        <v>8079.95</v>
      </c>
      <c r="C60" s="138">
        <f t="shared" si="0"/>
        <v>-3.9018196163519425E-3</v>
      </c>
      <c r="D60" s="138">
        <f t="shared" si="1"/>
        <v>0.99609818038364806</v>
      </c>
    </row>
    <row r="61" spans="1:4" x14ac:dyDescent="0.2">
      <c r="A61" s="137">
        <v>42692</v>
      </c>
      <c r="B61" s="136">
        <v>8074.1</v>
      </c>
      <c r="C61" s="138">
        <f t="shared" si="0"/>
        <v>-7.2401438127700501E-4</v>
      </c>
      <c r="D61" s="138">
        <f t="shared" si="1"/>
        <v>0.99927598561872299</v>
      </c>
    </row>
    <row r="62" spans="1:4" x14ac:dyDescent="0.2">
      <c r="A62" s="137">
        <v>42695</v>
      </c>
      <c r="B62" s="136">
        <v>7929.1</v>
      </c>
      <c r="C62" s="138">
        <f t="shared" si="0"/>
        <v>-1.795865793091489E-2</v>
      </c>
      <c r="D62" s="138">
        <f t="shared" si="1"/>
        <v>0.98204134206908511</v>
      </c>
    </row>
    <row r="63" spans="1:4" x14ac:dyDescent="0.2">
      <c r="A63" s="137">
        <v>42696</v>
      </c>
      <c r="B63" s="136">
        <v>8002.3</v>
      </c>
      <c r="C63" s="138">
        <f t="shared" si="0"/>
        <v>9.2318169779672665E-3</v>
      </c>
      <c r="D63" s="138">
        <f t="shared" si="1"/>
        <v>1.0092318169779673</v>
      </c>
    </row>
    <row r="64" spans="1:4" x14ac:dyDescent="0.2">
      <c r="A64" s="137">
        <v>42697</v>
      </c>
      <c r="B64" s="136">
        <v>8033.3</v>
      </c>
      <c r="C64" s="138">
        <f t="shared" si="0"/>
        <v>3.8738862577010202E-3</v>
      </c>
      <c r="D64" s="138">
        <f t="shared" si="1"/>
        <v>1.003873886257701</v>
      </c>
    </row>
    <row r="65" spans="1:4" x14ac:dyDescent="0.2">
      <c r="A65" s="137">
        <v>42698</v>
      </c>
      <c r="B65" s="136">
        <v>7965.5</v>
      </c>
      <c r="C65" s="138">
        <f t="shared" si="0"/>
        <v>-8.439869045099746E-3</v>
      </c>
      <c r="D65" s="138">
        <f t="shared" si="1"/>
        <v>0.99156013095490025</v>
      </c>
    </row>
    <row r="66" spans="1:4" x14ac:dyDescent="0.2">
      <c r="A66" s="137">
        <v>42699</v>
      </c>
      <c r="B66" s="136">
        <v>8114.3</v>
      </c>
      <c r="C66" s="138">
        <f t="shared" si="0"/>
        <v>1.86805599146318E-2</v>
      </c>
      <c r="D66" s="138">
        <f t="shared" si="1"/>
        <v>1.0186805599146318</v>
      </c>
    </row>
    <row r="67" spans="1:4" x14ac:dyDescent="0.2">
      <c r="A67" s="137">
        <v>42702</v>
      </c>
      <c r="B67" s="136">
        <v>8126.9</v>
      </c>
      <c r="C67" s="138">
        <f t="shared" ref="C67:C130" si="2">B67/B66-1</f>
        <v>1.552814167580685E-3</v>
      </c>
      <c r="D67" s="138">
        <f t="shared" ref="D67:D130" si="3">1+C67</f>
        <v>1.0015528141675807</v>
      </c>
    </row>
    <row r="68" spans="1:4" x14ac:dyDescent="0.2">
      <c r="A68" s="137">
        <v>42703</v>
      </c>
      <c r="B68" s="136">
        <v>8142.15</v>
      </c>
      <c r="C68" s="138">
        <f t="shared" si="2"/>
        <v>1.8764842682941207E-3</v>
      </c>
      <c r="D68" s="138">
        <f t="shared" si="3"/>
        <v>1.0018764842682941</v>
      </c>
    </row>
    <row r="69" spans="1:4" x14ac:dyDescent="0.2">
      <c r="A69" s="137">
        <v>42704</v>
      </c>
      <c r="B69" s="136">
        <v>8224.5</v>
      </c>
      <c r="C69" s="138">
        <f t="shared" si="2"/>
        <v>1.0114036218934919E-2</v>
      </c>
      <c r="D69" s="138">
        <f t="shared" si="3"/>
        <v>1.0101140362189349</v>
      </c>
    </row>
    <row r="70" spans="1:4" x14ac:dyDescent="0.2">
      <c r="A70" s="137">
        <v>42705</v>
      </c>
      <c r="B70" s="136">
        <v>8192.9</v>
      </c>
      <c r="C70" s="138">
        <f t="shared" si="2"/>
        <v>-3.8421788558575809E-3</v>
      </c>
      <c r="D70" s="138">
        <f t="shared" si="3"/>
        <v>0.99615782114414242</v>
      </c>
    </row>
    <row r="71" spans="1:4" x14ac:dyDescent="0.2">
      <c r="A71" s="137">
        <v>42706</v>
      </c>
      <c r="B71" s="136">
        <v>8086.8</v>
      </c>
      <c r="C71" s="138">
        <f t="shared" si="2"/>
        <v>-1.2950237400676134E-2</v>
      </c>
      <c r="D71" s="138">
        <f t="shared" si="3"/>
        <v>0.98704976259932387</v>
      </c>
    </row>
    <row r="72" spans="1:4" x14ac:dyDescent="0.2">
      <c r="A72" s="137">
        <v>42709</v>
      </c>
      <c r="B72" s="136">
        <v>8128.75</v>
      </c>
      <c r="C72" s="138">
        <f t="shared" si="2"/>
        <v>5.1874659939654677E-3</v>
      </c>
      <c r="D72" s="138">
        <f t="shared" si="3"/>
        <v>1.0051874659939655</v>
      </c>
    </row>
    <row r="73" spans="1:4" x14ac:dyDescent="0.2">
      <c r="A73" s="137">
        <v>42710</v>
      </c>
      <c r="B73" s="136">
        <v>8143.15</v>
      </c>
      <c r="C73" s="138">
        <f t="shared" si="2"/>
        <v>1.7714900815009038E-3</v>
      </c>
      <c r="D73" s="138">
        <f t="shared" si="3"/>
        <v>1.0017714900815009</v>
      </c>
    </row>
    <row r="74" spans="1:4" x14ac:dyDescent="0.2">
      <c r="A74" s="137">
        <v>42711</v>
      </c>
      <c r="B74" s="136">
        <v>8102.05</v>
      </c>
      <c r="C74" s="138">
        <f t="shared" si="2"/>
        <v>-5.0471868994184099E-3</v>
      </c>
      <c r="D74" s="138">
        <f t="shared" si="3"/>
        <v>0.99495281310058159</v>
      </c>
    </row>
    <row r="75" spans="1:4" x14ac:dyDescent="0.2">
      <c r="A75" s="137">
        <v>42712</v>
      </c>
      <c r="B75" s="136">
        <v>8246.85</v>
      </c>
      <c r="C75" s="138">
        <f t="shared" si="2"/>
        <v>1.7872020044309878E-2</v>
      </c>
      <c r="D75" s="138">
        <f t="shared" si="3"/>
        <v>1.0178720200443099</v>
      </c>
    </row>
    <row r="76" spans="1:4" x14ac:dyDescent="0.2">
      <c r="A76" s="137">
        <v>42713</v>
      </c>
      <c r="B76" s="136">
        <v>8261.75</v>
      </c>
      <c r="C76" s="138">
        <f t="shared" si="2"/>
        <v>1.8067504562346848E-3</v>
      </c>
      <c r="D76" s="138">
        <f t="shared" si="3"/>
        <v>1.0018067504562347</v>
      </c>
    </row>
    <row r="77" spans="1:4" x14ac:dyDescent="0.2">
      <c r="A77" s="137">
        <v>42716</v>
      </c>
      <c r="B77" s="136">
        <v>8170.8</v>
      </c>
      <c r="C77" s="138">
        <f t="shared" si="2"/>
        <v>-1.1008563560988893E-2</v>
      </c>
      <c r="D77" s="138">
        <f t="shared" si="3"/>
        <v>0.98899143643901111</v>
      </c>
    </row>
    <row r="78" spans="1:4" x14ac:dyDescent="0.2">
      <c r="A78" s="137">
        <v>42717</v>
      </c>
      <c r="B78" s="136">
        <v>8221.7999999999993</v>
      </c>
      <c r="C78" s="138">
        <f t="shared" si="2"/>
        <v>6.2417388750182212E-3</v>
      </c>
      <c r="D78" s="138">
        <f t="shared" si="3"/>
        <v>1.0062417388750182</v>
      </c>
    </row>
    <row r="79" spans="1:4" x14ac:dyDescent="0.2">
      <c r="A79" s="137">
        <v>42718</v>
      </c>
      <c r="B79" s="136">
        <v>8182.45</v>
      </c>
      <c r="C79" s="138">
        <f t="shared" si="2"/>
        <v>-4.7860565812838374E-3</v>
      </c>
      <c r="D79" s="138">
        <f t="shared" si="3"/>
        <v>0.99521394341871616</v>
      </c>
    </row>
    <row r="80" spans="1:4" x14ac:dyDescent="0.2">
      <c r="A80" s="137">
        <v>42719</v>
      </c>
      <c r="B80" s="136">
        <v>8153.6</v>
      </c>
      <c r="C80" s="138">
        <f t="shared" si="2"/>
        <v>-3.5258388380007277E-3</v>
      </c>
      <c r="D80" s="138">
        <f t="shared" si="3"/>
        <v>0.99647416116199927</v>
      </c>
    </row>
    <row r="81" spans="1:4" x14ac:dyDescent="0.2">
      <c r="A81" s="137">
        <v>42720</v>
      </c>
      <c r="B81" s="136">
        <v>8139.45</v>
      </c>
      <c r="C81" s="138">
        <f t="shared" si="2"/>
        <v>-1.7354297488226811E-3</v>
      </c>
      <c r="D81" s="138">
        <f t="shared" si="3"/>
        <v>0.99826457025117732</v>
      </c>
    </row>
    <row r="82" spans="1:4" x14ac:dyDescent="0.2">
      <c r="A82" s="137">
        <v>42723</v>
      </c>
      <c r="B82" s="136">
        <v>8104.35</v>
      </c>
      <c r="C82" s="138">
        <f t="shared" si="2"/>
        <v>-4.3123306857342225E-3</v>
      </c>
      <c r="D82" s="138">
        <f t="shared" si="3"/>
        <v>0.99568766931426578</v>
      </c>
    </row>
    <row r="83" spans="1:4" x14ac:dyDescent="0.2">
      <c r="A83" s="137">
        <v>42724</v>
      </c>
      <c r="B83" s="136">
        <v>8082.4</v>
      </c>
      <c r="C83" s="138">
        <f t="shared" si="2"/>
        <v>-2.7084220202731046E-3</v>
      </c>
      <c r="D83" s="138">
        <f t="shared" si="3"/>
        <v>0.9972915779797269</v>
      </c>
    </row>
    <row r="84" spans="1:4" x14ac:dyDescent="0.2">
      <c r="A84" s="137">
        <v>42725</v>
      </c>
      <c r="B84" s="136">
        <v>8061.3</v>
      </c>
      <c r="C84" s="138">
        <f t="shared" si="2"/>
        <v>-2.6106107096901532E-3</v>
      </c>
      <c r="D84" s="138">
        <f t="shared" si="3"/>
        <v>0.99738938929030985</v>
      </c>
    </row>
    <row r="85" spans="1:4" x14ac:dyDescent="0.2">
      <c r="A85" s="137">
        <v>42726</v>
      </c>
      <c r="B85" s="136">
        <v>7979.1</v>
      </c>
      <c r="C85" s="138">
        <f t="shared" si="2"/>
        <v>-1.0196866510364333E-2</v>
      </c>
      <c r="D85" s="138">
        <f t="shared" si="3"/>
        <v>0.98980313348963567</v>
      </c>
    </row>
    <row r="86" spans="1:4" x14ac:dyDescent="0.2">
      <c r="A86" s="137">
        <v>42727</v>
      </c>
      <c r="B86" s="136">
        <v>7985.75</v>
      </c>
      <c r="C86" s="138">
        <f t="shared" si="2"/>
        <v>8.3342732889679638E-4</v>
      </c>
      <c r="D86" s="138">
        <f t="shared" si="3"/>
        <v>1.0008334273288968</v>
      </c>
    </row>
    <row r="87" spans="1:4" x14ac:dyDescent="0.2">
      <c r="A87" s="137">
        <v>42730</v>
      </c>
      <c r="B87" s="136">
        <v>7908.25</v>
      </c>
      <c r="C87" s="138">
        <f t="shared" si="2"/>
        <v>-9.7047866512225411E-3</v>
      </c>
      <c r="D87" s="138">
        <f t="shared" si="3"/>
        <v>0.99029521334877746</v>
      </c>
    </row>
    <row r="88" spans="1:4" x14ac:dyDescent="0.2">
      <c r="A88" s="137">
        <v>42731</v>
      </c>
      <c r="B88" s="136">
        <v>8032.85</v>
      </c>
      <c r="C88" s="138">
        <f t="shared" si="2"/>
        <v>1.5755698163310461E-2</v>
      </c>
      <c r="D88" s="138">
        <f t="shared" si="3"/>
        <v>1.0157556981633105</v>
      </c>
    </row>
    <row r="89" spans="1:4" x14ac:dyDescent="0.2">
      <c r="A89" s="137">
        <v>42732</v>
      </c>
      <c r="B89" s="136">
        <v>8034.85</v>
      </c>
      <c r="C89" s="138">
        <f t="shared" si="2"/>
        <v>2.4897763558384689E-4</v>
      </c>
      <c r="D89" s="138">
        <f t="shared" si="3"/>
        <v>1.0002489776355838</v>
      </c>
    </row>
    <row r="90" spans="1:4" x14ac:dyDescent="0.2">
      <c r="A90" s="137">
        <v>42733</v>
      </c>
      <c r="B90" s="136">
        <v>8103.6</v>
      </c>
      <c r="C90" s="138">
        <f t="shared" si="2"/>
        <v>8.5564758520693118E-3</v>
      </c>
      <c r="D90" s="138">
        <f t="shared" si="3"/>
        <v>1.0085564758520693</v>
      </c>
    </row>
    <row r="91" spans="1:4" x14ac:dyDescent="0.2">
      <c r="A91" s="137">
        <v>42734</v>
      </c>
      <c r="B91" s="136">
        <v>8185.8</v>
      </c>
      <c r="C91" s="138">
        <f t="shared" si="2"/>
        <v>1.0143639863764209E-2</v>
      </c>
      <c r="D91" s="138">
        <f t="shared" si="3"/>
        <v>1.0101436398637642</v>
      </c>
    </row>
    <row r="92" spans="1:4" x14ac:dyDescent="0.2">
      <c r="A92" s="137">
        <v>42737</v>
      </c>
      <c r="B92" s="136">
        <v>8179.5</v>
      </c>
      <c r="C92" s="138">
        <f t="shared" si="2"/>
        <v>-7.6962544894820795E-4</v>
      </c>
      <c r="D92" s="138">
        <f t="shared" si="3"/>
        <v>0.99923037455105179</v>
      </c>
    </row>
    <row r="93" spans="1:4" x14ac:dyDescent="0.2">
      <c r="A93" s="137">
        <v>42738</v>
      </c>
      <c r="B93" s="136">
        <v>8192.25</v>
      </c>
      <c r="C93" s="138">
        <f t="shared" si="2"/>
        <v>1.5587749862460143E-3</v>
      </c>
      <c r="D93" s="138">
        <f t="shared" si="3"/>
        <v>1.001558774986246</v>
      </c>
    </row>
    <row r="94" spans="1:4" x14ac:dyDescent="0.2">
      <c r="A94" s="137">
        <v>42739</v>
      </c>
      <c r="B94" s="136">
        <v>8190.5</v>
      </c>
      <c r="C94" s="138">
        <f t="shared" si="2"/>
        <v>-2.1361652781592966E-4</v>
      </c>
      <c r="D94" s="138">
        <f t="shared" si="3"/>
        <v>0.99978638347218407</v>
      </c>
    </row>
    <row r="95" spans="1:4" x14ac:dyDescent="0.2">
      <c r="A95" s="137">
        <v>42740</v>
      </c>
      <c r="B95" s="136">
        <v>8273.7999999999993</v>
      </c>
      <c r="C95" s="138">
        <f t="shared" si="2"/>
        <v>1.0170319272327699E-2</v>
      </c>
      <c r="D95" s="138">
        <f t="shared" si="3"/>
        <v>1.0101703192723277</v>
      </c>
    </row>
    <row r="96" spans="1:4" x14ac:dyDescent="0.2">
      <c r="A96" s="137">
        <v>42741</v>
      </c>
      <c r="B96" s="136">
        <v>8243.7999999999993</v>
      </c>
      <c r="C96" s="138">
        <f t="shared" si="2"/>
        <v>-3.6259034542773794E-3</v>
      </c>
      <c r="D96" s="138">
        <f t="shared" si="3"/>
        <v>0.99637409654572262</v>
      </c>
    </row>
    <row r="97" spans="1:4" x14ac:dyDescent="0.2">
      <c r="A97" s="137">
        <v>42744</v>
      </c>
      <c r="B97" s="136">
        <v>8236.0499999999993</v>
      </c>
      <c r="C97" s="138">
        <f t="shared" si="2"/>
        <v>-9.4010043911785246E-4</v>
      </c>
      <c r="D97" s="138">
        <f t="shared" si="3"/>
        <v>0.99905989956088215</v>
      </c>
    </row>
    <row r="98" spans="1:4" x14ac:dyDescent="0.2">
      <c r="A98" s="137">
        <v>42745</v>
      </c>
      <c r="B98" s="136">
        <v>8288.6</v>
      </c>
      <c r="C98" s="138">
        <f t="shared" si="2"/>
        <v>6.3804857911258228E-3</v>
      </c>
      <c r="D98" s="138">
        <f t="shared" si="3"/>
        <v>1.0063804857911258</v>
      </c>
    </row>
    <row r="99" spans="1:4" x14ac:dyDescent="0.2">
      <c r="A99" s="137">
        <v>42746</v>
      </c>
      <c r="B99" s="136">
        <v>8380.65</v>
      </c>
      <c r="C99" s="138">
        <f t="shared" si="2"/>
        <v>1.110561494100315E-2</v>
      </c>
      <c r="D99" s="138">
        <f t="shared" si="3"/>
        <v>1.0111056149410032</v>
      </c>
    </row>
    <row r="100" spans="1:4" x14ac:dyDescent="0.2">
      <c r="A100" s="137">
        <v>42747</v>
      </c>
      <c r="B100" s="136">
        <v>8407.2000000000007</v>
      </c>
      <c r="C100" s="138">
        <f t="shared" si="2"/>
        <v>3.1680120277068902E-3</v>
      </c>
      <c r="D100" s="138">
        <f t="shared" si="3"/>
        <v>1.0031680120277069</v>
      </c>
    </row>
    <row r="101" spans="1:4" x14ac:dyDescent="0.2">
      <c r="A101" s="137">
        <v>42748</v>
      </c>
      <c r="B101" s="136">
        <v>8400.35</v>
      </c>
      <c r="C101" s="138">
        <f t="shared" si="2"/>
        <v>-8.1477780949668066E-4</v>
      </c>
      <c r="D101" s="138">
        <f t="shared" si="3"/>
        <v>0.99918522219050332</v>
      </c>
    </row>
    <row r="102" spans="1:4" x14ac:dyDescent="0.2">
      <c r="A102" s="137">
        <v>42751</v>
      </c>
      <c r="B102" s="136">
        <v>8412.7999999999993</v>
      </c>
      <c r="C102" s="138">
        <f t="shared" si="2"/>
        <v>1.4820811037634662E-3</v>
      </c>
      <c r="D102" s="138">
        <f t="shared" si="3"/>
        <v>1.0014820811037635</v>
      </c>
    </row>
    <row r="103" spans="1:4" x14ac:dyDescent="0.2">
      <c r="A103" s="137">
        <v>42752</v>
      </c>
      <c r="B103" s="136">
        <v>8398</v>
      </c>
      <c r="C103" s="138">
        <f t="shared" si="2"/>
        <v>-1.7592240395586378E-3</v>
      </c>
      <c r="D103" s="138">
        <f t="shared" si="3"/>
        <v>0.99824077596044136</v>
      </c>
    </row>
    <row r="104" spans="1:4" x14ac:dyDescent="0.2">
      <c r="A104" s="137">
        <v>42753</v>
      </c>
      <c r="B104" s="136">
        <v>8417</v>
      </c>
      <c r="C104" s="138">
        <f t="shared" si="2"/>
        <v>2.2624434389140191E-3</v>
      </c>
      <c r="D104" s="138">
        <f t="shared" si="3"/>
        <v>1.002262443438914</v>
      </c>
    </row>
    <row r="105" spans="1:4" x14ac:dyDescent="0.2">
      <c r="A105" s="137">
        <v>42754</v>
      </c>
      <c r="B105" s="136">
        <v>8435.1</v>
      </c>
      <c r="C105" s="138">
        <f t="shared" si="2"/>
        <v>2.1504098847571207E-3</v>
      </c>
      <c r="D105" s="138">
        <f t="shared" si="3"/>
        <v>1.0021504098847571</v>
      </c>
    </row>
    <row r="106" spans="1:4" x14ac:dyDescent="0.2">
      <c r="A106" s="137">
        <v>42755</v>
      </c>
      <c r="B106" s="136">
        <v>8349.35</v>
      </c>
      <c r="C106" s="138">
        <f t="shared" si="2"/>
        <v>-1.0165854583822354E-2</v>
      </c>
      <c r="D106" s="138">
        <f t="shared" si="3"/>
        <v>0.98983414541617765</v>
      </c>
    </row>
    <row r="107" spans="1:4" x14ac:dyDescent="0.2">
      <c r="A107" s="137">
        <v>42758</v>
      </c>
      <c r="B107" s="136">
        <v>8391.5</v>
      </c>
      <c r="C107" s="138">
        <f t="shared" si="2"/>
        <v>5.0482971728338377E-3</v>
      </c>
      <c r="D107" s="138">
        <f t="shared" si="3"/>
        <v>1.0050482971728338</v>
      </c>
    </row>
    <row r="108" spans="1:4" x14ac:dyDescent="0.2">
      <c r="A108" s="137">
        <v>42759</v>
      </c>
      <c r="B108" s="136">
        <v>8475.7999999999993</v>
      </c>
      <c r="C108" s="138">
        <f t="shared" si="2"/>
        <v>1.0045879759280174E-2</v>
      </c>
      <c r="D108" s="138">
        <f t="shared" si="3"/>
        <v>1.0100458797592802</v>
      </c>
    </row>
    <row r="109" spans="1:4" x14ac:dyDescent="0.2">
      <c r="A109" s="137">
        <v>42760</v>
      </c>
      <c r="B109" s="136">
        <v>8602.75</v>
      </c>
      <c r="C109" s="138">
        <f t="shared" si="2"/>
        <v>1.4977937185870482E-2</v>
      </c>
      <c r="D109" s="138">
        <f t="shared" si="3"/>
        <v>1.0149779371858705</v>
      </c>
    </row>
    <row r="110" spans="1:4" x14ac:dyDescent="0.2">
      <c r="A110" s="137">
        <v>42762</v>
      </c>
      <c r="B110" s="136">
        <v>8641.25</v>
      </c>
      <c r="C110" s="138">
        <f t="shared" si="2"/>
        <v>4.4753131266164203E-3</v>
      </c>
      <c r="D110" s="138">
        <f t="shared" si="3"/>
        <v>1.0044753131266164</v>
      </c>
    </row>
    <row r="111" spans="1:4" x14ac:dyDescent="0.2">
      <c r="A111" s="137">
        <v>42765</v>
      </c>
      <c r="B111" s="136">
        <v>8632.75</v>
      </c>
      <c r="C111" s="138">
        <f t="shared" si="2"/>
        <v>-9.8365398524513648E-4</v>
      </c>
      <c r="D111" s="138">
        <f t="shared" si="3"/>
        <v>0.99901634601475486</v>
      </c>
    </row>
    <row r="112" spans="1:4" x14ac:dyDescent="0.2">
      <c r="A112" s="137">
        <v>42766</v>
      </c>
      <c r="B112" s="136">
        <v>8561.2999999999993</v>
      </c>
      <c r="C112" s="138">
        <f t="shared" si="2"/>
        <v>-8.2766210072110491E-3</v>
      </c>
      <c r="D112" s="138">
        <f t="shared" si="3"/>
        <v>0.99172337899278895</v>
      </c>
    </row>
    <row r="113" spans="1:4" x14ac:dyDescent="0.2">
      <c r="A113" s="137">
        <v>42767</v>
      </c>
      <c r="B113" s="136">
        <v>8716.4</v>
      </c>
      <c r="C113" s="138">
        <f t="shared" si="2"/>
        <v>1.8116407554927383E-2</v>
      </c>
      <c r="D113" s="138">
        <f t="shared" si="3"/>
        <v>1.0181164075549274</v>
      </c>
    </row>
    <row r="114" spans="1:4" x14ac:dyDescent="0.2">
      <c r="A114" s="137">
        <v>42768</v>
      </c>
      <c r="B114" s="136">
        <v>8734.25</v>
      </c>
      <c r="C114" s="138">
        <f t="shared" si="2"/>
        <v>2.0478637969805202E-3</v>
      </c>
      <c r="D114" s="138">
        <f t="shared" si="3"/>
        <v>1.0020478637969805</v>
      </c>
    </row>
    <row r="115" spans="1:4" x14ac:dyDescent="0.2">
      <c r="A115" s="137">
        <v>42769</v>
      </c>
      <c r="B115" s="136">
        <v>8740.9500000000007</v>
      </c>
      <c r="C115" s="138">
        <f t="shared" si="2"/>
        <v>7.6709505681660239E-4</v>
      </c>
      <c r="D115" s="138">
        <f t="shared" si="3"/>
        <v>1.0007670950568166</v>
      </c>
    </row>
    <row r="116" spans="1:4" x14ac:dyDescent="0.2">
      <c r="A116" s="137">
        <v>42772</v>
      </c>
      <c r="B116" s="136">
        <v>8801.0499999999993</v>
      </c>
      <c r="C116" s="138">
        <f t="shared" si="2"/>
        <v>6.8756828491181032E-3</v>
      </c>
      <c r="D116" s="138">
        <f t="shared" si="3"/>
        <v>1.0068756828491181</v>
      </c>
    </row>
    <row r="117" spans="1:4" x14ac:dyDescent="0.2">
      <c r="A117" s="137">
        <v>42773</v>
      </c>
      <c r="B117" s="136">
        <v>8768.2999999999993</v>
      </c>
      <c r="C117" s="138">
        <f t="shared" si="2"/>
        <v>-3.7211469086074755E-3</v>
      </c>
      <c r="D117" s="138">
        <f t="shared" si="3"/>
        <v>0.99627885309139252</v>
      </c>
    </row>
    <row r="118" spans="1:4" x14ac:dyDescent="0.2">
      <c r="A118" s="137">
        <v>42774</v>
      </c>
      <c r="B118" s="136">
        <v>8769.0499999999993</v>
      </c>
      <c r="C118" s="138">
        <f t="shared" si="2"/>
        <v>8.5535394546365495E-5</v>
      </c>
      <c r="D118" s="138">
        <f t="shared" si="3"/>
        <v>1.0000855353945464</v>
      </c>
    </row>
    <row r="119" spans="1:4" x14ac:dyDescent="0.2">
      <c r="A119" s="137">
        <v>42775</v>
      </c>
      <c r="B119" s="136">
        <v>8778.4</v>
      </c>
      <c r="C119" s="138">
        <f t="shared" si="2"/>
        <v>1.0662500498914707E-3</v>
      </c>
      <c r="D119" s="138">
        <f t="shared" si="3"/>
        <v>1.0010662500498915</v>
      </c>
    </row>
    <row r="120" spans="1:4" x14ac:dyDescent="0.2">
      <c r="A120" s="137">
        <v>42776</v>
      </c>
      <c r="B120" s="136">
        <v>8793.5499999999993</v>
      </c>
      <c r="C120" s="138">
        <f t="shared" si="2"/>
        <v>1.7258270299826961E-3</v>
      </c>
      <c r="D120" s="138">
        <f t="shared" si="3"/>
        <v>1.0017258270299827</v>
      </c>
    </row>
    <row r="121" spans="1:4" x14ac:dyDescent="0.2">
      <c r="A121" s="137">
        <v>42779</v>
      </c>
      <c r="B121" s="136">
        <v>8805.0499999999993</v>
      </c>
      <c r="C121" s="138">
        <f t="shared" si="2"/>
        <v>1.307776722711429E-3</v>
      </c>
      <c r="D121" s="138">
        <f t="shared" si="3"/>
        <v>1.0013077767227114</v>
      </c>
    </row>
    <row r="122" spans="1:4" x14ac:dyDescent="0.2">
      <c r="A122" s="137">
        <v>42780</v>
      </c>
      <c r="B122" s="136">
        <v>8792.2999999999993</v>
      </c>
      <c r="C122" s="138">
        <f t="shared" si="2"/>
        <v>-1.4480326630740281E-3</v>
      </c>
      <c r="D122" s="138">
        <f t="shared" si="3"/>
        <v>0.99855196733692597</v>
      </c>
    </row>
    <row r="123" spans="1:4" x14ac:dyDescent="0.2">
      <c r="A123" s="137">
        <v>42781</v>
      </c>
      <c r="B123" s="136">
        <v>8724.7000000000007</v>
      </c>
      <c r="C123" s="138">
        <f t="shared" si="2"/>
        <v>-7.6885456592699075E-3</v>
      </c>
      <c r="D123" s="138">
        <f t="shared" si="3"/>
        <v>0.99231145434073009</v>
      </c>
    </row>
    <row r="124" spans="1:4" x14ac:dyDescent="0.2">
      <c r="A124" s="137">
        <v>42782</v>
      </c>
      <c r="B124" s="136">
        <v>8778</v>
      </c>
      <c r="C124" s="138">
        <f t="shared" si="2"/>
        <v>6.1090925762490311E-3</v>
      </c>
      <c r="D124" s="138">
        <f t="shared" si="3"/>
        <v>1.006109092576249</v>
      </c>
    </row>
    <row r="125" spans="1:4" x14ac:dyDescent="0.2">
      <c r="A125" s="137">
        <v>42783</v>
      </c>
      <c r="B125" s="136">
        <v>8821.7000000000007</v>
      </c>
      <c r="C125" s="138">
        <f t="shared" si="2"/>
        <v>4.9783549783550818E-3</v>
      </c>
      <c r="D125" s="138">
        <f t="shared" si="3"/>
        <v>1.0049783549783551</v>
      </c>
    </row>
    <row r="126" spans="1:4" x14ac:dyDescent="0.2">
      <c r="A126" s="137">
        <v>42786</v>
      </c>
      <c r="B126" s="136">
        <v>8879.2000000000007</v>
      </c>
      <c r="C126" s="138">
        <f t="shared" si="2"/>
        <v>6.5180180690795897E-3</v>
      </c>
      <c r="D126" s="138">
        <f t="shared" si="3"/>
        <v>1.0065180180690796</v>
      </c>
    </row>
    <row r="127" spans="1:4" x14ac:dyDescent="0.2">
      <c r="A127" s="137">
        <v>42787</v>
      </c>
      <c r="B127" s="136">
        <v>8907.85</v>
      </c>
      <c r="C127" s="138">
        <f t="shared" si="2"/>
        <v>3.2266420398232576E-3</v>
      </c>
      <c r="D127" s="138">
        <f t="shared" si="3"/>
        <v>1.0032266420398233</v>
      </c>
    </row>
    <row r="128" spans="1:4" x14ac:dyDescent="0.2">
      <c r="A128" s="137">
        <v>42788</v>
      </c>
      <c r="B128" s="136">
        <v>8926.9</v>
      </c>
      <c r="C128" s="138">
        <f t="shared" si="2"/>
        <v>2.1385631774220037E-3</v>
      </c>
      <c r="D128" s="138">
        <f t="shared" si="3"/>
        <v>1.002138563177422</v>
      </c>
    </row>
    <row r="129" spans="1:4" x14ac:dyDescent="0.2">
      <c r="A129" s="137">
        <v>42789</v>
      </c>
      <c r="B129" s="136">
        <v>8939.5</v>
      </c>
      <c r="C129" s="138">
        <f t="shared" si="2"/>
        <v>1.4114642261031651E-3</v>
      </c>
      <c r="D129" s="138">
        <f t="shared" si="3"/>
        <v>1.0014114642261032</v>
      </c>
    </row>
    <row r="130" spans="1:4" x14ac:dyDescent="0.2">
      <c r="A130" s="137">
        <v>42793</v>
      </c>
      <c r="B130" s="136">
        <v>8896.7000000000007</v>
      </c>
      <c r="C130" s="138">
        <f t="shared" si="2"/>
        <v>-4.7877398064768428E-3</v>
      </c>
      <c r="D130" s="138">
        <f t="shared" si="3"/>
        <v>0.99521226019352316</v>
      </c>
    </row>
    <row r="131" spans="1:4" x14ac:dyDescent="0.2">
      <c r="A131" s="137">
        <v>42794</v>
      </c>
      <c r="B131" s="136">
        <v>8879.6</v>
      </c>
      <c r="C131" s="138">
        <f t="shared" ref="C131:C194" si="4">B131/B130-1</f>
        <v>-1.9220609889060158E-3</v>
      </c>
      <c r="D131" s="138">
        <f t="shared" ref="D131:D194" si="5">1+C131</f>
        <v>0.99807793901109398</v>
      </c>
    </row>
    <row r="132" spans="1:4" x14ac:dyDescent="0.2">
      <c r="A132" s="137">
        <v>42795</v>
      </c>
      <c r="B132" s="136">
        <v>8945.7999999999993</v>
      </c>
      <c r="C132" s="138">
        <f t="shared" si="4"/>
        <v>7.4552907788638656E-3</v>
      </c>
      <c r="D132" s="138">
        <f t="shared" si="5"/>
        <v>1.0074552907788639</v>
      </c>
    </row>
    <row r="133" spans="1:4" x14ac:dyDescent="0.2">
      <c r="A133" s="137">
        <v>42796</v>
      </c>
      <c r="B133" s="136">
        <v>8899.75</v>
      </c>
      <c r="C133" s="138">
        <f t="shared" si="4"/>
        <v>-5.1476670616378284E-3</v>
      </c>
      <c r="D133" s="138">
        <f t="shared" si="5"/>
        <v>0.99485233293836217</v>
      </c>
    </row>
    <row r="134" spans="1:4" x14ac:dyDescent="0.2">
      <c r="A134" s="137">
        <v>42797</v>
      </c>
      <c r="B134" s="136">
        <v>8897.5499999999993</v>
      </c>
      <c r="C134" s="138">
        <f t="shared" si="4"/>
        <v>-2.4719795499883457E-4</v>
      </c>
      <c r="D134" s="138">
        <f t="shared" si="5"/>
        <v>0.99975280204500117</v>
      </c>
    </row>
    <row r="135" spans="1:4" x14ac:dyDescent="0.2">
      <c r="A135" s="137">
        <v>42800</v>
      </c>
      <c r="B135" s="136">
        <v>8963.4500000000007</v>
      </c>
      <c r="C135" s="138">
        <f t="shared" si="4"/>
        <v>7.4065332591557453E-3</v>
      </c>
      <c r="D135" s="138">
        <f t="shared" si="5"/>
        <v>1.0074065332591557</v>
      </c>
    </row>
    <row r="136" spans="1:4" x14ac:dyDescent="0.2">
      <c r="A136" s="137">
        <v>42801</v>
      </c>
      <c r="B136" s="136">
        <v>8946.9</v>
      </c>
      <c r="C136" s="138">
        <f t="shared" si="4"/>
        <v>-1.8463872727577657E-3</v>
      </c>
      <c r="D136" s="138">
        <f t="shared" si="5"/>
        <v>0.99815361272724223</v>
      </c>
    </row>
    <row r="137" spans="1:4" x14ac:dyDescent="0.2">
      <c r="A137" s="137">
        <v>42802</v>
      </c>
      <c r="B137" s="136">
        <v>8924.2999999999993</v>
      </c>
      <c r="C137" s="138">
        <f t="shared" si="4"/>
        <v>-2.5260145972347825E-3</v>
      </c>
      <c r="D137" s="138">
        <f t="shared" si="5"/>
        <v>0.99747398540276522</v>
      </c>
    </row>
    <row r="138" spans="1:4" x14ac:dyDescent="0.2">
      <c r="A138" s="137">
        <v>42803</v>
      </c>
      <c r="B138" s="136">
        <v>8927</v>
      </c>
      <c r="C138" s="138">
        <f t="shared" si="4"/>
        <v>3.0254473740254362E-4</v>
      </c>
      <c r="D138" s="138">
        <f t="shared" si="5"/>
        <v>1.0003025447374025</v>
      </c>
    </row>
    <row r="139" spans="1:4" x14ac:dyDescent="0.2">
      <c r="A139" s="137">
        <v>42804</v>
      </c>
      <c r="B139" s="136">
        <v>8934.5499999999993</v>
      </c>
      <c r="C139" s="138">
        <f t="shared" si="4"/>
        <v>8.457488517978895E-4</v>
      </c>
      <c r="D139" s="138">
        <f t="shared" si="5"/>
        <v>1.0008457488517979</v>
      </c>
    </row>
    <row r="140" spans="1:4" x14ac:dyDescent="0.2">
      <c r="A140" s="137">
        <v>42808</v>
      </c>
      <c r="B140" s="136">
        <v>9087</v>
      </c>
      <c r="C140" s="138">
        <f t="shared" si="4"/>
        <v>1.7062974632186423E-2</v>
      </c>
      <c r="D140" s="138">
        <f t="shared" si="5"/>
        <v>1.0170629746321864</v>
      </c>
    </row>
    <row r="141" spans="1:4" x14ac:dyDescent="0.2">
      <c r="A141" s="137">
        <v>42809</v>
      </c>
      <c r="B141" s="136">
        <v>9084.7999999999993</v>
      </c>
      <c r="C141" s="138">
        <f t="shared" si="4"/>
        <v>-2.4210410476510624E-4</v>
      </c>
      <c r="D141" s="138">
        <f t="shared" si="5"/>
        <v>0.99975789589523489</v>
      </c>
    </row>
    <row r="142" spans="1:4" x14ac:dyDescent="0.2">
      <c r="A142" s="137">
        <v>42810</v>
      </c>
      <c r="B142" s="136">
        <v>9153.7000000000007</v>
      </c>
      <c r="C142" s="138">
        <f t="shared" si="4"/>
        <v>7.5840965128568527E-3</v>
      </c>
      <c r="D142" s="138">
        <f t="shared" si="5"/>
        <v>1.0075840965128569</v>
      </c>
    </row>
    <row r="143" spans="1:4" x14ac:dyDescent="0.2">
      <c r="A143" s="137">
        <v>42811</v>
      </c>
      <c r="B143" s="136">
        <v>9160.0499999999993</v>
      </c>
      <c r="C143" s="138">
        <f t="shared" si="4"/>
        <v>6.9370855501027506E-4</v>
      </c>
      <c r="D143" s="138">
        <f t="shared" si="5"/>
        <v>1.0006937085550103</v>
      </c>
    </row>
    <row r="144" spans="1:4" x14ac:dyDescent="0.2">
      <c r="A144" s="137">
        <v>42814</v>
      </c>
      <c r="B144" s="136">
        <v>9126.85</v>
      </c>
      <c r="C144" s="138">
        <f t="shared" si="4"/>
        <v>-3.6244343644411536E-3</v>
      </c>
      <c r="D144" s="138">
        <f t="shared" si="5"/>
        <v>0.99637556563555885</v>
      </c>
    </row>
    <row r="145" spans="1:4" x14ac:dyDescent="0.2">
      <c r="A145" s="137">
        <v>42815</v>
      </c>
      <c r="B145" s="136">
        <v>9121.5</v>
      </c>
      <c r="C145" s="138">
        <f t="shared" si="4"/>
        <v>-5.861825273780763E-4</v>
      </c>
      <c r="D145" s="138">
        <f t="shared" si="5"/>
        <v>0.99941381747262192</v>
      </c>
    </row>
    <row r="146" spans="1:4" x14ac:dyDescent="0.2">
      <c r="A146" s="137">
        <v>42816</v>
      </c>
      <c r="B146" s="136">
        <v>9030.4500000000007</v>
      </c>
      <c r="C146" s="138">
        <f t="shared" si="4"/>
        <v>-9.9819108699226167E-3</v>
      </c>
      <c r="D146" s="138">
        <f t="shared" si="5"/>
        <v>0.99001808913007738</v>
      </c>
    </row>
    <row r="147" spans="1:4" x14ac:dyDescent="0.2">
      <c r="A147" s="137">
        <v>42817</v>
      </c>
      <c r="B147" s="136">
        <v>9086.2999999999993</v>
      </c>
      <c r="C147" s="138">
        <f t="shared" si="4"/>
        <v>6.1846308877187006E-3</v>
      </c>
      <c r="D147" s="138">
        <f t="shared" si="5"/>
        <v>1.0061846308877187</v>
      </c>
    </row>
    <row r="148" spans="1:4" x14ac:dyDescent="0.2">
      <c r="A148" s="137">
        <v>42818</v>
      </c>
      <c r="B148" s="136">
        <v>9108</v>
      </c>
      <c r="C148" s="138">
        <f t="shared" si="4"/>
        <v>2.3882108228872045E-3</v>
      </c>
      <c r="D148" s="138">
        <f t="shared" si="5"/>
        <v>1.0023882108228872</v>
      </c>
    </row>
    <row r="149" spans="1:4" x14ac:dyDescent="0.2">
      <c r="A149" s="137">
        <v>42821</v>
      </c>
      <c r="B149" s="136">
        <v>9045.2000000000007</v>
      </c>
      <c r="C149" s="138">
        <f t="shared" si="4"/>
        <v>-6.8950373298198864E-3</v>
      </c>
      <c r="D149" s="138">
        <f t="shared" si="5"/>
        <v>0.99310496267018011</v>
      </c>
    </row>
    <row r="150" spans="1:4" x14ac:dyDescent="0.2">
      <c r="A150" s="137">
        <v>42822</v>
      </c>
      <c r="B150" s="136">
        <v>9100.7999999999993</v>
      </c>
      <c r="C150" s="138">
        <f t="shared" si="4"/>
        <v>6.1469066466190991E-3</v>
      </c>
      <c r="D150" s="138">
        <f t="shared" si="5"/>
        <v>1.0061469066466191</v>
      </c>
    </row>
    <row r="151" spans="1:4" x14ac:dyDescent="0.2">
      <c r="A151" s="137">
        <v>42823</v>
      </c>
      <c r="B151" s="136">
        <v>9143.7999999999993</v>
      </c>
      <c r="C151" s="138">
        <f t="shared" si="4"/>
        <v>4.7248593530238026E-3</v>
      </c>
      <c r="D151" s="138">
        <f t="shared" si="5"/>
        <v>1.0047248593530238</v>
      </c>
    </row>
    <row r="152" spans="1:4" x14ac:dyDescent="0.2">
      <c r="A152" s="137">
        <v>42824</v>
      </c>
      <c r="B152" s="136">
        <v>9173.75</v>
      </c>
      <c r="C152" s="138">
        <f t="shared" si="4"/>
        <v>3.2754434698922807E-3</v>
      </c>
      <c r="D152" s="138">
        <f t="shared" si="5"/>
        <v>1.0032754434698923</v>
      </c>
    </row>
    <row r="153" spans="1:4" x14ac:dyDescent="0.2">
      <c r="A153" s="137">
        <v>42825</v>
      </c>
      <c r="B153" s="136">
        <v>9173.75</v>
      </c>
      <c r="C153" s="138">
        <f t="shared" si="4"/>
        <v>0</v>
      </c>
      <c r="D153" s="138">
        <f t="shared" si="5"/>
        <v>1</v>
      </c>
    </row>
    <row r="154" spans="1:4" x14ac:dyDescent="0.2">
      <c r="A154" s="137">
        <v>42828</v>
      </c>
      <c r="B154" s="136">
        <v>9237.85</v>
      </c>
      <c r="C154" s="138">
        <f t="shared" si="4"/>
        <v>6.9873279738383864E-3</v>
      </c>
      <c r="D154" s="138">
        <f t="shared" si="5"/>
        <v>1.0069873279738384</v>
      </c>
    </row>
    <row r="155" spans="1:4" x14ac:dyDescent="0.2">
      <c r="A155" s="137">
        <v>42830</v>
      </c>
      <c r="B155" s="136">
        <v>9265.15</v>
      </c>
      <c r="C155" s="138">
        <f t="shared" si="4"/>
        <v>2.9552330899504931E-3</v>
      </c>
      <c r="D155" s="138">
        <f t="shared" si="5"/>
        <v>1.0029552330899505</v>
      </c>
    </row>
    <row r="156" spans="1:4" x14ac:dyDescent="0.2">
      <c r="A156" s="137">
        <v>42831</v>
      </c>
      <c r="B156" s="136">
        <v>9261.9500000000007</v>
      </c>
      <c r="C156" s="138">
        <f t="shared" si="4"/>
        <v>-3.453802690727148E-4</v>
      </c>
      <c r="D156" s="138">
        <f t="shared" si="5"/>
        <v>0.99965461973092729</v>
      </c>
    </row>
    <row r="157" spans="1:4" x14ac:dyDescent="0.2">
      <c r="A157" s="137">
        <v>42832</v>
      </c>
      <c r="B157" s="136">
        <v>9198.2999999999993</v>
      </c>
      <c r="C157" s="138">
        <f t="shared" si="4"/>
        <v>-6.8722029378264216E-3</v>
      </c>
      <c r="D157" s="138">
        <f t="shared" si="5"/>
        <v>0.99312779706217358</v>
      </c>
    </row>
    <row r="158" spans="1:4" x14ac:dyDescent="0.2">
      <c r="A158" s="137">
        <v>42835</v>
      </c>
      <c r="B158" s="136">
        <v>9181.4500000000007</v>
      </c>
      <c r="C158" s="138">
        <f t="shared" si="4"/>
        <v>-1.8318602350432256E-3</v>
      </c>
      <c r="D158" s="138">
        <f t="shared" si="5"/>
        <v>0.99816813976495677</v>
      </c>
    </row>
    <row r="159" spans="1:4" x14ac:dyDescent="0.2">
      <c r="A159" s="137">
        <v>42836</v>
      </c>
      <c r="B159" s="136">
        <v>9237</v>
      </c>
      <c r="C159" s="138">
        <f t="shared" si="4"/>
        <v>6.0502426087380989E-3</v>
      </c>
      <c r="D159" s="138">
        <f t="shared" si="5"/>
        <v>1.0060502426087381</v>
      </c>
    </row>
    <row r="160" spans="1:4" x14ac:dyDescent="0.2">
      <c r="A160" s="137">
        <v>42837</v>
      </c>
      <c r="B160" s="136">
        <v>9203.4500000000007</v>
      </c>
      <c r="C160" s="138">
        <f t="shared" si="4"/>
        <v>-3.6321316444731799E-3</v>
      </c>
      <c r="D160" s="138">
        <f t="shared" si="5"/>
        <v>0.99636786835552682</v>
      </c>
    </row>
    <row r="161" spans="1:4" x14ac:dyDescent="0.2">
      <c r="A161" s="137">
        <v>42838</v>
      </c>
      <c r="B161" s="136">
        <v>9150.7999999999993</v>
      </c>
      <c r="C161" s="138">
        <f t="shared" si="4"/>
        <v>-5.7206808316447866E-3</v>
      </c>
      <c r="D161" s="138">
        <f t="shared" si="5"/>
        <v>0.99427931916835521</v>
      </c>
    </row>
    <row r="162" spans="1:4" x14ac:dyDescent="0.2">
      <c r="A162" s="137">
        <v>42842</v>
      </c>
      <c r="B162" s="136">
        <v>9139.2999999999993</v>
      </c>
      <c r="C162" s="138">
        <f t="shared" si="4"/>
        <v>-1.2567207238711742E-3</v>
      </c>
      <c r="D162" s="138">
        <f t="shared" si="5"/>
        <v>0.99874327927612883</v>
      </c>
    </row>
    <row r="163" spans="1:4" x14ac:dyDescent="0.2">
      <c r="A163" s="137">
        <v>42843</v>
      </c>
      <c r="B163" s="136">
        <v>9105.15</v>
      </c>
      <c r="C163" s="138">
        <f t="shared" si="4"/>
        <v>-3.7366100248377165E-3</v>
      </c>
      <c r="D163" s="138">
        <f t="shared" si="5"/>
        <v>0.99626338997516228</v>
      </c>
    </row>
    <row r="164" spans="1:4" x14ac:dyDescent="0.2">
      <c r="A164" s="137">
        <v>42844</v>
      </c>
      <c r="B164" s="136">
        <v>9103.5</v>
      </c>
      <c r="C164" s="138">
        <f t="shared" si="4"/>
        <v>-1.812161249402644E-4</v>
      </c>
      <c r="D164" s="138">
        <f t="shared" si="5"/>
        <v>0.99981878387505974</v>
      </c>
    </row>
    <row r="165" spans="1:4" x14ac:dyDescent="0.2">
      <c r="A165" s="137">
        <v>42845</v>
      </c>
      <c r="B165" s="136">
        <v>9136.4</v>
      </c>
      <c r="C165" s="138">
        <f t="shared" si="4"/>
        <v>3.6139946174547077E-3</v>
      </c>
      <c r="D165" s="138">
        <f t="shared" si="5"/>
        <v>1.0036139946174547</v>
      </c>
    </row>
    <row r="166" spans="1:4" x14ac:dyDescent="0.2">
      <c r="A166" s="137">
        <v>42846</v>
      </c>
      <c r="B166" s="136">
        <v>9119.4</v>
      </c>
      <c r="C166" s="138">
        <f t="shared" si="4"/>
        <v>-1.8606891116851321E-3</v>
      </c>
      <c r="D166" s="138">
        <f t="shared" si="5"/>
        <v>0.99813931088831487</v>
      </c>
    </row>
    <row r="167" spans="1:4" x14ac:dyDescent="0.2">
      <c r="A167" s="137">
        <v>42849</v>
      </c>
      <c r="B167" s="136">
        <v>9217.9500000000007</v>
      </c>
      <c r="C167" s="138">
        <f t="shared" si="4"/>
        <v>1.0806632015264217E-2</v>
      </c>
      <c r="D167" s="138">
        <f t="shared" si="5"/>
        <v>1.0108066320152642</v>
      </c>
    </row>
    <row r="168" spans="1:4" x14ac:dyDescent="0.2">
      <c r="A168" s="137">
        <v>42850</v>
      </c>
      <c r="B168" s="136">
        <v>9306.6</v>
      </c>
      <c r="C168" s="138">
        <f t="shared" si="4"/>
        <v>9.6171057556180273E-3</v>
      </c>
      <c r="D168" s="138">
        <f t="shared" si="5"/>
        <v>1.009617105755618</v>
      </c>
    </row>
    <row r="169" spans="1:4" x14ac:dyDescent="0.2">
      <c r="A169" s="137">
        <v>42851</v>
      </c>
      <c r="B169" s="136">
        <v>9351.85</v>
      </c>
      <c r="C169" s="138">
        <f t="shared" si="4"/>
        <v>4.8621408462812266E-3</v>
      </c>
      <c r="D169" s="138">
        <f t="shared" si="5"/>
        <v>1.0048621408462812</v>
      </c>
    </row>
    <row r="170" spans="1:4" x14ac:dyDescent="0.2">
      <c r="A170" s="137">
        <v>42852</v>
      </c>
      <c r="B170" s="136">
        <v>9342.15</v>
      </c>
      <c r="C170" s="138">
        <f t="shared" si="4"/>
        <v>-1.0372279281640751E-3</v>
      </c>
      <c r="D170" s="138">
        <f t="shared" si="5"/>
        <v>0.99896277207183592</v>
      </c>
    </row>
    <row r="171" spans="1:4" x14ac:dyDescent="0.2">
      <c r="A171" s="137">
        <v>42853</v>
      </c>
      <c r="B171" s="136">
        <v>9304.0499999999993</v>
      </c>
      <c r="C171" s="138">
        <f t="shared" si="4"/>
        <v>-4.0782903293139494E-3</v>
      </c>
      <c r="D171" s="138">
        <f t="shared" si="5"/>
        <v>0.99592170967068605</v>
      </c>
    </row>
    <row r="172" spans="1:4" x14ac:dyDescent="0.2">
      <c r="A172" s="137">
        <v>42857</v>
      </c>
      <c r="B172" s="136">
        <v>9313.7999999999993</v>
      </c>
      <c r="C172" s="138">
        <f t="shared" si="4"/>
        <v>1.0479307398389981E-3</v>
      </c>
      <c r="D172" s="138">
        <f t="shared" si="5"/>
        <v>1.001047930739839</v>
      </c>
    </row>
    <row r="173" spans="1:4" x14ac:dyDescent="0.2">
      <c r="A173" s="137">
        <v>42858</v>
      </c>
      <c r="B173" s="136">
        <v>9311.9500000000007</v>
      </c>
      <c r="C173" s="138">
        <f t="shared" si="4"/>
        <v>-1.9862998990727299E-4</v>
      </c>
      <c r="D173" s="138">
        <f t="shared" si="5"/>
        <v>0.99980137001009273</v>
      </c>
    </row>
    <row r="174" spans="1:4" x14ac:dyDescent="0.2">
      <c r="A174" s="137">
        <v>42859</v>
      </c>
      <c r="B174" s="136">
        <v>9359.9</v>
      </c>
      <c r="C174" s="138">
        <f t="shared" si="4"/>
        <v>5.1492974081690512E-3</v>
      </c>
      <c r="D174" s="138">
        <f t="shared" si="5"/>
        <v>1.0051492974081691</v>
      </c>
    </row>
    <row r="175" spans="1:4" x14ac:dyDescent="0.2">
      <c r="A175" s="137">
        <v>42860</v>
      </c>
      <c r="B175" s="136">
        <v>9285.2999999999993</v>
      </c>
      <c r="C175" s="138">
        <f t="shared" si="4"/>
        <v>-7.9701706214810875E-3</v>
      </c>
      <c r="D175" s="138">
        <f t="shared" si="5"/>
        <v>0.99202982937851891</v>
      </c>
    </row>
    <row r="176" spans="1:4" x14ac:dyDescent="0.2">
      <c r="A176" s="137">
        <v>42863</v>
      </c>
      <c r="B176" s="136">
        <v>9314.0499999999993</v>
      </c>
      <c r="C176" s="138">
        <f t="shared" si="4"/>
        <v>3.0962919884118811E-3</v>
      </c>
      <c r="D176" s="138">
        <f t="shared" si="5"/>
        <v>1.0030962919884119</v>
      </c>
    </row>
    <row r="177" spans="1:4" x14ac:dyDescent="0.2">
      <c r="A177" s="137">
        <v>42864</v>
      </c>
      <c r="B177" s="136">
        <v>9316.85</v>
      </c>
      <c r="C177" s="138">
        <f t="shared" si="4"/>
        <v>3.0062110467521386E-4</v>
      </c>
      <c r="D177" s="138">
        <f t="shared" si="5"/>
        <v>1.0003006211046752</v>
      </c>
    </row>
    <row r="178" spans="1:4" x14ac:dyDescent="0.2">
      <c r="A178" s="137">
        <v>42865</v>
      </c>
      <c r="B178" s="136">
        <v>9407.2999999999993</v>
      </c>
      <c r="C178" s="138">
        <f t="shared" si="4"/>
        <v>9.708216832942318E-3</v>
      </c>
      <c r="D178" s="138">
        <f t="shared" si="5"/>
        <v>1.0097082168329423</v>
      </c>
    </row>
    <row r="179" spans="1:4" x14ac:dyDescent="0.2">
      <c r="A179" s="137">
        <v>42866</v>
      </c>
      <c r="B179" s="136">
        <v>9422.4</v>
      </c>
      <c r="C179" s="138">
        <f t="shared" si="4"/>
        <v>1.6051364365972098E-3</v>
      </c>
      <c r="D179" s="138">
        <f t="shared" si="5"/>
        <v>1.0016051364365972</v>
      </c>
    </row>
    <row r="180" spans="1:4" x14ac:dyDescent="0.2">
      <c r="A180" s="137">
        <v>42867</v>
      </c>
      <c r="B180" s="136">
        <v>9400.9</v>
      </c>
      <c r="C180" s="138">
        <f t="shared" si="4"/>
        <v>-2.2817965698760379E-3</v>
      </c>
      <c r="D180" s="138">
        <f t="shared" si="5"/>
        <v>0.99771820343012396</v>
      </c>
    </row>
    <row r="181" spans="1:4" x14ac:dyDescent="0.2">
      <c r="A181" s="137">
        <v>42870</v>
      </c>
      <c r="B181" s="136">
        <v>9445.4</v>
      </c>
      <c r="C181" s="138">
        <f t="shared" si="4"/>
        <v>4.7335893371911464E-3</v>
      </c>
      <c r="D181" s="138">
        <f t="shared" si="5"/>
        <v>1.0047335893371911</v>
      </c>
    </row>
    <row r="182" spans="1:4" x14ac:dyDescent="0.2">
      <c r="A182" s="137">
        <v>42871</v>
      </c>
      <c r="B182" s="136">
        <v>9512.25</v>
      </c>
      <c r="C182" s="138">
        <f t="shared" si="4"/>
        <v>7.0775192157028766E-3</v>
      </c>
      <c r="D182" s="138">
        <f t="shared" si="5"/>
        <v>1.0070775192157029</v>
      </c>
    </row>
    <row r="183" spans="1:4" x14ac:dyDescent="0.2">
      <c r="A183" s="137">
        <v>42872</v>
      </c>
      <c r="B183" s="136">
        <v>9525.75</v>
      </c>
      <c r="C183" s="138">
        <f t="shared" si="4"/>
        <v>1.4192225814082526E-3</v>
      </c>
      <c r="D183" s="138">
        <f t="shared" si="5"/>
        <v>1.0014192225814083</v>
      </c>
    </row>
    <row r="184" spans="1:4" x14ac:dyDescent="0.2">
      <c r="A184" s="137">
        <v>42873</v>
      </c>
      <c r="B184" s="136">
        <v>9429.4500000000007</v>
      </c>
      <c r="C184" s="138">
        <f t="shared" si="4"/>
        <v>-1.0109440201558906E-2</v>
      </c>
      <c r="D184" s="138">
        <f t="shared" si="5"/>
        <v>0.98989055979844109</v>
      </c>
    </row>
    <row r="185" spans="1:4" x14ac:dyDescent="0.2">
      <c r="A185" s="137">
        <v>42874</v>
      </c>
      <c r="B185" s="136">
        <v>9427.9</v>
      </c>
      <c r="C185" s="138">
        <f t="shared" si="4"/>
        <v>-1.643786222951249E-4</v>
      </c>
      <c r="D185" s="138">
        <f t="shared" si="5"/>
        <v>0.99983562137770488</v>
      </c>
    </row>
    <row r="186" spans="1:4" x14ac:dyDescent="0.2">
      <c r="A186" s="137">
        <v>42877</v>
      </c>
      <c r="B186" s="136">
        <v>9438.25</v>
      </c>
      <c r="C186" s="138">
        <f t="shared" si="4"/>
        <v>1.0978054497821077E-3</v>
      </c>
      <c r="D186" s="138">
        <f t="shared" si="5"/>
        <v>1.0010978054497821</v>
      </c>
    </row>
    <row r="187" spans="1:4" x14ac:dyDescent="0.2">
      <c r="A187" s="137">
        <v>42878</v>
      </c>
      <c r="B187" s="136">
        <v>9386.15</v>
      </c>
      <c r="C187" s="138">
        <f t="shared" si="4"/>
        <v>-5.5200911185866453E-3</v>
      </c>
      <c r="D187" s="138">
        <f t="shared" si="5"/>
        <v>0.99447990888141335</v>
      </c>
    </row>
    <row r="188" spans="1:4" x14ac:dyDescent="0.2">
      <c r="A188" s="137">
        <v>42879</v>
      </c>
      <c r="B188" s="136">
        <v>9360.5499999999993</v>
      </c>
      <c r="C188" s="138">
        <f t="shared" si="4"/>
        <v>-2.7274228517549792E-3</v>
      </c>
      <c r="D188" s="138">
        <f t="shared" si="5"/>
        <v>0.99727257714824502</v>
      </c>
    </row>
    <row r="189" spans="1:4" x14ac:dyDescent="0.2">
      <c r="A189" s="137">
        <v>42880</v>
      </c>
      <c r="B189" s="136">
        <v>9509.75</v>
      </c>
      <c r="C189" s="138">
        <f t="shared" si="4"/>
        <v>1.5939234339862551E-2</v>
      </c>
      <c r="D189" s="138">
        <f t="shared" si="5"/>
        <v>1.0159392343398626</v>
      </c>
    </row>
    <row r="190" spans="1:4" x14ac:dyDescent="0.2">
      <c r="A190" s="137">
        <v>42881</v>
      </c>
      <c r="B190" s="136">
        <v>9595.1</v>
      </c>
      <c r="C190" s="138">
        <f t="shared" si="4"/>
        <v>8.9749993427798991E-3</v>
      </c>
      <c r="D190" s="138">
        <f t="shared" si="5"/>
        <v>1.0089749993427799</v>
      </c>
    </row>
    <row r="191" spans="1:4" x14ac:dyDescent="0.2">
      <c r="A191" s="137">
        <v>42884</v>
      </c>
      <c r="B191" s="136">
        <v>9604.9</v>
      </c>
      <c r="C191" s="138">
        <f t="shared" si="4"/>
        <v>1.0213546497690462E-3</v>
      </c>
      <c r="D191" s="138">
        <f t="shared" si="5"/>
        <v>1.001021354649769</v>
      </c>
    </row>
    <row r="192" spans="1:4" x14ac:dyDescent="0.2">
      <c r="A192" s="137">
        <v>42885</v>
      </c>
      <c r="B192" s="136">
        <v>9624.5499999999993</v>
      </c>
      <c r="C192" s="138">
        <f t="shared" si="4"/>
        <v>2.0458307738757675E-3</v>
      </c>
      <c r="D192" s="138">
        <f t="shared" si="5"/>
        <v>1.0020458307738758</v>
      </c>
    </row>
    <row r="193" spans="1:4" x14ac:dyDescent="0.2">
      <c r="A193" s="137">
        <v>42886</v>
      </c>
      <c r="B193" s="136">
        <v>9621.25</v>
      </c>
      <c r="C193" s="138">
        <f t="shared" si="4"/>
        <v>-3.428731732911805E-4</v>
      </c>
      <c r="D193" s="138">
        <f t="shared" si="5"/>
        <v>0.99965712682670882</v>
      </c>
    </row>
    <row r="194" spans="1:4" x14ac:dyDescent="0.2">
      <c r="A194" s="137">
        <v>42887</v>
      </c>
      <c r="B194" s="136">
        <v>9616.1</v>
      </c>
      <c r="C194" s="138">
        <f t="shared" si="4"/>
        <v>-5.3527348317528034E-4</v>
      </c>
      <c r="D194" s="138">
        <f t="shared" si="5"/>
        <v>0.99946472651682472</v>
      </c>
    </row>
    <row r="195" spans="1:4" x14ac:dyDescent="0.2">
      <c r="A195" s="137">
        <v>42888</v>
      </c>
      <c r="B195" s="136">
        <v>9653.5</v>
      </c>
      <c r="C195" s="138">
        <f t="shared" ref="C195:C258" si="6">B195/B194-1</f>
        <v>3.8893106352886342E-3</v>
      </c>
      <c r="D195" s="138">
        <f t="shared" ref="D195:D258" si="7">1+C195</f>
        <v>1.0038893106352886</v>
      </c>
    </row>
    <row r="196" spans="1:4" x14ac:dyDescent="0.2">
      <c r="A196" s="137">
        <v>42891</v>
      </c>
      <c r="B196" s="136">
        <v>9675.1</v>
      </c>
      <c r="C196" s="138">
        <f t="shared" si="6"/>
        <v>2.2375304293780207E-3</v>
      </c>
      <c r="D196" s="138">
        <f t="shared" si="7"/>
        <v>1.002237530429378</v>
      </c>
    </row>
    <row r="197" spans="1:4" x14ac:dyDescent="0.2">
      <c r="A197" s="137">
        <v>42892</v>
      </c>
      <c r="B197" s="136">
        <v>9637.15</v>
      </c>
      <c r="C197" s="138">
        <f t="shared" si="6"/>
        <v>-3.9224400781388002E-3</v>
      </c>
      <c r="D197" s="138">
        <f t="shared" si="7"/>
        <v>0.9960775599218612</v>
      </c>
    </row>
    <row r="198" spans="1:4" x14ac:dyDescent="0.2">
      <c r="A198" s="137">
        <v>42893</v>
      </c>
      <c r="B198" s="136">
        <v>9663.9</v>
      </c>
      <c r="C198" s="138">
        <f t="shared" si="6"/>
        <v>2.7757168872539761E-3</v>
      </c>
      <c r="D198" s="138">
        <f t="shared" si="7"/>
        <v>1.002775716887254</v>
      </c>
    </row>
    <row r="199" spans="1:4" x14ac:dyDescent="0.2">
      <c r="A199" s="137">
        <v>42894</v>
      </c>
      <c r="B199" s="136">
        <v>9647.25</v>
      </c>
      <c r="C199" s="138">
        <f t="shared" si="6"/>
        <v>-1.7229069009405684E-3</v>
      </c>
      <c r="D199" s="138">
        <f t="shared" si="7"/>
        <v>0.99827709309905943</v>
      </c>
    </row>
    <row r="200" spans="1:4" x14ac:dyDescent="0.2">
      <c r="A200" s="137">
        <v>42895</v>
      </c>
      <c r="B200" s="136">
        <v>9668.25</v>
      </c>
      <c r="C200" s="138">
        <f t="shared" si="6"/>
        <v>2.1767861307626646E-3</v>
      </c>
      <c r="D200" s="138">
        <f t="shared" si="7"/>
        <v>1.0021767861307627</v>
      </c>
    </row>
    <row r="201" spans="1:4" x14ac:dyDescent="0.2">
      <c r="A201" s="137">
        <v>42898</v>
      </c>
      <c r="B201" s="136">
        <v>9616.4</v>
      </c>
      <c r="C201" s="138">
        <f t="shared" si="6"/>
        <v>-5.3629146950069373E-3</v>
      </c>
      <c r="D201" s="138">
        <f t="shared" si="7"/>
        <v>0.99463708530499306</v>
      </c>
    </row>
    <row r="202" spans="1:4" x14ac:dyDescent="0.2">
      <c r="A202" s="137">
        <v>42899</v>
      </c>
      <c r="B202" s="136">
        <v>9606.9</v>
      </c>
      <c r="C202" s="138">
        <f t="shared" si="6"/>
        <v>-9.8789567821633284E-4</v>
      </c>
      <c r="D202" s="138">
        <f t="shared" si="7"/>
        <v>0.99901210432178367</v>
      </c>
    </row>
    <row r="203" spans="1:4" x14ac:dyDescent="0.2">
      <c r="A203" s="137">
        <v>42900</v>
      </c>
      <c r="B203" s="136">
        <v>9618.15</v>
      </c>
      <c r="C203" s="138">
        <f t="shared" si="6"/>
        <v>1.1710333198013956E-3</v>
      </c>
      <c r="D203" s="138">
        <f t="shared" si="7"/>
        <v>1.0011710333198014</v>
      </c>
    </row>
    <row r="204" spans="1:4" x14ac:dyDescent="0.2">
      <c r="A204" s="137">
        <v>42901</v>
      </c>
      <c r="B204" s="136">
        <v>9578.0499999999993</v>
      </c>
      <c r="C204" s="138">
        <f t="shared" si="6"/>
        <v>-4.1692009378103689E-3</v>
      </c>
      <c r="D204" s="138">
        <f t="shared" si="7"/>
        <v>0.99583079906218963</v>
      </c>
    </row>
    <row r="205" spans="1:4" x14ac:dyDescent="0.2">
      <c r="A205" s="137">
        <v>42902</v>
      </c>
      <c r="B205" s="136">
        <v>9588.0499999999993</v>
      </c>
      <c r="C205" s="138">
        <f t="shared" si="6"/>
        <v>1.0440538522977771E-3</v>
      </c>
      <c r="D205" s="138">
        <f t="shared" si="7"/>
        <v>1.0010440538522978</v>
      </c>
    </row>
    <row r="206" spans="1:4" x14ac:dyDescent="0.2">
      <c r="A206" s="137">
        <v>42905</v>
      </c>
      <c r="B206" s="136">
        <v>9657.5499999999993</v>
      </c>
      <c r="C206" s="138">
        <f t="shared" si="6"/>
        <v>7.2486063380978738E-3</v>
      </c>
      <c r="D206" s="138">
        <f t="shared" si="7"/>
        <v>1.0072486063380979</v>
      </c>
    </row>
    <row r="207" spans="1:4" x14ac:dyDescent="0.2">
      <c r="A207" s="137">
        <v>42906</v>
      </c>
      <c r="B207" s="136">
        <v>9653.5</v>
      </c>
      <c r="C207" s="138">
        <f t="shared" si="6"/>
        <v>-4.1936101806350212E-4</v>
      </c>
      <c r="D207" s="138">
        <f t="shared" si="7"/>
        <v>0.9995806389819365</v>
      </c>
    </row>
    <row r="208" spans="1:4" x14ac:dyDescent="0.2">
      <c r="A208" s="137">
        <v>42907</v>
      </c>
      <c r="B208" s="136">
        <v>9633.6</v>
      </c>
      <c r="C208" s="138">
        <f t="shared" si="6"/>
        <v>-2.0614284974361796E-3</v>
      </c>
      <c r="D208" s="138">
        <f t="shared" si="7"/>
        <v>0.99793857150256382</v>
      </c>
    </row>
    <row r="209" spans="1:4" x14ac:dyDescent="0.2">
      <c r="A209" s="137">
        <v>42908</v>
      </c>
      <c r="B209" s="136">
        <v>9630</v>
      </c>
      <c r="C209" s="138">
        <f t="shared" si="6"/>
        <v>-3.7369207772797175E-4</v>
      </c>
      <c r="D209" s="138">
        <f t="shared" si="7"/>
        <v>0.99962630792227203</v>
      </c>
    </row>
    <row r="210" spans="1:4" x14ac:dyDescent="0.2">
      <c r="A210" s="137">
        <v>42909</v>
      </c>
      <c r="B210" s="136">
        <v>9574.9500000000007</v>
      </c>
      <c r="C210" s="138">
        <f t="shared" si="6"/>
        <v>-5.7165109034267303E-3</v>
      </c>
      <c r="D210" s="138">
        <f t="shared" si="7"/>
        <v>0.99428348909657327</v>
      </c>
    </row>
    <row r="211" spans="1:4" x14ac:dyDescent="0.2">
      <c r="A211" s="137">
        <v>42913</v>
      </c>
      <c r="B211" s="136">
        <v>9511.4</v>
      </c>
      <c r="C211" s="138">
        <f t="shared" si="6"/>
        <v>-6.6371103765555661E-3</v>
      </c>
      <c r="D211" s="138">
        <f t="shared" si="7"/>
        <v>0.99336288962344443</v>
      </c>
    </row>
    <row r="212" spans="1:4" x14ac:dyDescent="0.2">
      <c r="A212" s="137">
        <v>42914</v>
      </c>
      <c r="B212" s="136">
        <v>9491.25</v>
      </c>
      <c r="C212" s="138">
        <f t="shared" si="6"/>
        <v>-2.1185104190760695E-3</v>
      </c>
      <c r="D212" s="138">
        <f t="shared" si="7"/>
        <v>0.99788148958092393</v>
      </c>
    </row>
    <row r="213" spans="1:4" x14ac:dyDescent="0.2">
      <c r="A213" s="137">
        <v>42915</v>
      </c>
      <c r="B213" s="136">
        <v>9504.1</v>
      </c>
      <c r="C213" s="138">
        <f t="shared" si="6"/>
        <v>1.3538785723692381E-3</v>
      </c>
      <c r="D213" s="138">
        <f t="shared" si="7"/>
        <v>1.0013538785723692</v>
      </c>
    </row>
    <row r="214" spans="1:4" x14ac:dyDescent="0.2">
      <c r="A214" s="137">
        <v>42916</v>
      </c>
      <c r="B214" s="136">
        <v>9520.9</v>
      </c>
      <c r="C214" s="138">
        <f t="shared" si="6"/>
        <v>1.767658168579711E-3</v>
      </c>
      <c r="D214" s="138">
        <f t="shared" si="7"/>
        <v>1.0017676581685797</v>
      </c>
    </row>
    <row r="215" spans="1:4" x14ac:dyDescent="0.2">
      <c r="A215" s="137">
        <v>42919</v>
      </c>
      <c r="B215" s="136">
        <v>9615</v>
      </c>
      <c r="C215" s="138">
        <f t="shared" si="6"/>
        <v>9.8835194151813965E-3</v>
      </c>
      <c r="D215" s="138">
        <f t="shared" si="7"/>
        <v>1.0098835194151814</v>
      </c>
    </row>
    <row r="216" spans="1:4" x14ac:dyDescent="0.2">
      <c r="A216" s="137">
        <v>42920</v>
      </c>
      <c r="B216" s="136">
        <v>9613.2999999999993</v>
      </c>
      <c r="C216" s="138">
        <f t="shared" si="6"/>
        <v>-1.7680707228295844E-4</v>
      </c>
      <c r="D216" s="138">
        <f t="shared" si="7"/>
        <v>0.99982319292771704</v>
      </c>
    </row>
    <row r="217" spans="1:4" x14ac:dyDescent="0.2">
      <c r="A217" s="137">
        <v>42921</v>
      </c>
      <c r="B217" s="136">
        <v>9637.6</v>
      </c>
      <c r="C217" s="138">
        <f t="shared" si="6"/>
        <v>2.5277480157699372E-3</v>
      </c>
      <c r="D217" s="138">
        <f t="shared" si="7"/>
        <v>1.0025277480157699</v>
      </c>
    </row>
    <row r="218" spans="1:4" x14ac:dyDescent="0.2">
      <c r="A218" s="137">
        <v>42922</v>
      </c>
      <c r="B218" s="136">
        <v>9674.5499999999993</v>
      </c>
      <c r="C218" s="138">
        <f t="shared" si="6"/>
        <v>3.833942060263773E-3</v>
      </c>
      <c r="D218" s="138">
        <f t="shared" si="7"/>
        <v>1.0038339420602638</v>
      </c>
    </row>
    <row r="219" spans="1:4" x14ac:dyDescent="0.2">
      <c r="A219" s="137">
        <v>42923</v>
      </c>
      <c r="B219" s="136">
        <v>9665.7999999999993</v>
      </c>
      <c r="C219" s="138">
        <f t="shared" si="6"/>
        <v>-9.0443483159419191E-4</v>
      </c>
      <c r="D219" s="138">
        <f t="shared" si="7"/>
        <v>0.99909556516840581</v>
      </c>
    </row>
    <row r="220" spans="1:4" x14ac:dyDescent="0.2">
      <c r="A220" s="137">
        <v>42926</v>
      </c>
      <c r="B220" s="136">
        <v>9771.0499999999993</v>
      </c>
      <c r="C220" s="138">
        <f t="shared" si="6"/>
        <v>1.0888907281342508E-2</v>
      </c>
      <c r="D220" s="138">
        <f t="shared" si="7"/>
        <v>1.0108889072813425</v>
      </c>
    </row>
    <row r="221" spans="1:4" x14ac:dyDescent="0.2">
      <c r="A221" s="137">
        <v>42927</v>
      </c>
      <c r="B221" s="136">
        <v>9786.0499999999993</v>
      </c>
      <c r="C221" s="138">
        <f t="shared" si="6"/>
        <v>1.5351471950302287E-3</v>
      </c>
      <c r="D221" s="138">
        <f t="shared" si="7"/>
        <v>1.0015351471950302</v>
      </c>
    </row>
    <row r="222" spans="1:4" x14ac:dyDescent="0.2">
      <c r="A222" s="137">
        <v>42928</v>
      </c>
      <c r="B222" s="136">
        <v>9816.1</v>
      </c>
      <c r="C222" s="138">
        <f t="shared" si="6"/>
        <v>3.0706975746088716E-3</v>
      </c>
      <c r="D222" s="138">
        <f t="shared" si="7"/>
        <v>1.0030706975746089</v>
      </c>
    </row>
    <row r="223" spans="1:4" x14ac:dyDescent="0.2">
      <c r="A223" s="137">
        <v>42929</v>
      </c>
      <c r="B223" s="136">
        <v>9891.7000000000007</v>
      </c>
      <c r="C223" s="138">
        <f t="shared" si="6"/>
        <v>7.7016330314483294E-3</v>
      </c>
      <c r="D223" s="138">
        <f t="shared" si="7"/>
        <v>1.0077016330314483</v>
      </c>
    </row>
    <row r="224" spans="1:4" x14ac:dyDescent="0.2">
      <c r="A224" s="137">
        <v>42930</v>
      </c>
      <c r="B224" s="136">
        <v>9886.35</v>
      </c>
      <c r="C224" s="138">
        <f t="shared" si="6"/>
        <v>-5.4085748657972665E-4</v>
      </c>
      <c r="D224" s="138">
        <f t="shared" si="7"/>
        <v>0.99945914251342027</v>
      </c>
    </row>
    <row r="225" spans="1:4" x14ac:dyDescent="0.2">
      <c r="A225" s="137">
        <v>42933</v>
      </c>
      <c r="B225" s="136">
        <v>9915.9500000000007</v>
      </c>
      <c r="C225" s="138">
        <f t="shared" si="6"/>
        <v>2.9940271181982947E-3</v>
      </c>
      <c r="D225" s="138">
        <f t="shared" si="7"/>
        <v>1.0029940271181983</v>
      </c>
    </row>
    <row r="226" spans="1:4" x14ac:dyDescent="0.2">
      <c r="A226" s="137">
        <v>42934</v>
      </c>
      <c r="B226" s="136">
        <v>9827.15</v>
      </c>
      <c r="C226" s="138">
        <f t="shared" si="6"/>
        <v>-8.9552690362497689E-3</v>
      </c>
      <c r="D226" s="138">
        <f t="shared" si="7"/>
        <v>0.99104473096375023</v>
      </c>
    </row>
    <row r="227" spans="1:4" x14ac:dyDescent="0.2">
      <c r="A227" s="137">
        <v>42935</v>
      </c>
      <c r="B227" s="136">
        <v>9899.6</v>
      </c>
      <c r="C227" s="138">
        <f t="shared" si="6"/>
        <v>7.372432495688086E-3</v>
      </c>
      <c r="D227" s="138">
        <f t="shared" si="7"/>
        <v>1.0073724324956881</v>
      </c>
    </row>
    <row r="228" spans="1:4" x14ac:dyDescent="0.2">
      <c r="A228" s="137">
        <v>42936</v>
      </c>
      <c r="B228" s="136">
        <v>9873.2999999999993</v>
      </c>
      <c r="C228" s="138">
        <f t="shared" si="6"/>
        <v>-2.6566729968888758E-3</v>
      </c>
      <c r="D228" s="138">
        <f t="shared" si="7"/>
        <v>0.99734332700311112</v>
      </c>
    </row>
    <row r="229" spans="1:4" x14ac:dyDescent="0.2">
      <c r="A229" s="137">
        <v>42937</v>
      </c>
      <c r="B229" s="136">
        <v>9915.25</v>
      </c>
      <c r="C229" s="138">
        <f t="shared" si="6"/>
        <v>4.2488327104412971E-3</v>
      </c>
      <c r="D229" s="138">
        <f t="shared" si="7"/>
        <v>1.0042488327104413</v>
      </c>
    </row>
    <row r="230" spans="1:4" x14ac:dyDescent="0.2">
      <c r="A230" s="137">
        <v>42940</v>
      </c>
      <c r="B230" s="136">
        <v>9966.4</v>
      </c>
      <c r="C230" s="138">
        <f t="shared" si="6"/>
        <v>5.1587201532992122E-3</v>
      </c>
      <c r="D230" s="138">
        <f t="shared" si="7"/>
        <v>1.0051587201532992</v>
      </c>
    </row>
    <row r="231" spans="1:4" x14ac:dyDescent="0.2">
      <c r="A231" s="137">
        <v>42941</v>
      </c>
      <c r="B231" s="136">
        <v>9964.5499999999993</v>
      </c>
      <c r="C231" s="138">
        <f t="shared" si="6"/>
        <v>-1.8562369561736514E-4</v>
      </c>
      <c r="D231" s="138">
        <f t="shared" si="7"/>
        <v>0.99981437630438263</v>
      </c>
    </row>
    <row r="232" spans="1:4" x14ac:dyDescent="0.2">
      <c r="A232" s="137">
        <v>42942</v>
      </c>
      <c r="B232" s="136">
        <v>10020.65</v>
      </c>
      <c r="C232" s="138">
        <f t="shared" si="6"/>
        <v>5.6299582018255467E-3</v>
      </c>
      <c r="D232" s="138">
        <f t="shared" si="7"/>
        <v>1.0056299582018255</v>
      </c>
    </row>
    <row r="233" spans="1:4" x14ac:dyDescent="0.2">
      <c r="A233" s="137">
        <v>42943</v>
      </c>
      <c r="B233" s="136">
        <v>10020.549999999999</v>
      </c>
      <c r="C233" s="138">
        <f t="shared" si="6"/>
        <v>-9.9793925544267026E-6</v>
      </c>
      <c r="D233" s="138">
        <f t="shared" si="7"/>
        <v>0.99999002060744557</v>
      </c>
    </row>
    <row r="234" spans="1:4" x14ac:dyDescent="0.2">
      <c r="A234" s="137">
        <v>42944</v>
      </c>
      <c r="B234" s="136">
        <v>10014.5</v>
      </c>
      <c r="C234" s="138">
        <f t="shared" si="6"/>
        <v>-6.0375927469047408E-4</v>
      </c>
      <c r="D234" s="138">
        <f t="shared" si="7"/>
        <v>0.99939624072530953</v>
      </c>
    </row>
    <row r="235" spans="1:4" x14ac:dyDescent="0.2">
      <c r="A235" s="137">
        <v>42947</v>
      </c>
      <c r="B235" s="136">
        <v>10077.1</v>
      </c>
      <c r="C235" s="138">
        <f t="shared" si="6"/>
        <v>6.2509361425933108E-3</v>
      </c>
      <c r="D235" s="138">
        <f t="shared" si="7"/>
        <v>1.0062509361425933</v>
      </c>
    </row>
    <row r="236" spans="1:4" x14ac:dyDescent="0.2">
      <c r="A236" s="137">
        <v>42948</v>
      </c>
      <c r="B236" s="136">
        <v>10114.65</v>
      </c>
      <c r="C236" s="138">
        <f t="shared" si="6"/>
        <v>3.7262704547935677E-3</v>
      </c>
      <c r="D236" s="138">
        <f t="shared" si="7"/>
        <v>1.0037262704547936</v>
      </c>
    </row>
    <row r="237" spans="1:4" x14ac:dyDescent="0.2">
      <c r="A237" s="137">
        <v>42949</v>
      </c>
      <c r="B237" s="136">
        <v>10081.5</v>
      </c>
      <c r="C237" s="138">
        <f t="shared" si="6"/>
        <v>-3.2774243300558448E-3</v>
      </c>
      <c r="D237" s="138">
        <f t="shared" si="7"/>
        <v>0.99672257566994416</v>
      </c>
    </row>
    <row r="238" spans="1:4" x14ac:dyDescent="0.2">
      <c r="A238" s="137">
        <v>42950</v>
      </c>
      <c r="B238" s="136">
        <v>10013.65</v>
      </c>
      <c r="C238" s="138">
        <f t="shared" si="6"/>
        <v>-6.7301492833408139E-3</v>
      </c>
      <c r="D238" s="138">
        <f t="shared" si="7"/>
        <v>0.99326985071665919</v>
      </c>
    </row>
    <row r="239" spans="1:4" x14ac:dyDescent="0.2">
      <c r="A239" s="137">
        <v>42951</v>
      </c>
      <c r="B239" s="136">
        <v>10066.4</v>
      </c>
      <c r="C239" s="138">
        <f t="shared" si="6"/>
        <v>5.2678094401141795E-3</v>
      </c>
      <c r="D239" s="138">
        <f t="shared" si="7"/>
        <v>1.0052678094401142</v>
      </c>
    </row>
    <row r="240" spans="1:4" x14ac:dyDescent="0.2">
      <c r="A240" s="137">
        <v>42954</v>
      </c>
      <c r="B240" s="136">
        <v>10057.4</v>
      </c>
      <c r="C240" s="138">
        <f t="shared" si="6"/>
        <v>-8.9406341889852747E-4</v>
      </c>
      <c r="D240" s="138">
        <f t="shared" si="7"/>
        <v>0.99910593658110147</v>
      </c>
    </row>
    <row r="241" spans="1:4" x14ac:dyDescent="0.2">
      <c r="A241" s="137">
        <v>42955</v>
      </c>
      <c r="B241" s="136">
        <v>9978.5499999999993</v>
      </c>
      <c r="C241" s="138">
        <f t="shared" si="6"/>
        <v>-7.8399984091316322E-3</v>
      </c>
      <c r="D241" s="138">
        <f t="shared" si="7"/>
        <v>0.99216000159086837</v>
      </c>
    </row>
    <row r="242" spans="1:4" x14ac:dyDescent="0.2">
      <c r="A242" s="137">
        <v>42956</v>
      </c>
      <c r="B242" s="136">
        <v>9908.0499999999993</v>
      </c>
      <c r="C242" s="138">
        <f t="shared" si="6"/>
        <v>-7.0651547569536843E-3</v>
      </c>
      <c r="D242" s="138">
        <f t="shared" si="7"/>
        <v>0.99293484524304632</v>
      </c>
    </row>
    <row r="243" spans="1:4" x14ac:dyDescent="0.2">
      <c r="A243" s="137">
        <v>42957</v>
      </c>
      <c r="B243" s="136">
        <v>9820.25</v>
      </c>
      <c r="C243" s="138">
        <f t="shared" si="6"/>
        <v>-8.8614813207441578E-3</v>
      </c>
      <c r="D243" s="138">
        <f t="shared" si="7"/>
        <v>0.99113851867925584</v>
      </c>
    </row>
    <row r="244" spans="1:4" x14ac:dyDescent="0.2">
      <c r="A244" s="137">
        <v>42958</v>
      </c>
      <c r="B244" s="136">
        <v>9710.7999999999993</v>
      </c>
      <c r="C244" s="138">
        <f t="shared" si="6"/>
        <v>-1.1145337440492953E-2</v>
      </c>
      <c r="D244" s="138">
        <f t="shared" si="7"/>
        <v>0.98885466255950705</v>
      </c>
    </row>
    <row r="245" spans="1:4" x14ac:dyDescent="0.2">
      <c r="A245" s="137">
        <v>42961</v>
      </c>
      <c r="B245" s="136">
        <v>9794.15</v>
      </c>
      <c r="C245" s="138">
        <f t="shared" si="6"/>
        <v>8.5832269226016056E-3</v>
      </c>
      <c r="D245" s="138">
        <f t="shared" si="7"/>
        <v>1.0085832269226016</v>
      </c>
    </row>
    <row r="246" spans="1:4" x14ac:dyDescent="0.2">
      <c r="A246" s="137">
        <v>42963</v>
      </c>
      <c r="B246" s="136">
        <v>9897.2999999999993</v>
      </c>
      <c r="C246" s="138">
        <f t="shared" si="6"/>
        <v>1.0531797042111934E-2</v>
      </c>
      <c r="D246" s="138">
        <f t="shared" si="7"/>
        <v>1.0105317970421119</v>
      </c>
    </row>
    <row r="247" spans="1:4" x14ac:dyDescent="0.2">
      <c r="A247" s="137">
        <v>42964</v>
      </c>
      <c r="B247" s="136">
        <v>9904.15</v>
      </c>
      <c r="C247" s="138">
        <f t="shared" si="6"/>
        <v>6.9210794863239222E-4</v>
      </c>
      <c r="D247" s="138">
        <f t="shared" si="7"/>
        <v>1.0006921079486324</v>
      </c>
    </row>
    <row r="248" spans="1:4" x14ac:dyDescent="0.2">
      <c r="A248" s="137">
        <v>42965</v>
      </c>
      <c r="B248" s="136">
        <v>9837.4</v>
      </c>
      <c r="C248" s="138">
        <f t="shared" si="6"/>
        <v>-6.7395990569609765E-3</v>
      </c>
      <c r="D248" s="138">
        <f t="shared" si="7"/>
        <v>0.99326040094303902</v>
      </c>
    </row>
    <row r="249" spans="1:4" x14ac:dyDescent="0.2">
      <c r="A249" s="137">
        <v>42968</v>
      </c>
      <c r="B249" s="136">
        <v>9754.35</v>
      </c>
      <c r="C249" s="138">
        <f t="shared" si="6"/>
        <v>-8.4422713318559328E-3</v>
      </c>
      <c r="D249" s="138">
        <f t="shared" si="7"/>
        <v>0.99155772866814407</v>
      </c>
    </row>
    <row r="250" spans="1:4" x14ac:dyDescent="0.2">
      <c r="A250" s="137">
        <v>42969</v>
      </c>
      <c r="B250" s="136">
        <v>9765.5499999999993</v>
      </c>
      <c r="C250" s="138">
        <f t="shared" si="6"/>
        <v>1.1482056723408629E-3</v>
      </c>
      <c r="D250" s="138">
        <f t="shared" si="7"/>
        <v>1.0011482056723409</v>
      </c>
    </row>
    <row r="251" spans="1:4" x14ac:dyDescent="0.2">
      <c r="A251" s="137">
        <v>42970</v>
      </c>
      <c r="B251" s="136">
        <v>9852.5</v>
      </c>
      <c r="C251" s="138">
        <f t="shared" si="6"/>
        <v>8.9037483807876683E-3</v>
      </c>
      <c r="D251" s="138">
        <f t="shared" si="7"/>
        <v>1.0089037483807877</v>
      </c>
    </row>
    <row r="252" spans="1:4" x14ac:dyDescent="0.2">
      <c r="A252" s="137">
        <v>42971</v>
      </c>
      <c r="B252" s="136">
        <v>9857.0499999999993</v>
      </c>
      <c r="C252" s="138">
        <f t="shared" si="6"/>
        <v>4.6181172291293038E-4</v>
      </c>
      <c r="D252" s="138">
        <f t="shared" si="7"/>
        <v>1.0004618117229129</v>
      </c>
    </row>
    <row r="253" spans="1:4" x14ac:dyDescent="0.2">
      <c r="A253" s="137">
        <v>42975</v>
      </c>
      <c r="B253" s="136">
        <v>9912.7999999999993</v>
      </c>
      <c r="C253" s="138">
        <f t="shared" si="6"/>
        <v>5.6558503811992011E-3</v>
      </c>
      <c r="D253" s="138">
        <f t="shared" si="7"/>
        <v>1.0056558503811992</v>
      </c>
    </row>
    <row r="254" spans="1:4" x14ac:dyDescent="0.2">
      <c r="A254" s="137">
        <v>42976</v>
      </c>
      <c r="B254" s="136">
        <v>9796.0499999999993</v>
      </c>
      <c r="C254" s="138">
        <f t="shared" si="6"/>
        <v>-1.1777701557582065E-2</v>
      </c>
      <c r="D254" s="138">
        <f t="shared" si="7"/>
        <v>0.98822229844241793</v>
      </c>
    </row>
    <row r="255" spans="1:4" x14ac:dyDescent="0.2">
      <c r="A255" s="137">
        <v>42977</v>
      </c>
      <c r="B255" s="136">
        <v>9884.4</v>
      </c>
      <c r="C255" s="138">
        <f t="shared" si="6"/>
        <v>9.0189413079762026E-3</v>
      </c>
      <c r="D255" s="138">
        <f t="shared" si="7"/>
        <v>1.0090189413079762</v>
      </c>
    </row>
    <row r="256" spans="1:4" x14ac:dyDescent="0.2">
      <c r="A256" s="137">
        <v>42978</v>
      </c>
      <c r="B256" s="136">
        <v>9917.9</v>
      </c>
      <c r="C256" s="138">
        <f t="shared" si="6"/>
        <v>3.3891789081785806E-3</v>
      </c>
      <c r="D256" s="138">
        <f t="shared" si="7"/>
        <v>1.0033891789081786</v>
      </c>
    </row>
    <row r="257" spans="1:4" x14ac:dyDescent="0.2">
      <c r="A257" s="137">
        <v>42979</v>
      </c>
      <c r="B257" s="136">
        <v>9974.4</v>
      </c>
      <c r="C257" s="138">
        <f t="shared" si="6"/>
        <v>5.6967704856873969E-3</v>
      </c>
      <c r="D257" s="138">
        <f t="shared" si="7"/>
        <v>1.0056967704856874</v>
      </c>
    </row>
    <row r="258" spans="1:4" x14ac:dyDescent="0.2">
      <c r="A258" s="137">
        <v>42982</v>
      </c>
      <c r="B258" s="136">
        <v>9912.85</v>
      </c>
      <c r="C258" s="138">
        <f t="shared" si="6"/>
        <v>-6.1707972409367207E-3</v>
      </c>
      <c r="D258" s="138">
        <f t="shared" si="7"/>
        <v>0.99382920275906328</v>
      </c>
    </row>
    <row r="259" spans="1:4" x14ac:dyDescent="0.2">
      <c r="A259" s="137">
        <v>42983</v>
      </c>
      <c r="B259" s="136">
        <v>9952.2000000000007</v>
      </c>
      <c r="C259" s="138">
        <f t="shared" ref="C259:C322" si="8">B259/B258-1</f>
        <v>3.9695950206046771E-3</v>
      </c>
      <c r="D259" s="138">
        <f t="shared" ref="D259:D322" si="9">1+C259</f>
        <v>1.0039695950206047</v>
      </c>
    </row>
    <row r="260" spans="1:4" x14ac:dyDescent="0.2">
      <c r="A260" s="137">
        <v>42984</v>
      </c>
      <c r="B260" s="136">
        <v>9916.2000000000007</v>
      </c>
      <c r="C260" s="138">
        <f t="shared" si="8"/>
        <v>-3.6172906493037171E-3</v>
      </c>
      <c r="D260" s="138">
        <f t="shared" si="9"/>
        <v>0.99638270935069628</v>
      </c>
    </row>
    <row r="261" spans="1:4" x14ac:dyDescent="0.2">
      <c r="A261" s="137">
        <v>42985</v>
      </c>
      <c r="B261" s="136">
        <v>9929.9</v>
      </c>
      <c r="C261" s="138">
        <f t="shared" si="8"/>
        <v>1.3815776204593178E-3</v>
      </c>
      <c r="D261" s="138">
        <f t="shared" si="9"/>
        <v>1.0013815776204593</v>
      </c>
    </row>
    <row r="262" spans="1:4" x14ac:dyDescent="0.2">
      <c r="A262" s="137">
        <v>42986</v>
      </c>
      <c r="B262" s="136">
        <v>9934.7999999999993</v>
      </c>
      <c r="C262" s="138">
        <f t="shared" si="8"/>
        <v>4.9345914863185847E-4</v>
      </c>
      <c r="D262" s="138">
        <f t="shared" si="9"/>
        <v>1.0004934591486319</v>
      </c>
    </row>
    <row r="263" spans="1:4" x14ac:dyDescent="0.2">
      <c r="A263" s="137">
        <v>42989</v>
      </c>
      <c r="B263" s="136">
        <v>10006.049999999999</v>
      </c>
      <c r="C263" s="138">
        <f t="shared" si="8"/>
        <v>7.1717598743810118E-3</v>
      </c>
      <c r="D263" s="138">
        <f t="shared" si="9"/>
        <v>1.007171759874381</v>
      </c>
    </row>
    <row r="264" spans="1:4" x14ac:dyDescent="0.2">
      <c r="A264" s="137">
        <v>42990</v>
      </c>
      <c r="B264" s="136">
        <v>10093.049999999999</v>
      </c>
      <c r="C264" s="138">
        <f t="shared" si="8"/>
        <v>8.6947396824921253E-3</v>
      </c>
      <c r="D264" s="138">
        <f t="shared" si="9"/>
        <v>1.0086947396824921</v>
      </c>
    </row>
    <row r="265" spans="1:4" x14ac:dyDescent="0.2">
      <c r="A265" s="137">
        <v>42991</v>
      </c>
      <c r="B265" s="136">
        <v>10079.299999999999</v>
      </c>
      <c r="C265" s="138">
        <f t="shared" si="8"/>
        <v>-1.3623235790964916E-3</v>
      </c>
      <c r="D265" s="138">
        <f t="shared" si="9"/>
        <v>0.99863767642090351</v>
      </c>
    </row>
    <row r="266" spans="1:4" x14ac:dyDescent="0.2">
      <c r="A266" s="137">
        <v>42992</v>
      </c>
      <c r="B266" s="136">
        <v>10086.6</v>
      </c>
      <c r="C266" s="138">
        <f t="shared" si="8"/>
        <v>7.2425664480668672E-4</v>
      </c>
      <c r="D266" s="138">
        <f t="shared" si="9"/>
        <v>1.0007242566448067</v>
      </c>
    </row>
    <row r="267" spans="1:4" x14ac:dyDescent="0.2">
      <c r="A267" s="137">
        <v>42993</v>
      </c>
      <c r="B267" s="136">
        <v>10085.4</v>
      </c>
      <c r="C267" s="138">
        <f t="shared" si="8"/>
        <v>-1.1896972220581947E-4</v>
      </c>
      <c r="D267" s="138">
        <f t="shared" si="9"/>
        <v>0.99988103027779418</v>
      </c>
    </row>
    <row r="268" spans="1:4" x14ac:dyDescent="0.2">
      <c r="A268" s="137">
        <v>42996</v>
      </c>
      <c r="B268" s="136">
        <v>10153.1</v>
      </c>
      <c r="C268" s="138">
        <f t="shared" si="8"/>
        <v>6.7126737660381242E-3</v>
      </c>
      <c r="D268" s="138">
        <f t="shared" si="9"/>
        <v>1.0067126737660381</v>
      </c>
    </row>
    <row r="269" spans="1:4" x14ac:dyDescent="0.2">
      <c r="A269" s="137">
        <v>42997</v>
      </c>
      <c r="B269" s="136">
        <v>10147.549999999999</v>
      </c>
      <c r="C269" s="138">
        <f t="shared" si="8"/>
        <v>-5.4663107819297174E-4</v>
      </c>
      <c r="D269" s="138">
        <f t="shared" si="9"/>
        <v>0.99945336892180703</v>
      </c>
    </row>
    <row r="270" spans="1:4" x14ac:dyDescent="0.2">
      <c r="A270" s="137">
        <v>42998</v>
      </c>
      <c r="B270" s="136">
        <v>10141.15</v>
      </c>
      <c r="C270" s="138">
        <f t="shared" si="8"/>
        <v>-6.3069410843008544E-4</v>
      </c>
      <c r="D270" s="138">
        <f t="shared" si="9"/>
        <v>0.99936930589156991</v>
      </c>
    </row>
    <row r="271" spans="1:4" x14ac:dyDescent="0.2">
      <c r="A271" s="137">
        <v>42999</v>
      </c>
      <c r="B271" s="136">
        <v>10121.9</v>
      </c>
      <c r="C271" s="138">
        <f t="shared" si="8"/>
        <v>-1.8982068108646111E-3</v>
      </c>
      <c r="D271" s="138">
        <f t="shared" si="9"/>
        <v>0.99810179318913539</v>
      </c>
    </row>
    <row r="272" spans="1:4" x14ac:dyDescent="0.2">
      <c r="A272" s="137">
        <v>43000</v>
      </c>
      <c r="B272" s="136">
        <v>9964.4</v>
      </c>
      <c r="C272" s="138">
        <f t="shared" si="8"/>
        <v>-1.5560319702822567E-2</v>
      </c>
      <c r="D272" s="138">
        <f t="shared" si="9"/>
        <v>0.98443968029717743</v>
      </c>
    </row>
    <row r="273" spans="1:4" x14ac:dyDescent="0.2">
      <c r="A273" s="137">
        <v>43003</v>
      </c>
      <c r="B273" s="136">
        <v>9872.6</v>
      </c>
      <c r="C273" s="138">
        <f t="shared" si="8"/>
        <v>-9.2127975593110367E-3</v>
      </c>
      <c r="D273" s="138">
        <f t="shared" si="9"/>
        <v>0.99078720244068896</v>
      </c>
    </row>
    <row r="274" spans="1:4" x14ac:dyDescent="0.2">
      <c r="A274" s="137">
        <v>43004</v>
      </c>
      <c r="B274" s="136">
        <v>9871.5</v>
      </c>
      <c r="C274" s="138">
        <f t="shared" si="8"/>
        <v>-1.1141948422910275E-4</v>
      </c>
      <c r="D274" s="138">
        <f t="shared" si="9"/>
        <v>0.9998885805157709</v>
      </c>
    </row>
    <row r="275" spans="1:4" x14ac:dyDescent="0.2">
      <c r="A275" s="137">
        <v>43005</v>
      </c>
      <c r="B275" s="136">
        <v>9735.75</v>
      </c>
      <c r="C275" s="138">
        <f t="shared" si="8"/>
        <v>-1.3751709466646389E-2</v>
      </c>
      <c r="D275" s="138">
        <f t="shared" si="9"/>
        <v>0.98624829053335361</v>
      </c>
    </row>
    <row r="276" spans="1:4" x14ac:dyDescent="0.2">
      <c r="A276" s="137">
        <v>43006</v>
      </c>
      <c r="B276" s="136">
        <v>9768.9500000000007</v>
      </c>
      <c r="C276" s="138">
        <f t="shared" si="8"/>
        <v>3.4101122152891961E-3</v>
      </c>
      <c r="D276" s="138">
        <f t="shared" si="9"/>
        <v>1.0034101122152892</v>
      </c>
    </row>
    <row r="277" spans="1:4" x14ac:dyDescent="0.2">
      <c r="A277" s="137">
        <v>43007</v>
      </c>
      <c r="B277" s="136">
        <v>9788.6</v>
      </c>
      <c r="C277" s="138">
        <f t="shared" si="8"/>
        <v>2.0114751329467495E-3</v>
      </c>
      <c r="D277" s="138">
        <f t="shared" si="9"/>
        <v>1.0020114751329467</v>
      </c>
    </row>
    <row r="278" spans="1:4" x14ac:dyDescent="0.2">
      <c r="A278" s="137">
        <v>43011</v>
      </c>
      <c r="B278" s="136">
        <v>9859.5</v>
      </c>
      <c r="C278" s="138">
        <f t="shared" si="8"/>
        <v>7.2431195472284493E-3</v>
      </c>
      <c r="D278" s="138">
        <f t="shared" si="9"/>
        <v>1.0072431195472284</v>
      </c>
    </row>
    <row r="279" spans="1:4" x14ac:dyDescent="0.2">
      <c r="A279" s="137">
        <v>43012</v>
      </c>
      <c r="B279" s="136">
        <v>9914.9</v>
      </c>
      <c r="C279" s="138">
        <f t="shared" si="8"/>
        <v>5.61894619402592E-3</v>
      </c>
      <c r="D279" s="138">
        <f t="shared" si="9"/>
        <v>1.0056189461940259</v>
      </c>
    </row>
    <row r="280" spans="1:4" x14ac:dyDescent="0.2">
      <c r="A280" s="137">
        <v>43013</v>
      </c>
      <c r="B280" s="136">
        <v>9888.7000000000007</v>
      </c>
      <c r="C280" s="138">
        <f t="shared" si="8"/>
        <v>-2.6424875692139249E-3</v>
      </c>
      <c r="D280" s="138">
        <f t="shared" si="9"/>
        <v>0.99735751243078608</v>
      </c>
    </row>
    <row r="281" spans="1:4" x14ac:dyDescent="0.2">
      <c r="A281" s="137">
        <v>43014</v>
      </c>
      <c r="B281" s="136">
        <v>9979.7000000000007</v>
      </c>
      <c r="C281" s="138">
        <f t="shared" si="8"/>
        <v>9.202422967629742E-3</v>
      </c>
      <c r="D281" s="138">
        <f t="shared" si="9"/>
        <v>1.0092024229676297</v>
      </c>
    </row>
    <row r="282" spans="1:4" x14ac:dyDescent="0.2">
      <c r="A282" s="137">
        <v>43017</v>
      </c>
      <c r="B282" s="136">
        <v>9988.75</v>
      </c>
      <c r="C282" s="138">
        <f t="shared" si="8"/>
        <v>9.0684088700054843E-4</v>
      </c>
      <c r="D282" s="138">
        <f t="shared" si="9"/>
        <v>1.0009068408870005</v>
      </c>
    </row>
    <row r="283" spans="1:4" x14ac:dyDescent="0.2">
      <c r="A283" s="137">
        <v>43018</v>
      </c>
      <c r="B283" s="136">
        <v>10016.950000000001</v>
      </c>
      <c r="C283" s="138">
        <f t="shared" si="8"/>
        <v>2.8231760730823563E-3</v>
      </c>
      <c r="D283" s="138">
        <f t="shared" si="9"/>
        <v>1.0028231760730824</v>
      </c>
    </row>
    <row r="284" spans="1:4" x14ac:dyDescent="0.2">
      <c r="A284" s="137">
        <v>43019</v>
      </c>
      <c r="B284" s="136">
        <v>9984.7999999999993</v>
      </c>
      <c r="C284" s="138">
        <f t="shared" si="8"/>
        <v>-3.2095597961456779E-3</v>
      </c>
      <c r="D284" s="138">
        <f t="shared" si="9"/>
        <v>0.99679044020385432</v>
      </c>
    </row>
    <row r="285" spans="1:4" x14ac:dyDescent="0.2">
      <c r="A285" s="137">
        <v>43020</v>
      </c>
      <c r="B285" s="136">
        <v>10096.4</v>
      </c>
      <c r="C285" s="138">
        <f t="shared" si="8"/>
        <v>1.1176989023315542E-2</v>
      </c>
      <c r="D285" s="138">
        <f t="shared" si="9"/>
        <v>1.0111769890233155</v>
      </c>
    </row>
    <row r="286" spans="1:4" x14ac:dyDescent="0.2">
      <c r="A286" s="137">
        <v>43021</v>
      </c>
      <c r="B286" s="136">
        <v>10167.450000000001</v>
      </c>
      <c r="C286" s="138">
        <f t="shared" si="8"/>
        <v>7.0371617606277415E-3</v>
      </c>
      <c r="D286" s="138">
        <f t="shared" si="9"/>
        <v>1.0070371617606277</v>
      </c>
    </row>
    <row r="287" spans="1:4" x14ac:dyDescent="0.2">
      <c r="A287" s="137">
        <v>43024</v>
      </c>
      <c r="B287" s="136">
        <v>10230.85</v>
      </c>
      <c r="C287" s="138">
        <f t="shared" si="8"/>
        <v>6.2355851270474716E-3</v>
      </c>
      <c r="D287" s="138">
        <f t="shared" si="9"/>
        <v>1.0062355851270475</v>
      </c>
    </row>
    <row r="288" spans="1:4" x14ac:dyDescent="0.2">
      <c r="A288" s="137">
        <v>43025</v>
      </c>
      <c r="B288" s="136">
        <v>10234.450000000001</v>
      </c>
      <c r="C288" s="138">
        <f t="shared" si="8"/>
        <v>3.5187692127247594E-4</v>
      </c>
      <c r="D288" s="138">
        <f t="shared" si="9"/>
        <v>1.0003518769212725</v>
      </c>
    </row>
    <row r="289" spans="1:4" x14ac:dyDescent="0.2">
      <c r="A289" s="137">
        <v>43026</v>
      </c>
      <c r="B289" s="136">
        <v>10210.85</v>
      </c>
      <c r="C289" s="138">
        <f t="shared" si="8"/>
        <v>-2.3059373000015038E-3</v>
      </c>
      <c r="D289" s="138">
        <f t="shared" si="9"/>
        <v>0.9976940626999985</v>
      </c>
    </row>
    <row r="290" spans="1:4" x14ac:dyDescent="0.2">
      <c r="A290" s="137">
        <v>43027</v>
      </c>
      <c r="B290" s="136">
        <v>10146.549999999999</v>
      </c>
      <c r="C290" s="138">
        <f t="shared" si="8"/>
        <v>-6.2972230519497963E-3</v>
      </c>
      <c r="D290" s="138">
        <f t="shared" si="9"/>
        <v>0.9937027769480502</v>
      </c>
    </row>
    <row r="291" spans="1:4" x14ac:dyDescent="0.2">
      <c r="A291" s="137">
        <v>43031</v>
      </c>
      <c r="B291" s="136">
        <v>10184.85</v>
      </c>
      <c r="C291" s="138">
        <f t="shared" si="8"/>
        <v>3.7746820347803745E-3</v>
      </c>
      <c r="D291" s="138">
        <f t="shared" si="9"/>
        <v>1.0037746820347804</v>
      </c>
    </row>
    <row r="292" spans="1:4" x14ac:dyDescent="0.2">
      <c r="A292" s="137">
        <v>43032</v>
      </c>
      <c r="B292" s="136">
        <v>10207.700000000001</v>
      </c>
      <c r="C292" s="138">
        <f t="shared" si="8"/>
        <v>2.2435283779338455E-3</v>
      </c>
      <c r="D292" s="138">
        <f t="shared" si="9"/>
        <v>1.0022435283779338</v>
      </c>
    </row>
    <row r="293" spans="1:4" x14ac:dyDescent="0.2">
      <c r="A293" s="137">
        <v>43033</v>
      </c>
      <c r="B293" s="136">
        <v>10295.35</v>
      </c>
      <c r="C293" s="138">
        <f t="shared" si="8"/>
        <v>8.5866551720759077E-3</v>
      </c>
      <c r="D293" s="138">
        <f t="shared" si="9"/>
        <v>1.0085866551720759</v>
      </c>
    </row>
    <row r="294" spans="1:4" x14ac:dyDescent="0.2">
      <c r="A294" s="137">
        <v>43034</v>
      </c>
      <c r="B294" s="136">
        <v>10343.799999999999</v>
      </c>
      <c r="C294" s="138">
        <f t="shared" si="8"/>
        <v>4.7060080521788006E-3</v>
      </c>
      <c r="D294" s="138">
        <f t="shared" si="9"/>
        <v>1.0047060080521788</v>
      </c>
    </row>
    <row r="295" spans="1:4" x14ac:dyDescent="0.2">
      <c r="A295" s="137">
        <v>43035</v>
      </c>
      <c r="B295" s="136">
        <v>10323.049999999999</v>
      </c>
      <c r="C295" s="138">
        <f t="shared" si="8"/>
        <v>-2.00603259923815E-3</v>
      </c>
      <c r="D295" s="138">
        <f t="shared" si="9"/>
        <v>0.99799396740076185</v>
      </c>
    </row>
    <row r="296" spans="1:4" x14ac:dyDescent="0.2">
      <c r="A296" s="137">
        <v>43038</v>
      </c>
      <c r="B296" s="136">
        <v>10363.65</v>
      </c>
      <c r="C296" s="138">
        <f t="shared" si="8"/>
        <v>3.9329461738537574E-3</v>
      </c>
      <c r="D296" s="138">
        <f t="shared" si="9"/>
        <v>1.0039329461738538</v>
      </c>
    </row>
    <row r="297" spans="1:4" x14ac:dyDescent="0.2">
      <c r="A297" s="137">
        <v>43039</v>
      </c>
      <c r="B297" s="136">
        <v>10335.299999999999</v>
      </c>
      <c r="C297" s="138">
        <f t="shared" si="8"/>
        <v>-2.7355227164175266E-3</v>
      </c>
      <c r="D297" s="138">
        <f t="shared" si="9"/>
        <v>0.99726447728358247</v>
      </c>
    </row>
    <row r="298" spans="1:4" x14ac:dyDescent="0.2">
      <c r="A298" s="137">
        <v>43040</v>
      </c>
      <c r="B298" s="136">
        <v>10440.5</v>
      </c>
      <c r="C298" s="138">
        <f t="shared" si="8"/>
        <v>1.0178707923330865E-2</v>
      </c>
      <c r="D298" s="138">
        <f t="shared" si="9"/>
        <v>1.0101787079233309</v>
      </c>
    </row>
    <row r="299" spans="1:4" x14ac:dyDescent="0.2">
      <c r="A299" s="137">
        <v>43041</v>
      </c>
      <c r="B299" s="136">
        <v>10423.799999999999</v>
      </c>
      <c r="C299" s="138">
        <f t="shared" si="8"/>
        <v>-1.599540251903675E-3</v>
      </c>
      <c r="D299" s="138">
        <f t="shared" si="9"/>
        <v>0.99840045974809633</v>
      </c>
    </row>
    <row r="300" spans="1:4" x14ac:dyDescent="0.2">
      <c r="A300" s="137">
        <v>43042</v>
      </c>
      <c r="B300" s="136">
        <v>10452.5</v>
      </c>
      <c r="C300" s="138">
        <f t="shared" si="8"/>
        <v>2.7533145302098827E-3</v>
      </c>
      <c r="D300" s="138">
        <f t="shared" si="9"/>
        <v>1.0027533145302099</v>
      </c>
    </row>
    <row r="301" spans="1:4" x14ac:dyDescent="0.2">
      <c r="A301" s="137">
        <v>43045</v>
      </c>
      <c r="B301" s="136">
        <v>10451.799999999999</v>
      </c>
      <c r="C301" s="138">
        <f t="shared" si="8"/>
        <v>-6.6969624491819424E-5</v>
      </c>
      <c r="D301" s="138">
        <f t="shared" si="9"/>
        <v>0.99993303037550818</v>
      </c>
    </row>
    <row r="302" spans="1:4" x14ac:dyDescent="0.2">
      <c r="A302" s="137">
        <v>43046</v>
      </c>
      <c r="B302" s="136">
        <v>10350.15</v>
      </c>
      <c r="C302" s="138">
        <f t="shared" si="8"/>
        <v>-9.7255975047360055E-3</v>
      </c>
      <c r="D302" s="138">
        <f t="shared" si="9"/>
        <v>0.99027440249526399</v>
      </c>
    </row>
    <row r="303" spans="1:4" x14ac:dyDescent="0.2">
      <c r="A303" s="137">
        <v>43047</v>
      </c>
      <c r="B303" s="136">
        <v>10303.15</v>
      </c>
      <c r="C303" s="138">
        <f t="shared" si="8"/>
        <v>-4.5409969903817959E-3</v>
      </c>
      <c r="D303" s="138">
        <f t="shared" si="9"/>
        <v>0.9954590030096182</v>
      </c>
    </row>
    <row r="304" spans="1:4" x14ac:dyDescent="0.2">
      <c r="A304" s="137">
        <v>43048</v>
      </c>
      <c r="B304" s="136">
        <v>10308.950000000001</v>
      </c>
      <c r="C304" s="138">
        <f t="shared" si="8"/>
        <v>5.6293463649481623E-4</v>
      </c>
      <c r="D304" s="138">
        <f t="shared" si="9"/>
        <v>1.0005629346364948</v>
      </c>
    </row>
    <row r="305" spans="1:4" x14ac:dyDescent="0.2">
      <c r="A305" s="137">
        <v>43049</v>
      </c>
      <c r="B305" s="136">
        <v>10321.75</v>
      </c>
      <c r="C305" s="138">
        <f t="shared" si="8"/>
        <v>1.2416395462195862E-3</v>
      </c>
      <c r="D305" s="138">
        <f t="shared" si="9"/>
        <v>1.0012416395462196</v>
      </c>
    </row>
    <row r="306" spans="1:4" x14ac:dyDescent="0.2">
      <c r="A306" s="137">
        <v>43052</v>
      </c>
      <c r="B306" s="136">
        <v>10224.950000000001</v>
      </c>
      <c r="C306" s="138">
        <f t="shared" si="8"/>
        <v>-9.3782546564292746E-3</v>
      </c>
      <c r="D306" s="138">
        <f t="shared" si="9"/>
        <v>0.99062174534357073</v>
      </c>
    </row>
    <row r="307" spans="1:4" x14ac:dyDescent="0.2">
      <c r="A307" s="137">
        <v>43053</v>
      </c>
      <c r="B307" s="136">
        <v>10186.6</v>
      </c>
      <c r="C307" s="138">
        <f t="shared" si="8"/>
        <v>-3.750629587430776E-3</v>
      </c>
      <c r="D307" s="138">
        <f t="shared" si="9"/>
        <v>0.99624937041256922</v>
      </c>
    </row>
    <row r="308" spans="1:4" x14ac:dyDescent="0.2">
      <c r="A308" s="137">
        <v>43054</v>
      </c>
      <c r="B308" s="136">
        <v>10118.049999999999</v>
      </c>
      <c r="C308" s="138">
        <f t="shared" si="8"/>
        <v>-6.7294288575188155E-3</v>
      </c>
      <c r="D308" s="138">
        <f t="shared" si="9"/>
        <v>0.99327057114248118</v>
      </c>
    </row>
    <row r="309" spans="1:4" x14ac:dyDescent="0.2">
      <c r="A309" s="137">
        <v>43055</v>
      </c>
      <c r="B309" s="136">
        <v>10214.75</v>
      </c>
      <c r="C309" s="138">
        <f t="shared" si="8"/>
        <v>9.557177519383675E-3</v>
      </c>
      <c r="D309" s="138">
        <f t="shared" si="9"/>
        <v>1.0095571775193837</v>
      </c>
    </row>
    <row r="310" spans="1:4" x14ac:dyDescent="0.2">
      <c r="A310" s="137">
        <v>43056</v>
      </c>
      <c r="B310" s="136">
        <v>10283.6</v>
      </c>
      <c r="C310" s="138">
        <f t="shared" si="8"/>
        <v>6.7402530654201431E-3</v>
      </c>
      <c r="D310" s="138">
        <f t="shared" si="9"/>
        <v>1.0067402530654201</v>
      </c>
    </row>
    <row r="311" spans="1:4" x14ac:dyDescent="0.2">
      <c r="A311" s="137">
        <v>43059</v>
      </c>
      <c r="B311" s="136">
        <v>10298.75</v>
      </c>
      <c r="C311" s="138">
        <f t="shared" si="8"/>
        <v>1.4732194951183608E-3</v>
      </c>
      <c r="D311" s="138">
        <f t="shared" si="9"/>
        <v>1.0014732194951184</v>
      </c>
    </row>
    <row r="312" spans="1:4" x14ac:dyDescent="0.2">
      <c r="A312" s="137">
        <v>43060</v>
      </c>
      <c r="B312" s="136">
        <v>10326.9</v>
      </c>
      <c r="C312" s="138">
        <f t="shared" si="8"/>
        <v>2.7333414249302024E-3</v>
      </c>
      <c r="D312" s="138">
        <f t="shared" si="9"/>
        <v>1.0027333414249302</v>
      </c>
    </row>
    <row r="313" spans="1:4" x14ac:dyDescent="0.2">
      <c r="A313" s="137">
        <v>43061</v>
      </c>
      <c r="B313" s="136">
        <v>10342.299999999999</v>
      </c>
      <c r="C313" s="138">
        <f t="shared" si="8"/>
        <v>1.4912510046576344E-3</v>
      </c>
      <c r="D313" s="138">
        <f t="shared" si="9"/>
        <v>1.0014912510046576</v>
      </c>
    </row>
    <row r="314" spans="1:4" x14ac:dyDescent="0.2">
      <c r="A314" s="137">
        <v>43062</v>
      </c>
      <c r="B314" s="136">
        <v>10348.75</v>
      </c>
      <c r="C314" s="138">
        <f t="shared" si="8"/>
        <v>6.2365237906458759E-4</v>
      </c>
      <c r="D314" s="138">
        <f t="shared" si="9"/>
        <v>1.0006236523790646</v>
      </c>
    </row>
    <row r="315" spans="1:4" x14ac:dyDescent="0.2">
      <c r="A315" s="137">
        <v>43063</v>
      </c>
      <c r="B315" s="136">
        <v>10389.700000000001</v>
      </c>
      <c r="C315" s="138">
        <f t="shared" si="8"/>
        <v>3.9569996376374039E-3</v>
      </c>
      <c r="D315" s="138">
        <f t="shared" si="9"/>
        <v>1.0039569996376374</v>
      </c>
    </row>
    <row r="316" spans="1:4" x14ac:dyDescent="0.2">
      <c r="A316" s="137">
        <v>43066</v>
      </c>
      <c r="B316" s="136">
        <v>10399.549999999999</v>
      </c>
      <c r="C316" s="138">
        <f t="shared" si="8"/>
        <v>9.4805432303135539E-4</v>
      </c>
      <c r="D316" s="138">
        <f t="shared" si="9"/>
        <v>1.0009480543230314</v>
      </c>
    </row>
    <row r="317" spans="1:4" x14ac:dyDescent="0.2">
      <c r="A317" s="137">
        <v>43067</v>
      </c>
      <c r="B317" s="136">
        <v>10370.25</v>
      </c>
      <c r="C317" s="138">
        <f t="shared" si="8"/>
        <v>-2.8174296003191657E-3</v>
      </c>
      <c r="D317" s="138">
        <f t="shared" si="9"/>
        <v>0.99718257039968083</v>
      </c>
    </row>
    <row r="318" spans="1:4" x14ac:dyDescent="0.2">
      <c r="A318" s="137">
        <v>43068</v>
      </c>
      <c r="B318" s="136">
        <v>10361.299999999999</v>
      </c>
      <c r="C318" s="138">
        <f t="shared" si="8"/>
        <v>-8.6304573178086486E-4</v>
      </c>
      <c r="D318" s="138">
        <f t="shared" si="9"/>
        <v>0.99913695426821914</v>
      </c>
    </row>
    <row r="319" spans="1:4" x14ac:dyDescent="0.2">
      <c r="A319" s="137">
        <v>43069</v>
      </c>
      <c r="B319" s="136">
        <v>10226.549999999999</v>
      </c>
      <c r="C319" s="138">
        <f t="shared" si="8"/>
        <v>-1.3005124839547189E-2</v>
      </c>
      <c r="D319" s="138">
        <f t="shared" si="9"/>
        <v>0.98699487516045281</v>
      </c>
    </row>
    <row r="320" spans="1:4" x14ac:dyDescent="0.2">
      <c r="A320" s="137">
        <v>43070</v>
      </c>
      <c r="B320" s="136">
        <v>10121.799999999999</v>
      </c>
      <c r="C320" s="138">
        <f t="shared" si="8"/>
        <v>-1.0242946057076874E-2</v>
      </c>
      <c r="D320" s="138">
        <f t="shared" si="9"/>
        <v>0.98975705394292313</v>
      </c>
    </row>
    <row r="321" spans="1:4" x14ac:dyDescent="0.2">
      <c r="A321" s="137">
        <v>43073</v>
      </c>
      <c r="B321" s="136">
        <v>10127.75</v>
      </c>
      <c r="C321" s="138">
        <f t="shared" si="8"/>
        <v>5.8784010749080018E-4</v>
      </c>
      <c r="D321" s="138">
        <f t="shared" si="9"/>
        <v>1.0005878401074908</v>
      </c>
    </row>
    <row r="322" spans="1:4" x14ac:dyDescent="0.2">
      <c r="A322" s="137">
        <v>43074</v>
      </c>
      <c r="B322" s="136">
        <v>10118.25</v>
      </c>
      <c r="C322" s="138">
        <f t="shared" si="8"/>
        <v>-9.3801683493377475E-4</v>
      </c>
      <c r="D322" s="138">
        <f t="shared" si="9"/>
        <v>0.99906198316506623</v>
      </c>
    </row>
    <row r="323" spans="1:4" x14ac:dyDescent="0.2">
      <c r="A323" s="137">
        <v>43075</v>
      </c>
      <c r="B323" s="136">
        <v>10044.1</v>
      </c>
      <c r="C323" s="138">
        <f t="shared" ref="C323:C386" si="10">B323/B322-1</f>
        <v>-7.3283423516912194E-3</v>
      </c>
      <c r="D323" s="138">
        <f t="shared" ref="D323:D386" si="11">1+C323</f>
        <v>0.99267165764830878</v>
      </c>
    </row>
    <row r="324" spans="1:4" x14ac:dyDescent="0.2">
      <c r="A324" s="137">
        <v>43076</v>
      </c>
      <c r="B324" s="136">
        <v>10166.700000000001</v>
      </c>
      <c r="C324" s="138">
        <f t="shared" si="10"/>
        <v>1.2206170786830173E-2</v>
      </c>
      <c r="D324" s="138">
        <f t="shared" si="11"/>
        <v>1.0122061707868302</v>
      </c>
    </row>
    <row r="325" spans="1:4" x14ac:dyDescent="0.2">
      <c r="A325" s="137">
        <v>43077</v>
      </c>
      <c r="B325" s="136">
        <v>10265.65</v>
      </c>
      <c r="C325" s="138">
        <f t="shared" si="10"/>
        <v>9.7327549745738207E-3</v>
      </c>
      <c r="D325" s="138">
        <f t="shared" si="11"/>
        <v>1.0097327549745738</v>
      </c>
    </row>
    <row r="326" spans="1:4" x14ac:dyDescent="0.2">
      <c r="A326" s="137">
        <v>43080</v>
      </c>
      <c r="B326" s="136">
        <v>10322.25</v>
      </c>
      <c r="C326" s="138">
        <f t="shared" si="10"/>
        <v>5.5135329959623558E-3</v>
      </c>
      <c r="D326" s="138">
        <f t="shared" si="11"/>
        <v>1.0055135329959624</v>
      </c>
    </row>
    <row r="327" spans="1:4" x14ac:dyDescent="0.2">
      <c r="A327" s="137">
        <v>43081</v>
      </c>
      <c r="B327" s="136">
        <v>10240.15</v>
      </c>
      <c r="C327" s="138">
        <f t="shared" si="10"/>
        <v>-7.9536922667055032E-3</v>
      </c>
      <c r="D327" s="138">
        <f t="shared" si="11"/>
        <v>0.9920463077332945</v>
      </c>
    </row>
    <row r="328" spans="1:4" x14ac:dyDescent="0.2">
      <c r="A328" s="137">
        <v>43082</v>
      </c>
      <c r="B328" s="136">
        <v>10192.950000000001</v>
      </c>
      <c r="C328" s="138">
        <f t="shared" si="10"/>
        <v>-4.6093074808473133E-3</v>
      </c>
      <c r="D328" s="138">
        <f t="shared" si="11"/>
        <v>0.99539069251915269</v>
      </c>
    </row>
    <row r="329" spans="1:4" x14ac:dyDescent="0.2">
      <c r="A329" s="137">
        <v>43083</v>
      </c>
      <c r="B329" s="136">
        <v>10252.1</v>
      </c>
      <c r="C329" s="138">
        <f t="shared" si="10"/>
        <v>5.8030305260008408E-3</v>
      </c>
      <c r="D329" s="138">
        <f t="shared" si="11"/>
        <v>1.0058030305260008</v>
      </c>
    </row>
    <row r="330" spans="1:4" x14ac:dyDescent="0.2">
      <c r="A330" s="137">
        <v>43084</v>
      </c>
      <c r="B330" s="136">
        <v>10333.25</v>
      </c>
      <c r="C330" s="138">
        <f t="shared" si="10"/>
        <v>7.9154514684796062E-3</v>
      </c>
      <c r="D330" s="138">
        <f t="shared" si="11"/>
        <v>1.0079154514684796</v>
      </c>
    </row>
    <row r="331" spans="1:4" x14ac:dyDescent="0.2">
      <c r="A331" s="137">
        <v>43087</v>
      </c>
      <c r="B331" s="136">
        <v>10388.75</v>
      </c>
      <c r="C331" s="138">
        <f t="shared" si="10"/>
        <v>5.3710110565408087E-3</v>
      </c>
      <c r="D331" s="138">
        <f t="shared" si="11"/>
        <v>1.0053710110565408</v>
      </c>
    </row>
    <row r="332" spans="1:4" x14ac:dyDescent="0.2">
      <c r="A332" s="137">
        <v>43088</v>
      </c>
      <c r="B332" s="136">
        <v>10463.200000000001</v>
      </c>
      <c r="C332" s="138">
        <f t="shared" si="10"/>
        <v>7.1664059679943382E-3</v>
      </c>
      <c r="D332" s="138">
        <f t="shared" si="11"/>
        <v>1.0071664059679943</v>
      </c>
    </row>
    <row r="333" spans="1:4" x14ac:dyDescent="0.2">
      <c r="A333" s="137">
        <v>43089</v>
      </c>
      <c r="B333" s="136">
        <v>10444.200000000001</v>
      </c>
      <c r="C333" s="138">
        <f t="shared" si="10"/>
        <v>-1.8158880648367903E-3</v>
      </c>
      <c r="D333" s="138">
        <f t="shared" si="11"/>
        <v>0.99818411193516321</v>
      </c>
    </row>
    <row r="334" spans="1:4" x14ac:dyDescent="0.2">
      <c r="A334" s="137">
        <v>43090</v>
      </c>
      <c r="B334" s="136">
        <v>10440.299999999999</v>
      </c>
      <c r="C334" s="138">
        <f t="shared" si="10"/>
        <v>-3.7341299477233747E-4</v>
      </c>
      <c r="D334" s="138">
        <f t="shared" si="11"/>
        <v>0.99962658700522766</v>
      </c>
    </row>
    <row r="335" spans="1:4" x14ac:dyDescent="0.2">
      <c r="A335" s="137">
        <v>43091</v>
      </c>
      <c r="B335" s="136">
        <v>10493</v>
      </c>
      <c r="C335" s="138">
        <f t="shared" si="10"/>
        <v>5.047747670086089E-3</v>
      </c>
      <c r="D335" s="138">
        <f t="shared" si="11"/>
        <v>1.0050477476700861</v>
      </c>
    </row>
    <row r="336" spans="1:4" x14ac:dyDescent="0.2">
      <c r="A336" s="137">
        <v>43095</v>
      </c>
      <c r="B336" s="136">
        <v>10531.5</v>
      </c>
      <c r="C336" s="138">
        <f t="shared" si="10"/>
        <v>3.6691127418277958E-3</v>
      </c>
      <c r="D336" s="138">
        <f t="shared" si="11"/>
        <v>1.0036691127418278</v>
      </c>
    </row>
    <row r="337" spans="1:4" x14ac:dyDescent="0.2">
      <c r="A337" s="137">
        <v>43096</v>
      </c>
      <c r="B337" s="136">
        <v>10490.75</v>
      </c>
      <c r="C337" s="138">
        <f t="shared" si="10"/>
        <v>-3.8693443479086431E-3</v>
      </c>
      <c r="D337" s="138">
        <f t="shared" si="11"/>
        <v>0.99613065565209136</v>
      </c>
    </row>
    <row r="338" spans="1:4" x14ac:dyDescent="0.2">
      <c r="A338" s="137">
        <v>43097</v>
      </c>
      <c r="B338" s="136">
        <v>10477.9</v>
      </c>
      <c r="C338" s="138">
        <f t="shared" si="10"/>
        <v>-1.2248885923313857E-3</v>
      </c>
      <c r="D338" s="138">
        <f t="shared" si="11"/>
        <v>0.99877511140766861</v>
      </c>
    </row>
    <row r="339" spans="1:4" x14ac:dyDescent="0.2">
      <c r="A339" s="137">
        <v>43098</v>
      </c>
      <c r="B339" s="136">
        <v>10530.7</v>
      </c>
      <c r="C339" s="138">
        <f t="shared" si="10"/>
        <v>5.03917769782114E-3</v>
      </c>
      <c r="D339" s="138">
        <f t="shared" si="11"/>
        <v>1.0050391776978211</v>
      </c>
    </row>
    <row r="340" spans="1:4" x14ac:dyDescent="0.2">
      <c r="A340" s="137">
        <v>43101</v>
      </c>
      <c r="B340" s="136">
        <v>10435.549999999999</v>
      </c>
      <c r="C340" s="138">
        <f t="shared" si="10"/>
        <v>-9.0354867197813826E-3</v>
      </c>
      <c r="D340" s="138">
        <f t="shared" si="11"/>
        <v>0.99096451328021862</v>
      </c>
    </row>
    <row r="341" spans="1:4" x14ac:dyDescent="0.2">
      <c r="A341" s="137">
        <v>43102</v>
      </c>
      <c r="B341" s="136">
        <v>10442.200000000001</v>
      </c>
      <c r="C341" s="138">
        <f t="shared" si="10"/>
        <v>6.3724480262195016E-4</v>
      </c>
      <c r="D341" s="138">
        <f t="shared" si="11"/>
        <v>1.000637244802622</v>
      </c>
    </row>
    <row r="342" spans="1:4" x14ac:dyDescent="0.2">
      <c r="A342" s="137">
        <v>43103</v>
      </c>
      <c r="B342" s="136">
        <v>10443.200000000001</v>
      </c>
      <c r="C342" s="138">
        <f t="shared" si="10"/>
        <v>9.5765260194280444E-5</v>
      </c>
      <c r="D342" s="138">
        <f t="shared" si="11"/>
        <v>1.0000957652601943</v>
      </c>
    </row>
    <row r="343" spans="1:4" x14ac:dyDescent="0.2">
      <c r="A343" s="137">
        <v>43104</v>
      </c>
      <c r="B343" s="136">
        <v>10504.8</v>
      </c>
      <c r="C343" s="138">
        <f t="shared" si="10"/>
        <v>5.8985751493794147E-3</v>
      </c>
      <c r="D343" s="138">
        <f t="shared" si="11"/>
        <v>1.0058985751493794</v>
      </c>
    </row>
    <row r="344" spans="1:4" x14ac:dyDescent="0.2">
      <c r="A344" s="137">
        <v>43105</v>
      </c>
      <c r="B344" s="136">
        <v>10558.85</v>
      </c>
      <c r="C344" s="138">
        <f t="shared" si="10"/>
        <v>5.1452669255960259E-3</v>
      </c>
      <c r="D344" s="138">
        <f t="shared" si="11"/>
        <v>1.005145266925596</v>
      </c>
    </row>
    <row r="345" spans="1:4" x14ac:dyDescent="0.2">
      <c r="A345" s="137">
        <v>43108</v>
      </c>
      <c r="B345" s="136">
        <v>10623.6</v>
      </c>
      <c r="C345" s="138">
        <f t="shared" si="10"/>
        <v>6.132296604270282E-3</v>
      </c>
      <c r="D345" s="138">
        <f t="shared" si="11"/>
        <v>1.0061322966042703</v>
      </c>
    </row>
    <row r="346" spans="1:4" x14ac:dyDescent="0.2">
      <c r="A346" s="137">
        <v>43109</v>
      </c>
      <c r="B346" s="136">
        <v>10637</v>
      </c>
      <c r="C346" s="138">
        <f t="shared" si="10"/>
        <v>1.2613426710341713E-3</v>
      </c>
      <c r="D346" s="138">
        <f t="shared" si="11"/>
        <v>1.0012613426710342</v>
      </c>
    </row>
    <row r="347" spans="1:4" x14ac:dyDescent="0.2">
      <c r="A347" s="137">
        <v>43110</v>
      </c>
      <c r="B347" s="136">
        <v>10632.2</v>
      </c>
      <c r="C347" s="138">
        <f t="shared" si="10"/>
        <v>-4.5125505311638392E-4</v>
      </c>
      <c r="D347" s="138">
        <f t="shared" si="11"/>
        <v>0.99954874494688362</v>
      </c>
    </row>
    <row r="348" spans="1:4" x14ac:dyDescent="0.2">
      <c r="A348" s="137">
        <v>43111</v>
      </c>
      <c r="B348" s="136">
        <v>10651.2</v>
      </c>
      <c r="C348" s="138">
        <f t="shared" si="10"/>
        <v>1.7870243223414572E-3</v>
      </c>
      <c r="D348" s="138">
        <f t="shared" si="11"/>
        <v>1.0017870243223415</v>
      </c>
    </row>
    <row r="349" spans="1:4" x14ac:dyDescent="0.2">
      <c r="A349" s="137">
        <v>43112</v>
      </c>
      <c r="B349" s="136">
        <v>10681.25</v>
      </c>
      <c r="C349" s="138">
        <f t="shared" si="10"/>
        <v>2.8212783536125663E-3</v>
      </c>
      <c r="D349" s="138">
        <f t="shared" si="11"/>
        <v>1.0028212783536126</v>
      </c>
    </row>
    <row r="350" spans="1:4" x14ac:dyDescent="0.2">
      <c r="A350" s="137">
        <v>43115</v>
      </c>
      <c r="B350" s="136">
        <v>10741.55</v>
      </c>
      <c r="C350" s="138">
        <f t="shared" si="10"/>
        <v>5.6454066705675654E-3</v>
      </c>
      <c r="D350" s="138">
        <f t="shared" si="11"/>
        <v>1.0056454066705676</v>
      </c>
    </row>
    <row r="351" spans="1:4" x14ac:dyDescent="0.2">
      <c r="A351" s="137">
        <v>43116</v>
      </c>
      <c r="B351" s="136">
        <v>10700.45</v>
      </c>
      <c r="C351" s="138">
        <f t="shared" si="10"/>
        <v>-3.8262634349789382E-3</v>
      </c>
      <c r="D351" s="138">
        <f t="shared" si="11"/>
        <v>0.99617373656502106</v>
      </c>
    </row>
    <row r="352" spans="1:4" x14ac:dyDescent="0.2">
      <c r="A352" s="137">
        <v>43117</v>
      </c>
      <c r="B352" s="136">
        <v>10788.55</v>
      </c>
      <c r="C352" s="138">
        <f t="shared" si="10"/>
        <v>8.2332985995914321E-3</v>
      </c>
      <c r="D352" s="138">
        <f t="shared" si="11"/>
        <v>1.0082332985995914</v>
      </c>
    </row>
    <row r="353" spans="1:4" x14ac:dyDescent="0.2">
      <c r="A353" s="137">
        <v>43118</v>
      </c>
      <c r="B353" s="136">
        <v>10817</v>
      </c>
      <c r="C353" s="138">
        <f t="shared" si="10"/>
        <v>2.6370550259302572E-3</v>
      </c>
      <c r="D353" s="138">
        <f t="shared" si="11"/>
        <v>1.0026370550259303</v>
      </c>
    </row>
    <row r="354" spans="1:4" x14ac:dyDescent="0.2">
      <c r="A354" s="137">
        <v>43119</v>
      </c>
      <c r="B354" s="136">
        <v>10894.7</v>
      </c>
      <c r="C354" s="138">
        <f t="shared" si="10"/>
        <v>7.1831376536932723E-3</v>
      </c>
      <c r="D354" s="138">
        <f t="shared" si="11"/>
        <v>1.0071831376536933</v>
      </c>
    </row>
    <row r="355" spans="1:4" x14ac:dyDescent="0.2">
      <c r="A355" s="137">
        <v>43122</v>
      </c>
      <c r="B355" s="136">
        <v>10966.2</v>
      </c>
      <c r="C355" s="138">
        <f t="shared" si="10"/>
        <v>6.5628241254922504E-3</v>
      </c>
      <c r="D355" s="138">
        <f t="shared" si="11"/>
        <v>1.0065628241254923</v>
      </c>
    </row>
    <row r="356" spans="1:4" x14ac:dyDescent="0.2">
      <c r="A356" s="137">
        <v>43123</v>
      </c>
      <c r="B356" s="136">
        <v>11083.7</v>
      </c>
      <c r="C356" s="138">
        <f t="shared" si="10"/>
        <v>1.071474166073938E-2</v>
      </c>
      <c r="D356" s="138">
        <f t="shared" si="11"/>
        <v>1.0107147416607394</v>
      </c>
    </row>
    <row r="357" spans="1:4" x14ac:dyDescent="0.2">
      <c r="A357" s="137">
        <v>43124</v>
      </c>
      <c r="B357" s="136">
        <v>11086</v>
      </c>
      <c r="C357" s="138">
        <f t="shared" si="10"/>
        <v>2.0751193193602191E-4</v>
      </c>
      <c r="D357" s="138">
        <f t="shared" si="11"/>
        <v>1.000207511931936</v>
      </c>
    </row>
    <row r="358" spans="1:4" x14ac:dyDescent="0.2">
      <c r="A358" s="137">
        <v>43125</v>
      </c>
      <c r="B358" s="136">
        <v>11069.65</v>
      </c>
      <c r="C358" s="138">
        <f t="shared" si="10"/>
        <v>-1.4748331228576772E-3</v>
      </c>
      <c r="D358" s="138">
        <f t="shared" si="11"/>
        <v>0.99852516687714232</v>
      </c>
    </row>
    <row r="359" spans="1:4" x14ac:dyDescent="0.2">
      <c r="A359" s="137">
        <v>43129</v>
      </c>
      <c r="B359" s="136">
        <v>11130.4</v>
      </c>
      <c r="C359" s="138">
        <f t="shared" si="10"/>
        <v>5.4879783913674984E-3</v>
      </c>
      <c r="D359" s="138">
        <f t="shared" si="11"/>
        <v>1.0054879783913675</v>
      </c>
    </row>
    <row r="360" spans="1:4" x14ac:dyDescent="0.2">
      <c r="A360" s="137">
        <v>43130</v>
      </c>
      <c r="B360" s="136">
        <v>11049.65</v>
      </c>
      <c r="C360" s="138">
        <f t="shared" si="10"/>
        <v>-7.2549054840795879E-3</v>
      </c>
      <c r="D360" s="138">
        <f t="shared" si="11"/>
        <v>0.99274509451592041</v>
      </c>
    </row>
    <row r="361" spans="1:4" x14ac:dyDescent="0.2">
      <c r="A361" s="137">
        <v>43131</v>
      </c>
      <c r="B361" s="136">
        <v>11027.7</v>
      </c>
      <c r="C361" s="138">
        <f t="shared" si="10"/>
        <v>-1.9864882598090716E-3</v>
      </c>
      <c r="D361" s="138">
        <f t="shared" si="11"/>
        <v>0.99801351174019093</v>
      </c>
    </row>
    <row r="362" spans="1:4" x14ac:dyDescent="0.2">
      <c r="A362" s="137">
        <v>43132</v>
      </c>
      <c r="B362" s="136">
        <v>11016.9</v>
      </c>
      <c r="C362" s="138">
        <f t="shared" si="10"/>
        <v>-9.7935199542975582E-4</v>
      </c>
      <c r="D362" s="138">
        <f t="shared" si="11"/>
        <v>0.99902064800457024</v>
      </c>
    </row>
    <row r="363" spans="1:4" x14ac:dyDescent="0.2">
      <c r="A363" s="137">
        <v>43133</v>
      </c>
      <c r="B363" s="136">
        <v>10760.6</v>
      </c>
      <c r="C363" s="138">
        <f t="shared" si="10"/>
        <v>-2.326425764053397E-2</v>
      </c>
      <c r="D363" s="138">
        <f t="shared" si="11"/>
        <v>0.97673574235946603</v>
      </c>
    </row>
    <row r="364" spans="1:4" x14ac:dyDescent="0.2">
      <c r="A364" s="137">
        <v>43136</v>
      </c>
      <c r="B364" s="136">
        <v>10666.55</v>
      </c>
      <c r="C364" s="138">
        <f t="shared" si="10"/>
        <v>-8.7402189468990255E-3</v>
      </c>
      <c r="D364" s="138">
        <f t="shared" si="11"/>
        <v>0.99125978105310097</v>
      </c>
    </row>
    <row r="365" spans="1:4" x14ac:dyDescent="0.2">
      <c r="A365" s="137">
        <v>43137</v>
      </c>
      <c r="B365" s="136">
        <v>10498.25</v>
      </c>
      <c r="C365" s="138">
        <f t="shared" si="10"/>
        <v>-1.5778297575129607E-2</v>
      </c>
      <c r="D365" s="138">
        <f t="shared" si="11"/>
        <v>0.98422170242487039</v>
      </c>
    </row>
    <row r="366" spans="1:4" x14ac:dyDescent="0.2">
      <c r="A366" s="137">
        <v>43138</v>
      </c>
      <c r="B366" s="136">
        <v>10476.700000000001</v>
      </c>
      <c r="C366" s="138">
        <f t="shared" si="10"/>
        <v>-2.052723072893059E-3</v>
      </c>
      <c r="D366" s="138">
        <f t="shared" si="11"/>
        <v>0.99794727692710694</v>
      </c>
    </row>
    <row r="367" spans="1:4" x14ac:dyDescent="0.2">
      <c r="A367" s="137">
        <v>43139</v>
      </c>
      <c r="B367" s="136">
        <v>10576.85</v>
      </c>
      <c r="C367" s="138">
        <f t="shared" si="10"/>
        <v>9.5593077973026297E-3</v>
      </c>
      <c r="D367" s="138">
        <f t="shared" si="11"/>
        <v>1.0095593077973026</v>
      </c>
    </row>
    <row r="368" spans="1:4" x14ac:dyDescent="0.2">
      <c r="A368" s="137">
        <v>43140</v>
      </c>
      <c r="B368" s="136">
        <v>10454.950000000001</v>
      </c>
      <c r="C368" s="138">
        <f t="shared" si="10"/>
        <v>-1.1525170537541873E-2</v>
      </c>
      <c r="D368" s="138">
        <f t="shared" si="11"/>
        <v>0.98847482946245813</v>
      </c>
    </row>
    <row r="369" spans="1:4" x14ac:dyDescent="0.2">
      <c r="A369" s="137">
        <v>43143</v>
      </c>
      <c r="B369" s="136">
        <v>10539.75</v>
      </c>
      <c r="C369" s="138">
        <f t="shared" si="10"/>
        <v>8.1109904877592065E-3</v>
      </c>
      <c r="D369" s="138">
        <f t="shared" si="11"/>
        <v>1.0081109904877592</v>
      </c>
    </row>
    <row r="370" spans="1:4" x14ac:dyDescent="0.2">
      <c r="A370" s="137">
        <v>43145</v>
      </c>
      <c r="B370" s="136">
        <v>10500.9</v>
      </c>
      <c r="C370" s="138">
        <f t="shared" si="10"/>
        <v>-3.6860456841956157E-3</v>
      </c>
      <c r="D370" s="138">
        <f t="shared" si="11"/>
        <v>0.99631395431580438</v>
      </c>
    </row>
    <row r="371" spans="1:4" x14ac:dyDescent="0.2">
      <c r="A371" s="137">
        <v>43146</v>
      </c>
      <c r="B371" s="136">
        <v>10545.5</v>
      </c>
      <c r="C371" s="138">
        <f t="shared" si="10"/>
        <v>4.247254997190808E-3</v>
      </c>
      <c r="D371" s="138">
        <f t="shared" si="11"/>
        <v>1.0042472549971908</v>
      </c>
    </row>
    <row r="372" spans="1:4" x14ac:dyDescent="0.2">
      <c r="A372" s="137">
        <v>43147</v>
      </c>
      <c r="B372" s="136">
        <v>10452.299999999999</v>
      </c>
      <c r="C372" s="138">
        <f t="shared" si="10"/>
        <v>-8.8378929401167206E-3</v>
      </c>
      <c r="D372" s="138">
        <f t="shared" si="11"/>
        <v>0.99116210705988328</v>
      </c>
    </row>
    <row r="373" spans="1:4" x14ac:dyDescent="0.2">
      <c r="A373" s="137">
        <v>43150</v>
      </c>
      <c r="B373" s="136">
        <v>10378.4</v>
      </c>
      <c r="C373" s="138">
        <f t="shared" si="10"/>
        <v>-7.0702142112262223E-3</v>
      </c>
      <c r="D373" s="138">
        <f t="shared" si="11"/>
        <v>0.99292978578877378</v>
      </c>
    </row>
    <row r="374" spans="1:4" x14ac:dyDescent="0.2">
      <c r="A374" s="137">
        <v>43151</v>
      </c>
      <c r="B374" s="136">
        <v>10360.4</v>
      </c>
      <c r="C374" s="138">
        <f t="shared" si="10"/>
        <v>-1.7343713867262744E-3</v>
      </c>
      <c r="D374" s="138">
        <f t="shared" si="11"/>
        <v>0.99826562861327373</v>
      </c>
    </row>
    <row r="375" spans="1:4" x14ac:dyDescent="0.2">
      <c r="A375" s="137">
        <v>43152</v>
      </c>
      <c r="B375" s="136">
        <v>10397.450000000001</v>
      </c>
      <c r="C375" s="138">
        <f t="shared" si="10"/>
        <v>3.5761167522490034E-3</v>
      </c>
      <c r="D375" s="138">
        <f t="shared" si="11"/>
        <v>1.003576116752249</v>
      </c>
    </row>
    <row r="376" spans="1:4" x14ac:dyDescent="0.2">
      <c r="A376" s="137">
        <v>43153</v>
      </c>
      <c r="B376" s="136">
        <v>10382.700000000001</v>
      </c>
      <c r="C376" s="138">
        <f t="shared" si="10"/>
        <v>-1.4186170647610963E-3</v>
      </c>
      <c r="D376" s="138">
        <f t="shared" si="11"/>
        <v>0.9985813829352389</v>
      </c>
    </row>
    <row r="377" spans="1:4" x14ac:dyDescent="0.2">
      <c r="A377" s="137">
        <v>43154</v>
      </c>
      <c r="B377" s="136">
        <v>10491.05</v>
      </c>
      <c r="C377" s="138">
        <f t="shared" si="10"/>
        <v>1.0435628497404092E-2</v>
      </c>
      <c r="D377" s="138">
        <f t="shared" si="11"/>
        <v>1.0104356284974041</v>
      </c>
    </row>
    <row r="378" spans="1:4" x14ac:dyDescent="0.2">
      <c r="A378" s="137">
        <v>43157</v>
      </c>
      <c r="B378" s="136">
        <v>10582.6</v>
      </c>
      <c r="C378" s="138">
        <f t="shared" si="10"/>
        <v>8.7264859094180469E-3</v>
      </c>
      <c r="D378" s="138">
        <f t="shared" si="11"/>
        <v>1.008726485909418</v>
      </c>
    </row>
    <row r="379" spans="1:4" x14ac:dyDescent="0.2">
      <c r="A379" s="137">
        <v>43158</v>
      </c>
      <c r="B379" s="136">
        <v>10554.3</v>
      </c>
      <c r="C379" s="138">
        <f t="shared" si="10"/>
        <v>-2.6742010470017785E-3</v>
      </c>
      <c r="D379" s="138">
        <f t="shared" si="11"/>
        <v>0.99732579895299822</v>
      </c>
    </row>
    <row r="380" spans="1:4" x14ac:dyDescent="0.2">
      <c r="A380" s="137">
        <v>43159</v>
      </c>
      <c r="B380" s="136">
        <v>10492.85</v>
      </c>
      <c r="C380" s="138">
        <f t="shared" si="10"/>
        <v>-5.8222714912404827E-3</v>
      </c>
      <c r="D380" s="138">
        <f t="shared" si="11"/>
        <v>0.99417772850875952</v>
      </c>
    </row>
    <row r="381" spans="1:4" x14ac:dyDescent="0.2">
      <c r="A381" s="137">
        <v>43160</v>
      </c>
      <c r="B381" s="136">
        <v>10458.35</v>
      </c>
      <c r="C381" s="138">
        <f t="shared" si="10"/>
        <v>-3.2879532252915178E-3</v>
      </c>
      <c r="D381" s="138">
        <f t="shared" si="11"/>
        <v>0.99671204677470848</v>
      </c>
    </row>
    <row r="382" spans="1:4" x14ac:dyDescent="0.2">
      <c r="A382" s="137">
        <v>43164</v>
      </c>
      <c r="B382" s="136">
        <v>10358.85</v>
      </c>
      <c r="C382" s="138">
        <f t="shared" si="10"/>
        <v>-9.5139290614676408E-3</v>
      </c>
      <c r="D382" s="138">
        <f t="shared" si="11"/>
        <v>0.99048607093853236</v>
      </c>
    </row>
    <row r="383" spans="1:4" x14ac:dyDescent="0.2">
      <c r="A383" s="137">
        <v>43165</v>
      </c>
      <c r="B383" s="136">
        <v>10249.25</v>
      </c>
      <c r="C383" s="138">
        <f t="shared" si="10"/>
        <v>-1.0580325036080307E-2</v>
      </c>
      <c r="D383" s="138">
        <f t="shared" si="11"/>
        <v>0.98941967496391969</v>
      </c>
    </row>
    <row r="384" spans="1:4" x14ac:dyDescent="0.2">
      <c r="A384" s="137">
        <v>43166</v>
      </c>
      <c r="B384" s="136">
        <v>10154.200000000001</v>
      </c>
      <c r="C384" s="138">
        <f t="shared" si="10"/>
        <v>-9.2738493060466887E-3</v>
      </c>
      <c r="D384" s="138">
        <f t="shared" si="11"/>
        <v>0.99072615069395331</v>
      </c>
    </row>
    <row r="385" spans="1:4" x14ac:dyDescent="0.2">
      <c r="A385" s="137">
        <v>43167</v>
      </c>
      <c r="B385" s="136">
        <v>10242.65</v>
      </c>
      <c r="C385" s="138">
        <f t="shared" si="10"/>
        <v>8.7106812944395262E-3</v>
      </c>
      <c r="D385" s="138">
        <f t="shared" si="11"/>
        <v>1.0087106812944395</v>
      </c>
    </row>
    <row r="386" spans="1:4" x14ac:dyDescent="0.2">
      <c r="A386" s="137">
        <v>43168</v>
      </c>
      <c r="B386" s="136">
        <v>10226.85</v>
      </c>
      <c r="C386" s="138">
        <f t="shared" si="10"/>
        <v>-1.542569549872308E-3</v>
      </c>
      <c r="D386" s="138">
        <f t="shared" si="11"/>
        <v>0.99845743045012769</v>
      </c>
    </row>
    <row r="387" spans="1:4" x14ac:dyDescent="0.2">
      <c r="A387" s="137">
        <v>43171</v>
      </c>
      <c r="B387" s="136">
        <v>10421.4</v>
      </c>
      <c r="C387" s="138">
        <f t="shared" ref="C387:C450" si="12">B387/B386-1</f>
        <v>1.9023452969389343E-2</v>
      </c>
      <c r="D387" s="138">
        <f t="shared" ref="D387:D450" si="13">1+C387</f>
        <v>1.0190234529693893</v>
      </c>
    </row>
    <row r="388" spans="1:4" x14ac:dyDescent="0.2">
      <c r="A388" s="137">
        <v>43172</v>
      </c>
      <c r="B388" s="136">
        <v>10426.85</v>
      </c>
      <c r="C388" s="138">
        <f t="shared" si="12"/>
        <v>5.229623659011029E-4</v>
      </c>
      <c r="D388" s="138">
        <f t="shared" si="13"/>
        <v>1.0005229623659011</v>
      </c>
    </row>
    <row r="389" spans="1:4" x14ac:dyDescent="0.2">
      <c r="A389" s="137">
        <v>43173</v>
      </c>
      <c r="B389" s="136">
        <v>10410.9</v>
      </c>
      <c r="C389" s="138">
        <f t="shared" si="12"/>
        <v>-1.5297045608214654E-3</v>
      </c>
      <c r="D389" s="138">
        <f t="shared" si="13"/>
        <v>0.99847029543917853</v>
      </c>
    </row>
    <row r="390" spans="1:4" x14ac:dyDescent="0.2">
      <c r="A390" s="137">
        <v>43174</v>
      </c>
      <c r="B390" s="136">
        <v>10360.15</v>
      </c>
      <c r="C390" s="138">
        <f t="shared" si="12"/>
        <v>-4.8746986331633657E-3</v>
      </c>
      <c r="D390" s="138">
        <f t="shared" si="13"/>
        <v>0.99512530136683663</v>
      </c>
    </row>
    <row r="391" spans="1:4" x14ac:dyDescent="0.2">
      <c r="A391" s="137">
        <v>43175</v>
      </c>
      <c r="B391" s="136">
        <v>10195.15</v>
      </c>
      <c r="C391" s="138">
        <f t="shared" si="12"/>
        <v>-1.592641033189679E-2</v>
      </c>
      <c r="D391" s="138">
        <f t="shared" si="13"/>
        <v>0.98407358966810321</v>
      </c>
    </row>
    <row r="392" spans="1:4" x14ac:dyDescent="0.2">
      <c r="A392" s="137">
        <v>43178</v>
      </c>
      <c r="B392" s="136">
        <v>10094.25</v>
      </c>
      <c r="C392" s="138">
        <f t="shared" si="12"/>
        <v>-9.8968627239421902E-3</v>
      </c>
      <c r="D392" s="138">
        <f t="shared" si="13"/>
        <v>0.99010313727605781</v>
      </c>
    </row>
    <row r="393" spans="1:4" x14ac:dyDescent="0.2">
      <c r="A393" s="137">
        <v>43179</v>
      </c>
      <c r="B393" s="136">
        <v>10124.35</v>
      </c>
      <c r="C393" s="138">
        <f t="shared" si="12"/>
        <v>2.9818956336529201E-3</v>
      </c>
      <c r="D393" s="138">
        <f t="shared" si="13"/>
        <v>1.0029818956336529</v>
      </c>
    </row>
    <row r="394" spans="1:4" x14ac:dyDescent="0.2">
      <c r="A394" s="137">
        <v>43180</v>
      </c>
      <c r="B394" s="136">
        <v>10155.25</v>
      </c>
      <c r="C394" s="138">
        <f t="shared" si="12"/>
        <v>3.0520477857838291E-3</v>
      </c>
      <c r="D394" s="138">
        <f t="shared" si="13"/>
        <v>1.0030520477857838</v>
      </c>
    </row>
    <row r="395" spans="1:4" x14ac:dyDescent="0.2">
      <c r="A395" s="137">
        <v>43181</v>
      </c>
      <c r="B395" s="136">
        <v>10114.75</v>
      </c>
      <c r="C395" s="138">
        <f t="shared" si="12"/>
        <v>-3.988084980675044E-3</v>
      </c>
      <c r="D395" s="138">
        <f t="shared" si="13"/>
        <v>0.99601191501932496</v>
      </c>
    </row>
    <row r="396" spans="1:4" x14ac:dyDescent="0.2">
      <c r="A396" s="137">
        <v>43182</v>
      </c>
      <c r="B396" s="136">
        <v>9998.0499999999993</v>
      </c>
      <c r="C396" s="138">
        <f t="shared" si="12"/>
        <v>-1.1537605971477349E-2</v>
      </c>
      <c r="D396" s="138">
        <f t="shared" si="13"/>
        <v>0.98846239402852265</v>
      </c>
    </row>
    <row r="397" spans="1:4" x14ac:dyDescent="0.2">
      <c r="A397" s="137">
        <v>43185</v>
      </c>
      <c r="B397" s="136">
        <v>10130.65</v>
      </c>
      <c r="C397" s="138">
        <f t="shared" si="12"/>
        <v>1.3262586204309867E-2</v>
      </c>
      <c r="D397" s="138">
        <f t="shared" si="13"/>
        <v>1.0132625862043099</v>
      </c>
    </row>
    <row r="398" spans="1:4" x14ac:dyDescent="0.2">
      <c r="A398" s="137">
        <v>43186</v>
      </c>
      <c r="B398" s="136">
        <v>10184.15</v>
      </c>
      <c r="C398" s="138">
        <f t="shared" si="12"/>
        <v>5.2810036868315979E-3</v>
      </c>
      <c r="D398" s="138">
        <f t="shared" si="13"/>
        <v>1.0052810036868316</v>
      </c>
    </row>
    <row r="399" spans="1:4" x14ac:dyDescent="0.2">
      <c r="A399" s="137">
        <v>43187</v>
      </c>
      <c r="B399" s="136">
        <v>10113.700000000001</v>
      </c>
      <c r="C399" s="138">
        <f t="shared" si="12"/>
        <v>-6.9176121718551586E-3</v>
      </c>
      <c r="D399" s="138">
        <f t="shared" si="13"/>
        <v>0.99308238782814484</v>
      </c>
    </row>
    <row r="400" spans="1:4" x14ac:dyDescent="0.2">
      <c r="A400" s="137">
        <v>43192</v>
      </c>
      <c r="B400" s="136">
        <v>10211.799999999999</v>
      </c>
      <c r="C400" s="138">
        <f t="shared" si="12"/>
        <v>9.6997142489887445E-3</v>
      </c>
      <c r="D400" s="138">
        <f t="shared" si="13"/>
        <v>1.0096997142489887</v>
      </c>
    </row>
    <row r="401" spans="1:4" x14ac:dyDescent="0.2">
      <c r="A401" s="137">
        <v>43193</v>
      </c>
      <c r="B401" s="136">
        <v>10245</v>
      </c>
      <c r="C401" s="138">
        <f t="shared" si="12"/>
        <v>3.2511408370710093E-3</v>
      </c>
      <c r="D401" s="138">
        <f t="shared" si="13"/>
        <v>1.003251140837071</v>
      </c>
    </row>
    <row r="402" spans="1:4" x14ac:dyDescent="0.2">
      <c r="A402" s="137">
        <v>43194</v>
      </c>
      <c r="B402" s="136">
        <v>10128.4</v>
      </c>
      <c r="C402" s="138">
        <f t="shared" si="12"/>
        <v>-1.1381161542215801E-2</v>
      </c>
      <c r="D402" s="138">
        <f t="shared" si="13"/>
        <v>0.9886188384577842</v>
      </c>
    </row>
    <row r="403" spans="1:4" x14ac:dyDescent="0.2">
      <c r="A403" s="137">
        <v>43195</v>
      </c>
      <c r="B403" s="136">
        <v>10325.15</v>
      </c>
      <c r="C403" s="138">
        <f t="shared" si="12"/>
        <v>1.9425575609178125E-2</v>
      </c>
      <c r="D403" s="138">
        <f t="shared" si="13"/>
        <v>1.0194255756091781</v>
      </c>
    </row>
    <row r="404" spans="1:4" x14ac:dyDescent="0.2">
      <c r="A404" s="137">
        <v>43196</v>
      </c>
      <c r="B404" s="136">
        <v>10331.6</v>
      </c>
      <c r="C404" s="138">
        <f t="shared" si="12"/>
        <v>6.2468826118755594E-4</v>
      </c>
      <c r="D404" s="138">
        <f t="shared" si="13"/>
        <v>1.0006246882611876</v>
      </c>
    </row>
    <row r="405" spans="1:4" x14ac:dyDescent="0.2">
      <c r="A405" s="137">
        <v>43199</v>
      </c>
      <c r="B405" s="136">
        <v>10379.35</v>
      </c>
      <c r="C405" s="138">
        <f t="shared" si="12"/>
        <v>4.6217430020518702E-3</v>
      </c>
      <c r="D405" s="138">
        <f t="shared" si="13"/>
        <v>1.0046217430020519</v>
      </c>
    </row>
    <row r="406" spans="1:4" x14ac:dyDescent="0.2">
      <c r="A406" s="137">
        <v>43200</v>
      </c>
      <c r="B406" s="136">
        <v>10402.25</v>
      </c>
      <c r="C406" s="138">
        <f t="shared" si="12"/>
        <v>2.206303862958725E-3</v>
      </c>
      <c r="D406" s="138">
        <f t="shared" si="13"/>
        <v>1.0022063038629587</v>
      </c>
    </row>
    <row r="407" spans="1:4" x14ac:dyDescent="0.2">
      <c r="A407" s="137">
        <v>43201</v>
      </c>
      <c r="B407" s="136">
        <v>10417.15</v>
      </c>
      <c r="C407" s="138">
        <f t="shared" si="12"/>
        <v>1.4323824172655097E-3</v>
      </c>
      <c r="D407" s="138">
        <f t="shared" si="13"/>
        <v>1.0014323824172655</v>
      </c>
    </row>
    <row r="408" spans="1:4" x14ac:dyDescent="0.2">
      <c r="A408" s="137">
        <v>43202</v>
      </c>
      <c r="B408" s="136">
        <v>10458.65</v>
      </c>
      <c r="C408" s="138">
        <f t="shared" si="12"/>
        <v>3.9838151509770103E-3</v>
      </c>
      <c r="D408" s="138">
        <f t="shared" si="13"/>
        <v>1.003983815150977</v>
      </c>
    </row>
    <row r="409" spans="1:4" x14ac:dyDescent="0.2">
      <c r="A409" s="137">
        <v>43203</v>
      </c>
      <c r="B409" s="136">
        <v>10480.6</v>
      </c>
      <c r="C409" s="138">
        <f t="shared" si="12"/>
        <v>2.0987412333333122E-3</v>
      </c>
      <c r="D409" s="138">
        <f t="shared" si="13"/>
        <v>1.0020987412333333</v>
      </c>
    </row>
    <row r="410" spans="1:4" x14ac:dyDescent="0.2">
      <c r="A410" s="137">
        <v>43206</v>
      </c>
      <c r="B410" s="136">
        <v>10528.35</v>
      </c>
      <c r="C410" s="138">
        <f t="shared" si="12"/>
        <v>4.5560368681183405E-3</v>
      </c>
      <c r="D410" s="138">
        <f t="shared" si="13"/>
        <v>1.0045560368681183</v>
      </c>
    </row>
    <row r="411" spans="1:4" x14ac:dyDescent="0.2">
      <c r="A411" s="137">
        <v>43207</v>
      </c>
      <c r="B411" s="136">
        <v>10548.7</v>
      </c>
      <c r="C411" s="138">
        <f t="shared" si="12"/>
        <v>1.9328764716219915E-3</v>
      </c>
      <c r="D411" s="138">
        <f t="shared" si="13"/>
        <v>1.001932876471622</v>
      </c>
    </row>
    <row r="412" spans="1:4" x14ac:dyDescent="0.2">
      <c r="A412" s="137">
        <v>43208</v>
      </c>
      <c r="B412" s="136">
        <v>10526.2</v>
      </c>
      <c r="C412" s="138">
        <f t="shared" si="12"/>
        <v>-2.1329642515190983E-3</v>
      </c>
      <c r="D412" s="138">
        <f t="shared" si="13"/>
        <v>0.9978670357484809</v>
      </c>
    </row>
    <row r="413" spans="1:4" x14ac:dyDescent="0.2">
      <c r="A413" s="137">
        <v>43209</v>
      </c>
      <c r="B413" s="136">
        <v>10565.3</v>
      </c>
      <c r="C413" s="138">
        <f t="shared" si="12"/>
        <v>3.7145408599492669E-3</v>
      </c>
      <c r="D413" s="138">
        <f t="shared" si="13"/>
        <v>1.0037145408599493</v>
      </c>
    </row>
    <row r="414" spans="1:4" x14ac:dyDescent="0.2">
      <c r="A414" s="137">
        <v>43210</v>
      </c>
      <c r="B414" s="136">
        <v>10564.05</v>
      </c>
      <c r="C414" s="138">
        <f t="shared" si="12"/>
        <v>-1.1831183212973606E-4</v>
      </c>
      <c r="D414" s="138">
        <f t="shared" si="13"/>
        <v>0.99988168816787026</v>
      </c>
    </row>
    <row r="415" spans="1:4" x14ac:dyDescent="0.2">
      <c r="A415" s="137">
        <v>43213</v>
      </c>
      <c r="B415" s="136">
        <v>10584.7</v>
      </c>
      <c r="C415" s="138">
        <f t="shared" si="12"/>
        <v>1.9547427359773994E-3</v>
      </c>
      <c r="D415" s="138">
        <f t="shared" si="13"/>
        <v>1.0019547427359774</v>
      </c>
    </row>
    <row r="416" spans="1:4" x14ac:dyDescent="0.2">
      <c r="A416" s="137">
        <v>43214</v>
      </c>
      <c r="B416" s="136">
        <v>10614.35</v>
      </c>
      <c r="C416" s="138">
        <f t="shared" si="12"/>
        <v>2.8012130716978945E-3</v>
      </c>
      <c r="D416" s="138">
        <f t="shared" si="13"/>
        <v>1.0028012130716979</v>
      </c>
    </row>
    <row r="417" spans="1:4" x14ac:dyDescent="0.2">
      <c r="A417" s="137">
        <v>43215</v>
      </c>
      <c r="B417" s="136">
        <v>10570.55</v>
      </c>
      <c r="C417" s="138">
        <f t="shared" si="12"/>
        <v>-4.1264891397024828E-3</v>
      </c>
      <c r="D417" s="138">
        <f t="shared" si="13"/>
        <v>0.99587351086029752</v>
      </c>
    </row>
    <row r="418" spans="1:4" x14ac:dyDescent="0.2">
      <c r="A418" s="137">
        <v>43216</v>
      </c>
      <c r="B418" s="136">
        <v>10617.8</v>
      </c>
      <c r="C418" s="138">
        <f t="shared" si="12"/>
        <v>4.4699660850191503E-3</v>
      </c>
      <c r="D418" s="138">
        <f t="shared" si="13"/>
        <v>1.0044699660850192</v>
      </c>
    </row>
    <row r="419" spans="1:4" x14ac:dyDescent="0.2">
      <c r="A419" s="137">
        <v>43217</v>
      </c>
      <c r="B419" s="136">
        <v>10692.3</v>
      </c>
      <c r="C419" s="138">
        <f t="shared" si="12"/>
        <v>7.0165194296369915E-3</v>
      </c>
      <c r="D419" s="138">
        <f t="shared" si="13"/>
        <v>1.007016519429637</v>
      </c>
    </row>
    <row r="420" spans="1:4" x14ac:dyDescent="0.2">
      <c r="A420" s="137">
        <v>43220</v>
      </c>
      <c r="B420" s="136">
        <v>10739.35</v>
      </c>
      <c r="C420" s="138">
        <f t="shared" si="12"/>
        <v>4.4003628779589743E-3</v>
      </c>
      <c r="D420" s="138">
        <f t="shared" si="13"/>
        <v>1.004400362877959</v>
      </c>
    </row>
    <row r="421" spans="1:4" x14ac:dyDescent="0.2">
      <c r="A421" s="137">
        <v>43222</v>
      </c>
      <c r="B421" s="136">
        <v>10718.05</v>
      </c>
      <c r="C421" s="138">
        <f t="shared" si="12"/>
        <v>-1.9833602592336241E-3</v>
      </c>
      <c r="D421" s="138">
        <f t="shared" si="13"/>
        <v>0.99801663974076638</v>
      </c>
    </row>
    <row r="422" spans="1:4" x14ac:dyDescent="0.2">
      <c r="A422" s="137">
        <v>43223</v>
      </c>
      <c r="B422" s="136">
        <v>10679.65</v>
      </c>
      <c r="C422" s="138">
        <f t="shared" si="12"/>
        <v>-3.5827412635693889E-3</v>
      </c>
      <c r="D422" s="138">
        <f t="shared" si="13"/>
        <v>0.99641725873643061</v>
      </c>
    </row>
    <row r="423" spans="1:4" x14ac:dyDescent="0.2">
      <c r="A423" s="137">
        <v>43224</v>
      </c>
      <c r="B423" s="136">
        <v>10618.25</v>
      </c>
      <c r="C423" s="138">
        <f t="shared" si="12"/>
        <v>-5.7492520822310933E-3</v>
      </c>
      <c r="D423" s="138">
        <f t="shared" si="13"/>
        <v>0.99425074791776891</v>
      </c>
    </row>
    <row r="424" spans="1:4" x14ac:dyDescent="0.2">
      <c r="A424" s="137">
        <v>43227</v>
      </c>
      <c r="B424" s="136">
        <v>10715.5</v>
      </c>
      <c r="C424" s="138">
        <f t="shared" si="12"/>
        <v>9.1587596826219198E-3</v>
      </c>
      <c r="D424" s="138">
        <f t="shared" si="13"/>
        <v>1.0091587596826219</v>
      </c>
    </row>
    <row r="425" spans="1:4" x14ac:dyDescent="0.2">
      <c r="A425" s="137">
        <v>43228</v>
      </c>
      <c r="B425" s="136">
        <v>10717.8</v>
      </c>
      <c r="C425" s="138">
        <f t="shared" si="12"/>
        <v>2.1464234053469866E-4</v>
      </c>
      <c r="D425" s="138">
        <f t="shared" si="13"/>
        <v>1.0002146423405347</v>
      </c>
    </row>
    <row r="426" spans="1:4" x14ac:dyDescent="0.2">
      <c r="A426" s="137">
        <v>43229</v>
      </c>
      <c r="B426" s="136">
        <v>10741.7</v>
      </c>
      <c r="C426" s="138">
        <f t="shared" si="12"/>
        <v>2.2299352479053791E-3</v>
      </c>
      <c r="D426" s="138">
        <f t="shared" si="13"/>
        <v>1.0022299352479054</v>
      </c>
    </row>
    <row r="427" spans="1:4" x14ac:dyDescent="0.2">
      <c r="A427" s="137">
        <v>43230</v>
      </c>
      <c r="B427" s="136">
        <v>10716.55</v>
      </c>
      <c r="C427" s="138">
        <f t="shared" si="12"/>
        <v>-2.3413426180214358E-3</v>
      </c>
      <c r="D427" s="138">
        <f t="shared" si="13"/>
        <v>0.99765865738197856</v>
      </c>
    </row>
    <row r="428" spans="1:4" x14ac:dyDescent="0.2">
      <c r="A428" s="137">
        <v>43231</v>
      </c>
      <c r="B428" s="136">
        <v>10806.5</v>
      </c>
      <c r="C428" s="138">
        <f t="shared" si="12"/>
        <v>8.3935594944268832E-3</v>
      </c>
      <c r="D428" s="138">
        <f t="shared" si="13"/>
        <v>1.0083935594944269</v>
      </c>
    </row>
    <row r="429" spans="1:4" x14ac:dyDescent="0.2">
      <c r="A429" s="137">
        <v>43234</v>
      </c>
      <c r="B429" s="136">
        <v>10806.6</v>
      </c>
      <c r="C429" s="138">
        <f t="shared" si="12"/>
        <v>9.2536899087836133E-6</v>
      </c>
      <c r="D429" s="138">
        <f t="shared" si="13"/>
        <v>1.0000092536899088</v>
      </c>
    </row>
    <row r="430" spans="1:4" x14ac:dyDescent="0.2">
      <c r="A430" s="137">
        <v>43235</v>
      </c>
      <c r="B430" s="136">
        <v>10801.85</v>
      </c>
      <c r="C430" s="138">
        <f t="shared" si="12"/>
        <v>-4.3954620324615501E-4</v>
      </c>
      <c r="D430" s="138">
        <f t="shared" si="13"/>
        <v>0.99956045379675384</v>
      </c>
    </row>
    <row r="431" spans="1:4" x14ac:dyDescent="0.2">
      <c r="A431" s="137">
        <v>43236</v>
      </c>
      <c r="B431" s="136">
        <v>10741.1</v>
      </c>
      <c r="C431" s="138">
        <f t="shared" si="12"/>
        <v>-5.6240366233561989E-3</v>
      </c>
      <c r="D431" s="138">
        <f t="shared" si="13"/>
        <v>0.9943759633766438</v>
      </c>
    </row>
    <row r="432" spans="1:4" x14ac:dyDescent="0.2">
      <c r="A432" s="137">
        <v>43237</v>
      </c>
      <c r="B432" s="136">
        <v>10682.7</v>
      </c>
      <c r="C432" s="138">
        <f t="shared" si="12"/>
        <v>-5.4370595190436077E-3</v>
      </c>
      <c r="D432" s="138">
        <f t="shared" si="13"/>
        <v>0.99456294048095639</v>
      </c>
    </row>
    <row r="433" spans="1:4" x14ac:dyDescent="0.2">
      <c r="A433" s="137">
        <v>43238</v>
      </c>
      <c r="B433" s="136">
        <v>10596.4</v>
      </c>
      <c r="C433" s="138">
        <f t="shared" si="12"/>
        <v>-8.0784820316962547E-3</v>
      </c>
      <c r="D433" s="138">
        <f t="shared" si="13"/>
        <v>0.99192151796830375</v>
      </c>
    </row>
    <row r="434" spans="1:4" x14ac:dyDescent="0.2">
      <c r="A434" s="137">
        <v>43241</v>
      </c>
      <c r="B434" s="136">
        <v>10516.7</v>
      </c>
      <c r="C434" s="138">
        <f t="shared" si="12"/>
        <v>-7.5214223698613081E-3</v>
      </c>
      <c r="D434" s="138">
        <f t="shared" si="13"/>
        <v>0.99247857763013869</v>
      </c>
    </row>
    <row r="435" spans="1:4" x14ac:dyDescent="0.2">
      <c r="A435" s="137">
        <v>43242</v>
      </c>
      <c r="B435" s="136">
        <v>10536.7</v>
      </c>
      <c r="C435" s="138">
        <f t="shared" si="12"/>
        <v>1.9017372369660723E-3</v>
      </c>
      <c r="D435" s="138">
        <f t="shared" si="13"/>
        <v>1.0019017372369661</v>
      </c>
    </row>
    <row r="436" spans="1:4" x14ac:dyDescent="0.2">
      <c r="A436" s="137">
        <v>43243</v>
      </c>
      <c r="B436" s="136">
        <v>10430.35</v>
      </c>
      <c r="C436" s="138">
        <f t="shared" si="12"/>
        <v>-1.0093292966488643E-2</v>
      </c>
      <c r="D436" s="138">
        <f t="shared" si="13"/>
        <v>0.98990670703351136</v>
      </c>
    </row>
    <row r="437" spans="1:4" x14ac:dyDescent="0.2">
      <c r="A437" s="137">
        <v>43244</v>
      </c>
      <c r="B437" s="136">
        <v>10513.85</v>
      </c>
      <c r="C437" s="138">
        <f t="shared" si="12"/>
        <v>8.0054839962224733E-3</v>
      </c>
      <c r="D437" s="138">
        <f t="shared" si="13"/>
        <v>1.0080054839962225</v>
      </c>
    </row>
    <row r="438" spans="1:4" x14ac:dyDescent="0.2">
      <c r="A438" s="137">
        <v>43245</v>
      </c>
      <c r="B438" s="136">
        <v>10605.15</v>
      </c>
      <c r="C438" s="138">
        <f t="shared" si="12"/>
        <v>8.6837837709305976E-3</v>
      </c>
      <c r="D438" s="138">
        <f t="shared" si="13"/>
        <v>1.0086837837709306</v>
      </c>
    </row>
    <row r="439" spans="1:4" x14ac:dyDescent="0.2">
      <c r="A439" s="137">
        <v>43248</v>
      </c>
      <c r="B439" s="136">
        <v>10688.65</v>
      </c>
      <c r="C439" s="138">
        <f t="shared" si="12"/>
        <v>7.8735331419168553E-3</v>
      </c>
      <c r="D439" s="138">
        <f t="shared" si="13"/>
        <v>1.0078735331419169</v>
      </c>
    </row>
    <row r="440" spans="1:4" x14ac:dyDescent="0.2">
      <c r="A440" s="137">
        <v>43249</v>
      </c>
      <c r="B440" s="136">
        <v>10633.3</v>
      </c>
      <c r="C440" s="138">
        <f t="shared" si="12"/>
        <v>-5.1783901615265471E-3</v>
      </c>
      <c r="D440" s="138">
        <f t="shared" si="13"/>
        <v>0.99482160983847345</v>
      </c>
    </row>
    <row r="441" spans="1:4" x14ac:dyDescent="0.2">
      <c r="A441" s="137">
        <v>43250</v>
      </c>
      <c r="B441" s="136">
        <v>10614.35</v>
      </c>
      <c r="C441" s="138">
        <f t="shared" si="12"/>
        <v>-1.7821372480790743E-3</v>
      </c>
      <c r="D441" s="138">
        <f t="shared" si="13"/>
        <v>0.99821786275192093</v>
      </c>
    </row>
    <row r="442" spans="1:4" x14ac:dyDescent="0.2">
      <c r="A442" s="137">
        <v>43251</v>
      </c>
      <c r="B442" s="136">
        <v>10736.15</v>
      </c>
      <c r="C442" s="138">
        <f t="shared" si="12"/>
        <v>1.147503144328188E-2</v>
      </c>
      <c r="D442" s="138">
        <f t="shared" si="13"/>
        <v>1.0114750314432819</v>
      </c>
    </row>
    <row r="443" spans="1:4" x14ac:dyDescent="0.2">
      <c r="A443" s="137">
        <v>43252</v>
      </c>
      <c r="B443" s="136">
        <v>10696.2</v>
      </c>
      <c r="C443" s="138">
        <f t="shared" si="12"/>
        <v>-3.7210731966299537E-3</v>
      </c>
      <c r="D443" s="138">
        <f t="shared" si="13"/>
        <v>0.99627892680337005</v>
      </c>
    </row>
    <row r="444" spans="1:4" x14ac:dyDescent="0.2">
      <c r="A444" s="137">
        <v>43255</v>
      </c>
      <c r="B444" s="136">
        <v>10628.5</v>
      </c>
      <c r="C444" s="138">
        <f t="shared" si="12"/>
        <v>-6.3293506104972197E-3</v>
      </c>
      <c r="D444" s="138">
        <f t="shared" si="13"/>
        <v>0.99367064938950278</v>
      </c>
    </row>
    <row r="445" spans="1:4" x14ac:dyDescent="0.2">
      <c r="A445" s="137">
        <v>43256</v>
      </c>
      <c r="B445" s="136">
        <v>10593.15</v>
      </c>
      <c r="C445" s="138">
        <f t="shared" si="12"/>
        <v>-3.3259632121184213E-3</v>
      </c>
      <c r="D445" s="138">
        <f t="shared" si="13"/>
        <v>0.99667403678788158</v>
      </c>
    </row>
    <row r="446" spans="1:4" x14ac:dyDescent="0.2">
      <c r="A446" s="137">
        <v>43257</v>
      </c>
      <c r="B446" s="136">
        <v>10684.65</v>
      </c>
      <c r="C446" s="138">
        <f t="shared" si="12"/>
        <v>8.6376573540447588E-3</v>
      </c>
      <c r="D446" s="138">
        <f t="shared" si="13"/>
        <v>1.0086376573540448</v>
      </c>
    </row>
    <row r="447" spans="1:4" x14ac:dyDescent="0.2">
      <c r="A447" s="137">
        <v>43258</v>
      </c>
      <c r="B447" s="136">
        <v>10768.35</v>
      </c>
      <c r="C447" s="138">
        <f t="shared" si="12"/>
        <v>7.833667925482013E-3</v>
      </c>
      <c r="D447" s="138">
        <f t="shared" si="13"/>
        <v>1.007833667925482</v>
      </c>
    </row>
    <row r="448" spans="1:4" x14ac:dyDescent="0.2">
      <c r="A448" s="137">
        <v>43259</v>
      </c>
      <c r="B448" s="136">
        <v>10767.65</v>
      </c>
      <c r="C448" s="138">
        <f t="shared" si="12"/>
        <v>-6.5005316506328015E-5</v>
      </c>
      <c r="D448" s="138">
        <f t="shared" si="13"/>
        <v>0.99993499468349367</v>
      </c>
    </row>
    <row r="449" spans="1:4" x14ac:dyDescent="0.2">
      <c r="A449" s="137">
        <v>43262</v>
      </c>
      <c r="B449" s="136">
        <v>10786.95</v>
      </c>
      <c r="C449" s="138">
        <f t="shared" si="12"/>
        <v>1.7924059567315798E-3</v>
      </c>
      <c r="D449" s="138">
        <f t="shared" si="13"/>
        <v>1.0017924059567316</v>
      </c>
    </row>
    <row r="450" spans="1:4" x14ac:dyDescent="0.2">
      <c r="A450" s="137">
        <v>43263</v>
      </c>
      <c r="B450" s="136">
        <v>10842.85</v>
      </c>
      <c r="C450" s="138">
        <f t="shared" si="12"/>
        <v>5.1821877361071245E-3</v>
      </c>
      <c r="D450" s="138">
        <f t="shared" si="13"/>
        <v>1.0051821877361071</v>
      </c>
    </row>
    <row r="451" spans="1:4" x14ac:dyDescent="0.2">
      <c r="A451" s="137">
        <v>43264</v>
      </c>
      <c r="B451" s="136">
        <v>10856.7</v>
      </c>
      <c r="C451" s="138">
        <f t="shared" ref="C451:C514" si="14">B451/B450-1</f>
        <v>1.2773394448877262E-3</v>
      </c>
      <c r="D451" s="138">
        <f t="shared" ref="D451:D514" si="15">1+C451</f>
        <v>1.0012773394448877</v>
      </c>
    </row>
    <row r="452" spans="1:4" x14ac:dyDescent="0.2">
      <c r="A452" s="137">
        <v>43265</v>
      </c>
      <c r="B452" s="136">
        <v>10808.05</v>
      </c>
      <c r="C452" s="138">
        <f t="shared" si="14"/>
        <v>-4.4811038344986232E-3</v>
      </c>
      <c r="D452" s="138">
        <f t="shared" si="15"/>
        <v>0.99551889616550138</v>
      </c>
    </row>
    <row r="453" spans="1:4" x14ac:dyDescent="0.2">
      <c r="A453" s="137">
        <v>43266</v>
      </c>
      <c r="B453" s="136">
        <v>10817.7</v>
      </c>
      <c r="C453" s="138">
        <f t="shared" si="14"/>
        <v>8.9285301233821279E-4</v>
      </c>
      <c r="D453" s="138">
        <f t="shared" si="15"/>
        <v>1.0008928530123382</v>
      </c>
    </row>
    <row r="454" spans="1:4" x14ac:dyDescent="0.2">
      <c r="A454" s="137">
        <v>43269</v>
      </c>
      <c r="B454" s="136">
        <v>10799.85</v>
      </c>
      <c r="C454" s="138">
        <f t="shared" si="14"/>
        <v>-1.6500734906681469E-3</v>
      </c>
      <c r="D454" s="138">
        <f t="shared" si="15"/>
        <v>0.99834992650933185</v>
      </c>
    </row>
    <row r="455" spans="1:4" x14ac:dyDescent="0.2">
      <c r="A455" s="137">
        <v>43270</v>
      </c>
      <c r="B455" s="136">
        <v>10710.45</v>
      </c>
      <c r="C455" s="138">
        <f t="shared" si="14"/>
        <v>-8.2778927485103182E-3</v>
      </c>
      <c r="D455" s="138">
        <f t="shared" si="15"/>
        <v>0.99172210725148968</v>
      </c>
    </row>
    <row r="456" spans="1:4" x14ac:dyDescent="0.2">
      <c r="A456" s="137">
        <v>43271</v>
      </c>
      <c r="B456" s="136">
        <v>10772.05</v>
      </c>
      <c r="C456" s="138">
        <f t="shared" si="14"/>
        <v>5.7513923317880078E-3</v>
      </c>
      <c r="D456" s="138">
        <f t="shared" si="15"/>
        <v>1.005751392331788</v>
      </c>
    </row>
    <row r="457" spans="1:4" x14ac:dyDescent="0.2">
      <c r="A457" s="137">
        <v>43272</v>
      </c>
      <c r="B457" s="136">
        <v>10741.1</v>
      </c>
      <c r="C457" s="138">
        <f t="shared" si="14"/>
        <v>-2.8731764148883787E-3</v>
      </c>
      <c r="D457" s="138">
        <f t="shared" si="15"/>
        <v>0.99712682358511162</v>
      </c>
    </row>
    <row r="458" spans="1:4" x14ac:dyDescent="0.2">
      <c r="A458" s="137">
        <v>43273</v>
      </c>
      <c r="B458" s="136">
        <v>10821.85</v>
      </c>
      <c r="C458" s="138">
        <f t="shared" si="14"/>
        <v>7.5178519890886086E-3</v>
      </c>
      <c r="D458" s="138">
        <f t="shared" si="15"/>
        <v>1.0075178519890886</v>
      </c>
    </row>
    <row r="459" spans="1:4" x14ac:dyDescent="0.2">
      <c r="A459" s="137">
        <v>43276</v>
      </c>
      <c r="B459" s="136">
        <v>10762.45</v>
      </c>
      <c r="C459" s="138">
        <f t="shared" si="14"/>
        <v>-5.4888951519379559E-3</v>
      </c>
      <c r="D459" s="138">
        <f t="shared" si="15"/>
        <v>0.99451110484806204</v>
      </c>
    </row>
    <row r="460" spans="1:4" x14ac:dyDescent="0.2">
      <c r="A460" s="137">
        <v>43277</v>
      </c>
      <c r="B460" s="136">
        <v>10769.15</v>
      </c>
      <c r="C460" s="138">
        <f t="shared" si="14"/>
        <v>6.2253483175278568E-4</v>
      </c>
      <c r="D460" s="138">
        <f t="shared" si="15"/>
        <v>1.0006225348317528</v>
      </c>
    </row>
    <row r="461" spans="1:4" x14ac:dyDescent="0.2">
      <c r="A461" s="137">
        <v>43278</v>
      </c>
      <c r="B461" s="136">
        <v>10671.4</v>
      </c>
      <c r="C461" s="138">
        <f t="shared" si="14"/>
        <v>-9.0768537906891211E-3</v>
      </c>
      <c r="D461" s="138">
        <f t="shared" si="15"/>
        <v>0.99092314620931088</v>
      </c>
    </row>
    <row r="462" spans="1:4" x14ac:dyDescent="0.2">
      <c r="A462" s="137">
        <v>43279</v>
      </c>
      <c r="B462" s="136">
        <v>10589.1</v>
      </c>
      <c r="C462" s="138">
        <f t="shared" si="14"/>
        <v>-7.7122027100473556E-3</v>
      </c>
      <c r="D462" s="138">
        <f t="shared" si="15"/>
        <v>0.99228779728995264</v>
      </c>
    </row>
    <row r="463" spans="1:4" x14ac:dyDescent="0.2">
      <c r="A463" s="137">
        <v>43280</v>
      </c>
      <c r="B463" s="136">
        <v>10714.3</v>
      </c>
      <c r="C463" s="138">
        <f t="shared" si="14"/>
        <v>1.1823478860337522E-2</v>
      </c>
      <c r="D463" s="138">
        <f t="shared" si="15"/>
        <v>1.0118234788603375</v>
      </c>
    </row>
    <row r="464" spans="1:4" x14ac:dyDescent="0.2">
      <c r="A464" s="137">
        <v>43283</v>
      </c>
      <c r="B464" s="136">
        <v>10657.3</v>
      </c>
      <c r="C464" s="138">
        <f t="shared" si="14"/>
        <v>-5.3199929066761742E-3</v>
      </c>
      <c r="D464" s="138">
        <f t="shared" si="15"/>
        <v>0.99468000709332383</v>
      </c>
    </row>
    <row r="465" spans="1:4" x14ac:dyDescent="0.2">
      <c r="A465" s="137">
        <v>43284</v>
      </c>
      <c r="B465" s="136">
        <v>10699.9</v>
      </c>
      <c r="C465" s="138">
        <f t="shared" si="14"/>
        <v>3.9972600940201275E-3</v>
      </c>
      <c r="D465" s="138">
        <f t="shared" si="15"/>
        <v>1.0039972600940201</v>
      </c>
    </row>
    <row r="466" spans="1:4" x14ac:dyDescent="0.2">
      <c r="A466" s="137">
        <v>43285</v>
      </c>
      <c r="B466" s="136">
        <v>10769.9</v>
      </c>
      <c r="C466" s="138">
        <f t="shared" si="14"/>
        <v>6.5421172160486929E-3</v>
      </c>
      <c r="D466" s="138">
        <f t="shared" si="15"/>
        <v>1.0065421172160487</v>
      </c>
    </row>
    <row r="467" spans="1:4" x14ac:dyDescent="0.2">
      <c r="A467" s="137">
        <v>43286</v>
      </c>
      <c r="B467" s="136">
        <v>10749.75</v>
      </c>
      <c r="C467" s="138">
        <f t="shared" si="14"/>
        <v>-1.8709551620720299E-3</v>
      </c>
      <c r="D467" s="138">
        <f t="shared" si="15"/>
        <v>0.99812904483792797</v>
      </c>
    </row>
    <row r="468" spans="1:4" x14ac:dyDescent="0.2">
      <c r="A468" s="137">
        <v>43287</v>
      </c>
      <c r="B468" s="136">
        <v>10772.65</v>
      </c>
      <c r="C468" s="138">
        <f t="shared" si="14"/>
        <v>2.130282099583658E-3</v>
      </c>
      <c r="D468" s="138">
        <f t="shared" si="15"/>
        <v>1.0021302820995837</v>
      </c>
    </row>
    <row r="469" spans="1:4" x14ac:dyDescent="0.2">
      <c r="A469" s="137">
        <v>43290</v>
      </c>
      <c r="B469" s="136">
        <v>10852.9</v>
      </c>
      <c r="C469" s="138">
        <f t="shared" si="14"/>
        <v>7.4494205232695787E-3</v>
      </c>
      <c r="D469" s="138">
        <f t="shared" si="15"/>
        <v>1.0074494205232696</v>
      </c>
    </row>
    <row r="470" spans="1:4" x14ac:dyDescent="0.2">
      <c r="A470" s="137">
        <v>43291</v>
      </c>
      <c r="B470" s="136">
        <v>10947.25</v>
      </c>
      <c r="C470" s="138">
        <f t="shared" si="14"/>
        <v>8.6935289185379183E-3</v>
      </c>
      <c r="D470" s="138">
        <f t="shared" si="15"/>
        <v>1.0086935289185379</v>
      </c>
    </row>
    <row r="471" spans="1:4" x14ac:dyDescent="0.2">
      <c r="A471" s="137">
        <v>43292</v>
      </c>
      <c r="B471" s="136">
        <v>10948.3</v>
      </c>
      <c r="C471" s="138">
        <f t="shared" si="14"/>
        <v>9.591449907508931E-5</v>
      </c>
      <c r="D471" s="138">
        <f t="shared" si="15"/>
        <v>1.0000959144990751</v>
      </c>
    </row>
    <row r="472" spans="1:4" x14ac:dyDescent="0.2">
      <c r="A472" s="137">
        <v>43293</v>
      </c>
      <c r="B472" s="136">
        <v>11023.2</v>
      </c>
      <c r="C472" s="138">
        <f t="shared" si="14"/>
        <v>6.8412447594605741E-3</v>
      </c>
      <c r="D472" s="138">
        <f t="shared" si="15"/>
        <v>1.0068412447594606</v>
      </c>
    </row>
    <row r="473" spans="1:4" x14ac:dyDescent="0.2">
      <c r="A473" s="137">
        <v>43294</v>
      </c>
      <c r="B473" s="136">
        <v>11018.9</v>
      </c>
      <c r="C473" s="138">
        <f t="shared" si="14"/>
        <v>-3.9008636330661872E-4</v>
      </c>
      <c r="D473" s="138">
        <f t="shared" si="15"/>
        <v>0.99960991363669338</v>
      </c>
    </row>
    <row r="474" spans="1:4" x14ac:dyDescent="0.2">
      <c r="A474" s="137">
        <v>43297</v>
      </c>
      <c r="B474" s="136">
        <v>10936.85</v>
      </c>
      <c r="C474" s="138">
        <f t="shared" si="14"/>
        <v>-7.4462968172865907E-3</v>
      </c>
      <c r="D474" s="138">
        <f t="shared" si="15"/>
        <v>0.99255370318271341</v>
      </c>
    </row>
    <row r="475" spans="1:4" x14ac:dyDescent="0.2">
      <c r="A475" s="137">
        <v>43298</v>
      </c>
      <c r="B475" s="136">
        <v>11008.05</v>
      </c>
      <c r="C475" s="138">
        <f t="shared" si="14"/>
        <v>6.5101011717265678E-3</v>
      </c>
      <c r="D475" s="138">
        <f t="shared" si="15"/>
        <v>1.0065101011717266</v>
      </c>
    </row>
    <row r="476" spans="1:4" x14ac:dyDescent="0.2">
      <c r="A476" s="137">
        <v>43299</v>
      </c>
      <c r="B476" s="136">
        <v>10980.45</v>
      </c>
      <c r="C476" s="138">
        <f t="shared" si="14"/>
        <v>-2.5072560535243094E-3</v>
      </c>
      <c r="D476" s="138">
        <f t="shared" si="15"/>
        <v>0.99749274394647569</v>
      </c>
    </row>
    <row r="477" spans="1:4" x14ac:dyDescent="0.2">
      <c r="A477" s="137">
        <v>43300</v>
      </c>
      <c r="B477" s="136">
        <v>10957.1</v>
      </c>
      <c r="C477" s="138">
        <f t="shared" si="14"/>
        <v>-2.1265066550095746E-3</v>
      </c>
      <c r="D477" s="138">
        <f t="shared" si="15"/>
        <v>0.99787349334499043</v>
      </c>
    </row>
    <row r="478" spans="1:4" x14ac:dyDescent="0.2">
      <c r="A478" s="137">
        <v>43301</v>
      </c>
      <c r="B478" s="136">
        <v>11010.2</v>
      </c>
      <c r="C478" s="138">
        <f t="shared" si="14"/>
        <v>4.8461728011974792E-3</v>
      </c>
      <c r="D478" s="138">
        <f t="shared" si="15"/>
        <v>1.0048461728011975</v>
      </c>
    </row>
    <row r="479" spans="1:4" x14ac:dyDescent="0.2">
      <c r="A479" s="137">
        <v>43304</v>
      </c>
      <c r="B479" s="136">
        <v>11084.75</v>
      </c>
      <c r="C479" s="138">
        <f t="shared" si="14"/>
        <v>6.770994169043254E-3</v>
      </c>
      <c r="D479" s="138">
        <f t="shared" si="15"/>
        <v>1.0067709941690433</v>
      </c>
    </row>
    <row r="480" spans="1:4" x14ac:dyDescent="0.2">
      <c r="A480" s="137">
        <v>43305</v>
      </c>
      <c r="B480" s="136">
        <v>11134.3</v>
      </c>
      <c r="C480" s="138">
        <f t="shared" si="14"/>
        <v>4.4701053248832334E-3</v>
      </c>
      <c r="D480" s="138">
        <f t="shared" si="15"/>
        <v>1.0044701053248832</v>
      </c>
    </row>
    <row r="481" spans="1:4" x14ac:dyDescent="0.2">
      <c r="A481" s="137">
        <v>43306</v>
      </c>
      <c r="B481" s="136">
        <v>11132</v>
      </c>
      <c r="C481" s="138">
        <f t="shared" si="14"/>
        <v>-2.0656889072501183E-4</v>
      </c>
      <c r="D481" s="138">
        <f t="shared" si="15"/>
        <v>0.99979343110927499</v>
      </c>
    </row>
    <row r="482" spans="1:4" x14ac:dyDescent="0.2">
      <c r="A482" s="137">
        <v>43307</v>
      </c>
      <c r="B482" s="136">
        <v>11167.3</v>
      </c>
      <c r="C482" s="138">
        <f t="shared" si="14"/>
        <v>3.1710384477181552E-3</v>
      </c>
      <c r="D482" s="138">
        <f t="shared" si="15"/>
        <v>1.0031710384477182</v>
      </c>
    </row>
    <row r="483" spans="1:4" x14ac:dyDescent="0.2">
      <c r="A483" s="137">
        <v>43308</v>
      </c>
      <c r="B483" s="136">
        <v>11278.35</v>
      </c>
      <c r="C483" s="138">
        <f t="shared" si="14"/>
        <v>9.9442121193127342E-3</v>
      </c>
      <c r="D483" s="138">
        <f t="shared" si="15"/>
        <v>1.0099442121193127</v>
      </c>
    </row>
    <row r="484" spans="1:4" x14ac:dyDescent="0.2">
      <c r="A484" s="137">
        <v>43311</v>
      </c>
      <c r="B484" s="136">
        <v>11319.55</v>
      </c>
      <c r="C484" s="138">
        <f t="shared" si="14"/>
        <v>3.6530166203387893E-3</v>
      </c>
      <c r="D484" s="138">
        <f t="shared" si="15"/>
        <v>1.0036530166203388</v>
      </c>
    </row>
    <row r="485" spans="1:4" x14ac:dyDescent="0.2">
      <c r="A485" s="137">
        <v>43312</v>
      </c>
      <c r="B485" s="136">
        <v>11356.5</v>
      </c>
      <c r="C485" s="138">
        <f t="shared" si="14"/>
        <v>3.2642640387647859E-3</v>
      </c>
      <c r="D485" s="138">
        <f t="shared" si="15"/>
        <v>1.0032642640387648</v>
      </c>
    </row>
    <row r="486" spans="1:4" x14ac:dyDescent="0.2">
      <c r="A486" s="137">
        <v>43313</v>
      </c>
      <c r="B486" s="136">
        <v>11346.2</v>
      </c>
      <c r="C486" s="138">
        <f t="shared" si="14"/>
        <v>-9.0696957689417879E-4</v>
      </c>
      <c r="D486" s="138">
        <f t="shared" si="15"/>
        <v>0.99909303042310582</v>
      </c>
    </row>
    <row r="487" spans="1:4" x14ac:dyDescent="0.2">
      <c r="A487" s="137">
        <v>43314</v>
      </c>
      <c r="B487" s="136">
        <v>11244.7</v>
      </c>
      <c r="C487" s="138">
        <f t="shared" si="14"/>
        <v>-8.9457263224691497E-3</v>
      </c>
      <c r="D487" s="138">
        <f t="shared" si="15"/>
        <v>0.99105427367753085</v>
      </c>
    </row>
    <row r="488" spans="1:4" x14ac:dyDescent="0.2">
      <c r="A488" s="137">
        <v>43315</v>
      </c>
      <c r="B488" s="136">
        <v>11360.8</v>
      </c>
      <c r="C488" s="138">
        <f t="shared" si="14"/>
        <v>1.0324864158225422E-2</v>
      </c>
      <c r="D488" s="138">
        <f t="shared" si="15"/>
        <v>1.0103248641582254</v>
      </c>
    </row>
    <row r="489" spans="1:4" x14ac:dyDescent="0.2">
      <c r="A489" s="137">
        <v>43318</v>
      </c>
      <c r="B489" s="136">
        <v>11387.1</v>
      </c>
      <c r="C489" s="138">
        <f t="shared" si="14"/>
        <v>2.3149778184636816E-3</v>
      </c>
      <c r="D489" s="138">
        <f t="shared" si="15"/>
        <v>1.0023149778184637</v>
      </c>
    </row>
    <row r="490" spans="1:4" x14ac:dyDescent="0.2">
      <c r="A490" s="137">
        <v>43319</v>
      </c>
      <c r="B490" s="136">
        <v>11389.45</v>
      </c>
      <c r="C490" s="138">
        <f t="shared" si="14"/>
        <v>2.0637387921418338E-4</v>
      </c>
      <c r="D490" s="138">
        <f t="shared" si="15"/>
        <v>1.0002063738792142</v>
      </c>
    </row>
    <row r="491" spans="1:4" x14ac:dyDescent="0.2">
      <c r="A491" s="137">
        <v>43320</v>
      </c>
      <c r="B491" s="136">
        <v>11450</v>
      </c>
      <c r="C491" s="138">
        <f t="shared" si="14"/>
        <v>5.3163234396744752E-3</v>
      </c>
      <c r="D491" s="138">
        <f t="shared" si="15"/>
        <v>1.0053163234396745</v>
      </c>
    </row>
    <row r="492" spans="1:4" x14ac:dyDescent="0.2">
      <c r="A492" s="137">
        <v>43321</v>
      </c>
      <c r="B492" s="136">
        <v>11470.7</v>
      </c>
      <c r="C492" s="138">
        <f t="shared" si="14"/>
        <v>1.8078602620088535E-3</v>
      </c>
      <c r="D492" s="138">
        <f t="shared" si="15"/>
        <v>1.0018078602620089</v>
      </c>
    </row>
    <row r="493" spans="1:4" x14ac:dyDescent="0.2">
      <c r="A493" s="137">
        <v>43322</v>
      </c>
      <c r="B493" s="136">
        <v>11429.5</v>
      </c>
      <c r="C493" s="138">
        <f t="shared" si="14"/>
        <v>-3.5917598751602497E-3</v>
      </c>
      <c r="D493" s="138">
        <f t="shared" si="15"/>
        <v>0.99640824012483975</v>
      </c>
    </row>
    <row r="494" spans="1:4" x14ac:dyDescent="0.2">
      <c r="A494" s="137">
        <v>43325</v>
      </c>
      <c r="B494" s="136">
        <v>11355.75</v>
      </c>
      <c r="C494" s="138">
        <f t="shared" si="14"/>
        <v>-6.4526007261910268E-3</v>
      </c>
      <c r="D494" s="138">
        <f t="shared" si="15"/>
        <v>0.99354739927380897</v>
      </c>
    </row>
    <row r="495" spans="1:4" x14ac:dyDescent="0.2">
      <c r="A495" s="137">
        <v>43326</v>
      </c>
      <c r="B495" s="136">
        <v>11435.1</v>
      </c>
      <c r="C495" s="138">
        <f t="shared" si="14"/>
        <v>6.9876494287035573E-3</v>
      </c>
      <c r="D495" s="138">
        <f t="shared" si="15"/>
        <v>1.0069876494287036</v>
      </c>
    </row>
    <row r="496" spans="1:4" x14ac:dyDescent="0.2">
      <c r="A496" s="137">
        <v>43328</v>
      </c>
      <c r="B496" s="136">
        <v>11385.05</v>
      </c>
      <c r="C496" s="138">
        <f t="shared" si="14"/>
        <v>-4.3768747103217764E-3</v>
      </c>
      <c r="D496" s="138">
        <f t="shared" si="15"/>
        <v>0.99562312528967822</v>
      </c>
    </row>
    <row r="497" spans="1:4" x14ac:dyDescent="0.2">
      <c r="A497" s="137">
        <v>43329</v>
      </c>
      <c r="B497" s="136">
        <v>11470.75</v>
      </c>
      <c r="C497" s="138">
        <f t="shared" si="14"/>
        <v>7.5274153385360698E-3</v>
      </c>
      <c r="D497" s="138">
        <f t="shared" si="15"/>
        <v>1.0075274153385361</v>
      </c>
    </row>
    <row r="498" spans="1:4" x14ac:dyDescent="0.2">
      <c r="A498" s="137">
        <v>43332</v>
      </c>
      <c r="B498" s="136">
        <v>11551.75</v>
      </c>
      <c r="C498" s="138">
        <f t="shared" si="14"/>
        <v>7.061438877143944E-3</v>
      </c>
      <c r="D498" s="138">
        <f t="shared" si="15"/>
        <v>1.0070614388771439</v>
      </c>
    </row>
    <row r="499" spans="1:4" x14ac:dyDescent="0.2">
      <c r="A499" s="137">
        <v>43333</v>
      </c>
      <c r="B499" s="136">
        <v>11570.9</v>
      </c>
      <c r="C499" s="138">
        <f t="shared" si="14"/>
        <v>1.657757482632416E-3</v>
      </c>
      <c r="D499" s="138">
        <f t="shared" si="15"/>
        <v>1.0016577574826324</v>
      </c>
    </row>
    <row r="500" spans="1:4" x14ac:dyDescent="0.2">
      <c r="A500" s="137">
        <v>43335</v>
      </c>
      <c r="B500" s="136">
        <v>11582.75</v>
      </c>
      <c r="C500" s="138">
        <f t="shared" si="14"/>
        <v>1.024120854903332E-3</v>
      </c>
      <c r="D500" s="138">
        <f t="shared" si="15"/>
        <v>1.0010241208549033</v>
      </c>
    </row>
    <row r="501" spans="1:4" x14ac:dyDescent="0.2">
      <c r="A501" s="137">
        <v>43336</v>
      </c>
      <c r="B501" s="136">
        <v>11557.1</v>
      </c>
      <c r="C501" s="138">
        <f t="shared" si="14"/>
        <v>-2.214500010791931E-3</v>
      </c>
      <c r="D501" s="138">
        <f t="shared" si="15"/>
        <v>0.99778549998920807</v>
      </c>
    </row>
    <row r="502" spans="1:4" x14ac:dyDescent="0.2">
      <c r="A502" s="137">
        <v>43339</v>
      </c>
      <c r="B502" s="136">
        <v>11691.95</v>
      </c>
      <c r="C502" s="138">
        <f t="shared" si="14"/>
        <v>1.1668152045063218E-2</v>
      </c>
      <c r="D502" s="138">
        <f t="shared" si="15"/>
        <v>1.0116681520450632</v>
      </c>
    </row>
    <row r="503" spans="1:4" x14ac:dyDescent="0.2">
      <c r="A503" s="137">
        <v>43340</v>
      </c>
      <c r="B503" s="136">
        <v>11738.5</v>
      </c>
      <c r="C503" s="138">
        <f t="shared" si="14"/>
        <v>3.9813717985450747E-3</v>
      </c>
      <c r="D503" s="138">
        <f t="shared" si="15"/>
        <v>1.0039813717985451</v>
      </c>
    </row>
    <row r="504" spans="1:4" x14ac:dyDescent="0.2">
      <c r="A504" s="137">
        <v>43341</v>
      </c>
      <c r="B504" s="136">
        <v>11691.9</v>
      </c>
      <c r="C504" s="138">
        <f t="shared" si="14"/>
        <v>-3.9698428248924333E-3</v>
      </c>
      <c r="D504" s="138">
        <f t="shared" si="15"/>
        <v>0.99603015717510757</v>
      </c>
    </row>
    <row r="505" spans="1:4" x14ac:dyDescent="0.2">
      <c r="A505" s="137">
        <v>43342</v>
      </c>
      <c r="B505" s="136">
        <v>11676.8</v>
      </c>
      <c r="C505" s="138">
        <f t="shared" si="14"/>
        <v>-1.2914924007219053E-3</v>
      </c>
      <c r="D505" s="138">
        <f t="shared" si="15"/>
        <v>0.99870850759927809</v>
      </c>
    </row>
    <row r="506" spans="1:4" x14ac:dyDescent="0.2">
      <c r="A506" s="137">
        <v>43343</v>
      </c>
      <c r="B506" s="136">
        <v>11680.5</v>
      </c>
      <c r="C506" s="138">
        <f t="shared" si="14"/>
        <v>3.1686763496852066E-4</v>
      </c>
      <c r="D506" s="138">
        <f t="shared" si="15"/>
        <v>1.0003168676349685</v>
      </c>
    </row>
    <row r="507" spans="1:4" x14ac:dyDescent="0.2">
      <c r="A507" s="137">
        <v>43346</v>
      </c>
      <c r="B507" s="136">
        <v>11582.35</v>
      </c>
      <c r="C507" s="138">
        <f t="shared" si="14"/>
        <v>-8.4028937117417435E-3</v>
      </c>
      <c r="D507" s="138">
        <f t="shared" si="15"/>
        <v>0.99159710628825826</v>
      </c>
    </row>
    <row r="508" spans="1:4" x14ac:dyDescent="0.2">
      <c r="A508" s="137">
        <v>43347</v>
      </c>
      <c r="B508" s="136">
        <v>11520.3</v>
      </c>
      <c r="C508" s="138">
        <f t="shared" si="14"/>
        <v>-5.3572893238419406E-3</v>
      </c>
      <c r="D508" s="138">
        <f t="shared" si="15"/>
        <v>0.99464271067615806</v>
      </c>
    </row>
    <row r="509" spans="1:4" x14ac:dyDescent="0.2">
      <c r="A509" s="137">
        <v>43348</v>
      </c>
      <c r="B509" s="136">
        <v>11476.95</v>
      </c>
      <c r="C509" s="138">
        <f t="shared" si="14"/>
        <v>-3.7629228405509085E-3</v>
      </c>
      <c r="D509" s="138">
        <f t="shared" si="15"/>
        <v>0.99623707715944909</v>
      </c>
    </row>
    <row r="510" spans="1:4" x14ac:dyDescent="0.2">
      <c r="A510" s="137">
        <v>43349</v>
      </c>
      <c r="B510" s="136">
        <v>11536.9</v>
      </c>
      <c r="C510" s="138">
        <f t="shared" si="14"/>
        <v>5.2235132156190911E-3</v>
      </c>
      <c r="D510" s="138">
        <f t="shared" si="15"/>
        <v>1.0052235132156191</v>
      </c>
    </row>
    <row r="511" spans="1:4" x14ac:dyDescent="0.2">
      <c r="A511" s="137">
        <v>43350</v>
      </c>
      <c r="B511" s="136">
        <v>11589.1</v>
      </c>
      <c r="C511" s="138">
        <f t="shared" si="14"/>
        <v>4.5246123308688713E-3</v>
      </c>
      <c r="D511" s="138">
        <f t="shared" si="15"/>
        <v>1.0045246123308689</v>
      </c>
    </row>
    <row r="512" spans="1:4" x14ac:dyDescent="0.2">
      <c r="A512" s="137">
        <v>43353</v>
      </c>
      <c r="B512" s="136">
        <v>11438.1</v>
      </c>
      <c r="C512" s="138">
        <f t="shared" si="14"/>
        <v>-1.3029484601910446E-2</v>
      </c>
      <c r="D512" s="138">
        <f t="shared" si="15"/>
        <v>0.98697051539808955</v>
      </c>
    </row>
    <row r="513" spans="1:4" x14ac:dyDescent="0.2">
      <c r="A513" s="137">
        <v>43354</v>
      </c>
      <c r="B513" s="136">
        <v>11287.5</v>
      </c>
      <c r="C513" s="138">
        <f t="shared" si="14"/>
        <v>-1.3166522411939052E-2</v>
      </c>
      <c r="D513" s="138">
        <f t="shared" si="15"/>
        <v>0.98683347758806095</v>
      </c>
    </row>
    <row r="514" spans="1:4" x14ac:dyDescent="0.2">
      <c r="A514" s="137">
        <v>43355</v>
      </c>
      <c r="B514" s="136">
        <v>11369.9</v>
      </c>
      <c r="C514" s="138">
        <f t="shared" si="14"/>
        <v>7.300110741971233E-3</v>
      </c>
      <c r="D514" s="138">
        <f t="shared" si="15"/>
        <v>1.0073001107419712</v>
      </c>
    </row>
    <row r="515" spans="1:4" x14ac:dyDescent="0.2">
      <c r="A515" s="137">
        <v>43357</v>
      </c>
      <c r="B515" s="136">
        <v>11515.2</v>
      </c>
      <c r="C515" s="138">
        <f t="shared" ref="C515:C578" si="16">B515/B514-1</f>
        <v>1.2779356018962407E-2</v>
      </c>
      <c r="D515" s="138">
        <f t="shared" ref="D515:D578" si="17">1+C515</f>
        <v>1.0127793560189624</v>
      </c>
    </row>
    <row r="516" spans="1:4" x14ac:dyDescent="0.2">
      <c r="A516" s="137">
        <v>43360</v>
      </c>
      <c r="B516" s="136">
        <v>11377.75</v>
      </c>
      <c r="C516" s="138">
        <f t="shared" si="16"/>
        <v>-1.1936397109907015E-2</v>
      </c>
      <c r="D516" s="138">
        <f t="shared" si="17"/>
        <v>0.98806360289009298</v>
      </c>
    </row>
    <row r="517" spans="1:4" x14ac:dyDescent="0.2">
      <c r="A517" s="137">
        <v>43361</v>
      </c>
      <c r="B517" s="136">
        <v>11278.9</v>
      </c>
      <c r="C517" s="138">
        <f t="shared" si="16"/>
        <v>-8.6880094922107132E-3</v>
      </c>
      <c r="D517" s="138">
        <f t="shared" si="17"/>
        <v>0.99131199050778929</v>
      </c>
    </row>
    <row r="518" spans="1:4" x14ac:dyDescent="0.2">
      <c r="A518" s="137">
        <v>43362</v>
      </c>
      <c r="B518" s="136">
        <v>11234.35</v>
      </c>
      <c r="C518" s="138">
        <f t="shared" si="16"/>
        <v>-3.9498532658326369E-3</v>
      </c>
      <c r="D518" s="138">
        <f t="shared" si="17"/>
        <v>0.99605014673416736</v>
      </c>
    </row>
    <row r="519" spans="1:4" x14ac:dyDescent="0.2">
      <c r="A519" s="137">
        <v>43364</v>
      </c>
      <c r="B519" s="136">
        <v>11143.1</v>
      </c>
      <c r="C519" s="138">
        <f t="shared" si="16"/>
        <v>-8.1224102863094449E-3</v>
      </c>
      <c r="D519" s="138">
        <f t="shared" si="17"/>
        <v>0.99187758971369056</v>
      </c>
    </row>
    <row r="520" spans="1:4" x14ac:dyDescent="0.2">
      <c r="A520" s="137">
        <v>43367</v>
      </c>
      <c r="B520" s="136">
        <v>10967.4</v>
      </c>
      <c r="C520" s="138">
        <f t="shared" si="16"/>
        <v>-1.5767605065017842E-2</v>
      </c>
      <c r="D520" s="138">
        <f t="shared" si="17"/>
        <v>0.98423239493498216</v>
      </c>
    </row>
    <row r="521" spans="1:4" x14ac:dyDescent="0.2">
      <c r="A521" s="137">
        <v>43368</v>
      </c>
      <c r="B521" s="136">
        <v>11067.45</v>
      </c>
      <c r="C521" s="138">
        <f t="shared" si="16"/>
        <v>9.1224902894031512E-3</v>
      </c>
      <c r="D521" s="138">
        <f t="shared" si="17"/>
        <v>1.0091224902894032</v>
      </c>
    </row>
    <row r="522" spans="1:4" x14ac:dyDescent="0.2">
      <c r="A522" s="137">
        <v>43369</v>
      </c>
      <c r="B522" s="136">
        <v>11053.8</v>
      </c>
      <c r="C522" s="138">
        <f t="shared" si="16"/>
        <v>-1.233346434815763E-3</v>
      </c>
      <c r="D522" s="138">
        <f t="shared" si="17"/>
        <v>0.99876665356518424</v>
      </c>
    </row>
    <row r="523" spans="1:4" x14ac:dyDescent="0.2">
      <c r="A523" s="137">
        <v>43370</v>
      </c>
      <c r="B523" s="136">
        <v>10977.55</v>
      </c>
      <c r="C523" s="138">
        <f t="shared" si="16"/>
        <v>-6.8980802981779554E-3</v>
      </c>
      <c r="D523" s="138">
        <f t="shared" si="17"/>
        <v>0.99310191970182204</v>
      </c>
    </row>
    <row r="524" spans="1:4" x14ac:dyDescent="0.2">
      <c r="A524" s="137">
        <v>43371</v>
      </c>
      <c r="B524" s="136">
        <v>10930.45</v>
      </c>
      <c r="C524" s="138">
        <f t="shared" si="16"/>
        <v>-4.2905748550449152E-3</v>
      </c>
      <c r="D524" s="138">
        <f t="shared" si="17"/>
        <v>0.99570942514495508</v>
      </c>
    </row>
    <row r="525" spans="1:4" x14ac:dyDescent="0.2">
      <c r="A525" s="137">
        <v>43374</v>
      </c>
      <c r="B525" s="136">
        <v>11008.3</v>
      </c>
      <c r="C525" s="138">
        <f t="shared" si="16"/>
        <v>7.1223051201001475E-3</v>
      </c>
      <c r="D525" s="138">
        <f t="shared" si="17"/>
        <v>1.0071223051201001</v>
      </c>
    </row>
    <row r="526" spans="1:4" x14ac:dyDescent="0.2">
      <c r="A526" s="137">
        <v>43376</v>
      </c>
      <c r="B526" s="136">
        <v>10858.25</v>
      </c>
      <c r="C526" s="138">
        <f t="shared" si="16"/>
        <v>-1.3630624165402394E-2</v>
      </c>
      <c r="D526" s="138">
        <f t="shared" si="17"/>
        <v>0.98636937583459761</v>
      </c>
    </row>
    <row r="527" spans="1:4" x14ac:dyDescent="0.2">
      <c r="A527" s="137">
        <v>43377</v>
      </c>
      <c r="B527" s="136">
        <v>10599.25</v>
      </c>
      <c r="C527" s="138">
        <f t="shared" si="16"/>
        <v>-2.3852830796859514E-2</v>
      </c>
      <c r="D527" s="138">
        <f t="shared" si="17"/>
        <v>0.97614716920314049</v>
      </c>
    </row>
    <row r="528" spans="1:4" x14ac:dyDescent="0.2">
      <c r="A528" s="137">
        <v>43378</v>
      </c>
      <c r="B528" s="136">
        <v>10316.450000000001</v>
      </c>
      <c r="C528" s="138">
        <f t="shared" si="16"/>
        <v>-2.6681133099039966E-2</v>
      </c>
      <c r="D528" s="138">
        <f t="shared" si="17"/>
        <v>0.97331886690096003</v>
      </c>
    </row>
    <row r="529" spans="1:4" x14ac:dyDescent="0.2">
      <c r="A529" s="137">
        <v>43381</v>
      </c>
      <c r="B529" s="136">
        <v>10348.049999999999</v>
      </c>
      <c r="C529" s="138">
        <f t="shared" si="16"/>
        <v>3.0630691759276907E-3</v>
      </c>
      <c r="D529" s="138">
        <f t="shared" si="17"/>
        <v>1.0030630691759277</v>
      </c>
    </row>
    <row r="530" spans="1:4" x14ac:dyDescent="0.2">
      <c r="A530" s="137">
        <v>43382</v>
      </c>
      <c r="B530" s="136">
        <v>10301.049999999999</v>
      </c>
      <c r="C530" s="138">
        <f t="shared" si="16"/>
        <v>-4.5419185257126182E-3</v>
      </c>
      <c r="D530" s="138">
        <f t="shared" si="17"/>
        <v>0.99545808147428738</v>
      </c>
    </row>
    <row r="531" spans="1:4" x14ac:dyDescent="0.2">
      <c r="A531" s="137">
        <v>43383</v>
      </c>
      <c r="B531" s="136">
        <v>10460.1</v>
      </c>
      <c r="C531" s="138">
        <f t="shared" si="16"/>
        <v>1.544017357453864E-2</v>
      </c>
      <c r="D531" s="138">
        <f t="shared" si="17"/>
        <v>1.0154401735745386</v>
      </c>
    </row>
    <row r="532" spans="1:4" x14ac:dyDescent="0.2">
      <c r="A532" s="137">
        <v>43384</v>
      </c>
      <c r="B532" s="136">
        <v>10234.65</v>
      </c>
      <c r="C532" s="138">
        <f t="shared" si="16"/>
        <v>-2.1553331230103057E-2</v>
      </c>
      <c r="D532" s="138">
        <f t="shared" si="17"/>
        <v>0.97844666876989694</v>
      </c>
    </row>
    <row r="533" spans="1:4" x14ac:dyDescent="0.2">
      <c r="A533" s="137">
        <v>43385</v>
      </c>
      <c r="B533" s="136">
        <v>10472.5</v>
      </c>
      <c r="C533" s="138">
        <f t="shared" si="16"/>
        <v>2.323968088796402E-2</v>
      </c>
      <c r="D533" s="138">
        <f t="shared" si="17"/>
        <v>1.023239680887964</v>
      </c>
    </row>
    <row r="534" spans="1:4" x14ac:dyDescent="0.2">
      <c r="A534" s="137">
        <v>43388</v>
      </c>
      <c r="B534" s="136">
        <v>10512.5</v>
      </c>
      <c r="C534" s="138">
        <f t="shared" si="16"/>
        <v>3.8195273334924451E-3</v>
      </c>
      <c r="D534" s="138">
        <f t="shared" si="17"/>
        <v>1.0038195273334924</v>
      </c>
    </row>
    <row r="535" spans="1:4" x14ac:dyDescent="0.2">
      <c r="A535" s="137">
        <v>43389</v>
      </c>
      <c r="B535" s="136">
        <v>10584.75</v>
      </c>
      <c r="C535" s="138">
        <f t="shared" si="16"/>
        <v>6.8727705112960891E-3</v>
      </c>
      <c r="D535" s="138">
        <f t="shared" si="17"/>
        <v>1.0068727705112961</v>
      </c>
    </row>
    <row r="536" spans="1:4" x14ac:dyDescent="0.2">
      <c r="A536" s="137">
        <v>43390</v>
      </c>
      <c r="B536" s="136">
        <v>10453.049999999999</v>
      </c>
      <c r="C536" s="138">
        <f t="shared" si="16"/>
        <v>-1.2442428966201402E-2</v>
      </c>
      <c r="D536" s="138">
        <f t="shared" si="17"/>
        <v>0.9875575710337986</v>
      </c>
    </row>
    <row r="537" spans="1:4" x14ac:dyDescent="0.2">
      <c r="A537" s="137">
        <v>43392</v>
      </c>
      <c r="B537" s="136">
        <v>10303.549999999999</v>
      </c>
      <c r="C537" s="138">
        <f t="shared" si="16"/>
        <v>-1.4302045814379549E-2</v>
      </c>
      <c r="D537" s="138">
        <f t="shared" si="17"/>
        <v>0.98569795418562045</v>
      </c>
    </row>
    <row r="538" spans="1:4" x14ac:dyDescent="0.2">
      <c r="A538" s="137">
        <v>43395</v>
      </c>
      <c r="B538" s="136">
        <v>10245.25</v>
      </c>
      <c r="C538" s="138">
        <f t="shared" si="16"/>
        <v>-5.6582440032802994E-3</v>
      </c>
      <c r="D538" s="138">
        <f t="shared" si="17"/>
        <v>0.9943417559967197</v>
      </c>
    </row>
    <row r="539" spans="1:4" x14ac:dyDescent="0.2">
      <c r="A539" s="137">
        <v>43396</v>
      </c>
      <c r="B539" s="136">
        <v>10146.799999999999</v>
      </c>
      <c r="C539" s="138">
        <f t="shared" si="16"/>
        <v>-9.609331153461409E-3</v>
      </c>
      <c r="D539" s="138">
        <f t="shared" si="17"/>
        <v>0.99039066884653859</v>
      </c>
    </row>
    <row r="540" spans="1:4" x14ac:dyDescent="0.2">
      <c r="A540" s="137">
        <v>43397</v>
      </c>
      <c r="B540" s="136">
        <v>10224.75</v>
      </c>
      <c r="C540" s="138">
        <f t="shared" si="16"/>
        <v>7.682224937911597E-3</v>
      </c>
      <c r="D540" s="138">
        <f t="shared" si="17"/>
        <v>1.0076822249379116</v>
      </c>
    </row>
    <row r="541" spans="1:4" x14ac:dyDescent="0.2">
      <c r="A541" s="137">
        <v>43398</v>
      </c>
      <c r="B541" s="136">
        <v>10124.9</v>
      </c>
      <c r="C541" s="138">
        <f t="shared" si="16"/>
        <v>-9.76551993936281E-3</v>
      </c>
      <c r="D541" s="138">
        <f t="shared" si="17"/>
        <v>0.99023448006063719</v>
      </c>
    </row>
    <row r="542" spans="1:4" x14ac:dyDescent="0.2">
      <c r="A542" s="137">
        <v>43399</v>
      </c>
      <c r="B542" s="136">
        <v>10030</v>
      </c>
      <c r="C542" s="138">
        <f t="shared" si="16"/>
        <v>-9.3729320783414449E-3</v>
      </c>
      <c r="D542" s="138">
        <f t="shared" si="17"/>
        <v>0.99062706792165856</v>
      </c>
    </row>
    <row r="543" spans="1:4" x14ac:dyDescent="0.2">
      <c r="A543" s="137">
        <v>43402</v>
      </c>
      <c r="B543" s="136">
        <v>10250.85</v>
      </c>
      <c r="C543" s="138">
        <f t="shared" si="16"/>
        <v>2.201894317048847E-2</v>
      </c>
      <c r="D543" s="138">
        <f t="shared" si="17"/>
        <v>1.0220189431704885</v>
      </c>
    </row>
    <row r="544" spans="1:4" x14ac:dyDescent="0.2">
      <c r="A544" s="137">
        <v>43403</v>
      </c>
      <c r="B544" s="136">
        <v>10198.4</v>
      </c>
      <c r="C544" s="138">
        <f t="shared" si="16"/>
        <v>-5.1166488632650164E-3</v>
      </c>
      <c r="D544" s="138">
        <f t="shared" si="17"/>
        <v>0.99488335113673498</v>
      </c>
    </row>
    <row r="545" spans="1:4" x14ac:dyDescent="0.2">
      <c r="A545" s="137">
        <v>43404</v>
      </c>
      <c r="B545" s="136">
        <v>10386.6</v>
      </c>
      <c r="C545" s="138">
        <f t="shared" si="16"/>
        <v>1.8453875117665497E-2</v>
      </c>
      <c r="D545" s="138">
        <f t="shared" si="17"/>
        <v>1.0184538751176655</v>
      </c>
    </row>
    <row r="546" spans="1:4" x14ac:dyDescent="0.2">
      <c r="A546" s="137">
        <v>43405</v>
      </c>
      <c r="B546" s="136">
        <v>10380.450000000001</v>
      </c>
      <c r="C546" s="138">
        <f t="shared" si="16"/>
        <v>-5.921090636011872E-4</v>
      </c>
      <c r="D546" s="138">
        <f t="shared" si="17"/>
        <v>0.99940789093639881</v>
      </c>
    </row>
    <row r="547" spans="1:4" x14ac:dyDescent="0.2">
      <c r="A547" s="137">
        <v>43406</v>
      </c>
      <c r="B547" s="136">
        <v>10553</v>
      </c>
      <c r="C547" s="138">
        <f t="shared" si="16"/>
        <v>1.6622593432847221E-2</v>
      </c>
      <c r="D547" s="138">
        <f t="shared" si="17"/>
        <v>1.0166225934328472</v>
      </c>
    </row>
    <row r="548" spans="1:4" x14ac:dyDescent="0.2">
      <c r="A548" s="137">
        <v>43409</v>
      </c>
      <c r="B548" s="136">
        <v>10524</v>
      </c>
      <c r="C548" s="138">
        <f t="shared" si="16"/>
        <v>-2.7480337344830685E-3</v>
      </c>
      <c r="D548" s="138">
        <f t="shared" si="17"/>
        <v>0.99725196626551693</v>
      </c>
    </row>
    <row r="549" spans="1:4" x14ac:dyDescent="0.2">
      <c r="A549" s="137">
        <v>43410</v>
      </c>
      <c r="B549" s="136">
        <v>10530</v>
      </c>
      <c r="C549" s="138">
        <f t="shared" si="16"/>
        <v>5.7012542759404816E-4</v>
      </c>
      <c r="D549" s="138">
        <f t="shared" si="17"/>
        <v>1.000570125427594</v>
      </c>
    </row>
    <row r="550" spans="1:4" x14ac:dyDescent="0.2">
      <c r="A550" s="137">
        <v>43411</v>
      </c>
      <c r="B550" s="136">
        <v>10598.4</v>
      </c>
      <c r="C550" s="138">
        <f t="shared" si="16"/>
        <v>6.4957264957263838E-3</v>
      </c>
      <c r="D550" s="138">
        <f t="shared" si="17"/>
        <v>1.0064957264957264</v>
      </c>
    </row>
    <row r="551" spans="1:4" x14ac:dyDescent="0.2">
      <c r="A551" s="137">
        <v>43413</v>
      </c>
      <c r="B551" s="136">
        <v>10585.2</v>
      </c>
      <c r="C551" s="138">
        <f t="shared" si="16"/>
        <v>-1.2454710144926828E-3</v>
      </c>
      <c r="D551" s="138">
        <f t="shared" si="17"/>
        <v>0.99875452898550732</v>
      </c>
    </row>
    <row r="552" spans="1:4" x14ac:dyDescent="0.2">
      <c r="A552" s="137">
        <v>43416</v>
      </c>
      <c r="B552" s="136">
        <v>10482.200000000001</v>
      </c>
      <c r="C552" s="138">
        <f t="shared" si="16"/>
        <v>-9.7305672070437943E-3</v>
      </c>
      <c r="D552" s="138">
        <f t="shared" si="17"/>
        <v>0.99026943279295621</v>
      </c>
    </row>
    <row r="553" spans="1:4" x14ac:dyDescent="0.2">
      <c r="A553" s="137">
        <v>43417</v>
      </c>
      <c r="B553" s="136">
        <v>10582.5</v>
      </c>
      <c r="C553" s="138">
        <f t="shared" si="16"/>
        <v>9.56860201102816E-3</v>
      </c>
      <c r="D553" s="138">
        <f t="shared" si="17"/>
        <v>1.0095686020110282</v>
      </c>
    </row>
    <row r="554" spans="1:4" x14ac:dyDescent="0.2">
      <c r="A554" s="137">
        <v>43418</v>
      </c>
      <c r="B554" s="136">
        <v>10576.3</v>
      </c>
      <c r="C554" s="138">
        <f t="shared" si="16"/>
        <v>-5.8587290337830389E-4</v>
      </c>
      <c r="D554" s="138">
        <f t="shared" si="17"/>
        <v>0.9994141270966217</v>
      </c>
    </row>
    <row r="555" spans="1:4" x14ac:dyDescent="0.2">
      <c r="A555" s="137">
        <v>43419</v>
      </c>
      <c r="B555" s="136">
        <v>10616.7</v>
      </c>
      <c r="C555" s="138">
        <f t="shared" si="16"/>
        <v>3.8198613881983423E-3</v>
      </c>
      <c r="D555" s="138">
        <f t="shared" si="17"/>
        <v>1.0038198613881983</v>
      </c>
    </row>
    <row r="556" spans="1:4" x14ac:dyDescent="0.2">
      <c r="A556" s="137">
        <v>43420</v>
      </c>
      <c r="B556" s="136">
        <v>10682.2</v>
      </c>
      <c r="C556" s="138">
        <f t="shared" si="16"/>
        <v>6.1695253704070474E-3</v>
      </c>
      <c r="D556" s="138">
        <f t="shared" si="17"/>
        <v>1.006169525370407</v>
      </c>
    </row>
    <row r="557" spans="1:4" x14ac:dyDescent="0.2">
      <c r="A557" s="137">
        <v>43423</v>
      </c>
      <c r="B557" s="136">
        <v>10763.4</v>
      </c>
      <c r="C557" s="138">
        <f t="shared" si="16"/>
        <v>7.6014304169551572E-3</v>
      </c>
      <c r="D557" s="138">
        <f t="shared" si="17"/>
        <v>1.0076014304169552</v>
      </c>
    </row>
    <row r="558" spans="1:4" x14ac:dyDescent="0.2">
      <c r="A558" s="137">
        <v>43424</v>
      </c>
      <c r="B558" s="136">
        <v>10656.2</v>
      </c>
      <c r="C558" s="138">
        <f t="shared" si="16"/>
        <v>-9.9596781686083213E-3</v>
      </c>
      <c r="D558" s="138">
        <f t="shared" si="17"/>
        <v>0.99004032183139168</v>
      </c>
    </row>
    <row r="559" spans="1:4" x14ac:dyDescent="0.2">
      <c r="A559" s="137">
        <v>43425</v>
      </c>
      <c r="B559" s="136">
        <v>10600.05</v>
      </c>
      <c r="C559" s="138">
        <f t="shared" si="16"/>
        <v>-5.2692329348174027E-3</v>
      </c>
      <c r="D559" s="138">
        <f t="shared" si="17"/>
        <v>0.9947307670651826</v>
      </c>
    </row>
    <row r="560" spans="1:4" x14ac:dyDescent="0.2">
      <c r="A560" s="137">
        <v>43426</v>
      </c>
      <c r="B560" s="136">
        <v>10526.75</v>
      </c>
      <c r="C560" s="138">
        <f t="shared" si="16"/>
        <v>-6.9150617214068788E-3</v>
      </c>
      <c r="D560" s="138">
        <f t="shared" si="17"/>
        <v>0.99308493827859312</v>
      </c>
    </row>
    <row r="561" spans="1:4" x14ac:dyDescent="0.2">
      <c r="A561" s="137">
        <v>43430</v>
      </c>
      <c r="B561" s="136">
        <v>10628.6</v>
      </c>
      <c r="C561" s="138">
        <f t="shared" si="16"/>
        <v>9.6753508917757358E-3</v>
      </c>
      <c r="D561" s="138">
        <f t="shared" si="17"/>
        <v>1.0096753508917757</v>
      </c>
    </row>
    <row r="562" spans="1:4" x14ac:dyDescent="0.2">
      <c r="A562" s="137">
        <v>43431</v>
      </c>
      <c r="B562" s="136">
        <v>10685.6</v>
      </c>
      <c r="C562" s="138">
        <f t="shared" si="16"/>
        <v>5.3628888094385818E-3</v>
      </c>
      <c r="D562" s="138">
        <f t="shared" si="17"/>
        <v>1.0053628888094386</v>
      </c>
    </row>
    <row r="563" spans="1:4" x14ac:dyDescent="0.2">
      <c r="A563" s="137">
        <v>43432</v>
      </c>
      <c r="B563" s="136">
        <v>10728.85</v>
      </c>
      <c r="C563" s="138">
        <f t="shared" si="16"/>
        <v>4.0475031818523188E-3</v>
      </c>
      <c r="D563" s="138">
        <f t="shared" si="17"/>
        <v>1.0040475031818523</v>
      </c>
    </row>
    <row r="564" spans="1:4" x14ac:dyDescent="0.2">
      <c r="A564" s="137">
        <v>43433</v>
      </c>
      <c r="B564" s="136">
        <v>10858.7</v>
      </c>
      <c r="C564" s="138">
        <f t="shared" si="16"/>
        <v>1.21028814831039E-2</v>
      </c>
      <c r="D564" s="138">
        <f t="shared" si="17"/>
        <v>1.0121028814831039</v>
      </c>
    </row>
    <row r="565" spans="1:4" x14ac:dyDescent="0.2">
      <c r="A565" s="137">
        <v>43434</v>
      </c>
      <c r="B565" s="136">
        <v>10876.75</v>
      </c>
      <c r="C565" s="138">
        <f t="shared" si="16"/>
        <v>1.6622615966919163E-3</v>
      </c>
      <c r="D565" s="138">
        <f t="shared" si="17"/>
        <v>1.0016622615966919</v>
      </c>
    </row>
    <row r="566" spans="1:4" x14ac:dyDescent="0.2">
      <c r="A566" s="137">
        <v>43437</v>
      </c>
      <c r="B566" s="136">
        <v>10883.75</v>
      </c>
      <c r="C566" s="138">
        <f t="shared" si="16"/>
        <v>6.4357459719133203E-4</v>
      </c>
      <c r="D566" s="138">
        <f t="shared" si="17"/>
        <v>1.0006435745971913</v>
      </c>
    </row>
    <row r="567" spans="1:4" x14ac:dyDescent="0.2">
      <c r="A567" s="137">
        <v>43438</v>
      </c>
      <c r="B567" s="136">
        <v>10869.5</v>
      </c>
      <c r="C567" s="138">
        <f t="shared" si="16"/>
        <v>-1.3092913747559942E-3</v>
      </c>
      <c r="D567" s="138">
        <f t="shared" si="17"/>
        <v>0.99869070862524401</v>
      </c>
    </row>
    <row r="568" spans="1:4" x14ac:dyDescent="0.2">
      <c r="A568" s="137">
        <v>43439</v>
      </c>
      <c r="B568" s="136">
        <v>10782.9</v>
      </c>
      <c r="C568" s="138">
        <f t="shared" si="16"/>
        <v>-7.9672478034868988E-3</v>
      </c>
      <c r="D568" s="138">
        <f t="shared" si="17"/>
        <v>0.9920327521965131</v>
      </c>
    </row>
    <row r="569" spans="1:4" x14ac:dyDescent="0.2">
      <c r="A569" s="137">
        <v>43440</v>
      </c>
      <c r="B569" s="136">
        <v>10601.15</v>
      </c>
      <c r="C569" s="138">
        <f t="shared" si="16"/>
        <v>-1.6855391406764397E-2</v>
      </c>
      <c r="D569" s="138">
        <f t="shared" si="17"/>
        <v>0.9831446085932356</v>
      </c>
    </row>
    <row r="570" spans="1:4" x14ac:dyDescent="0.2">
      <c r="A570" s="137">
        <v>43441</v>
      </c>
      <c r="B570" s="136">
        <v>10693.7</v>
      </c>
      <c r="C570" s="138">
        <f t="shared" si="16"/>
        <v>8.7301849327667824E-3</v>
      </c>
      <c r="D570" s="138">
        <f t="shared" si="17"/>
        <v>1.0087301849327668</v>
      </c>
    </row>
    <row r="571" spans="1:4" x14ac:dyDescent="0.2">
      <c r="A571" s="137">
        <v>43444</v>
      </c>
      <c r="B571" s="136">
        <v>10488.45</v>
      </c>
      <c r="C571" s="138">
        <f t="shared" si="16"/>
        <v>-1.919354386227401E-2</v>
      </c>
      <c r="D571" s="138">
        <f t="shared" si="17"/>
        <v>0.98080645613772599</v>
      </c>
    </row>
    <row r="572" spans="1:4" x14ac:dyDescent="0.2">
      <c r="A572" s="137">
        <v>43445</v>
      </c>
      <c r="B572" s="136">
        <v>10549.15</v>
      </c>
      <c r="C572" s="138">
        <f t="shared" si="16"/>
        <v>5.7873184312267067E-3</v>
      </c>
      <c r="D572" s="138">
        <f t="shared" si="17"/>
        <v>1.0057873184312267</v>
      </c>
    </row>
    <row r="573" spans="1:4" x14ac:dyDescent="0.2">
      <c r="A573" s="137">
        <v>43446</v>
      </c>
      <c r="B573" s="136">
        <v>10737.6</v>
      </c>
      <c r="C573" s="138">
        <f t="shared" si="16"/>
        <v>1.7863998521207902E-2</v>
      </c>
      <c r="D573" s="138">
        <f t="shared" si="17"/>
        <v>1.0178639985212079</v>
      </c>
    </row>
    <row r="574" spans="1:4" x14ac:dyDescent="0.2">
      <c r="A574" s="137">
        <v>43447</v>
      </c>
      <c r="B574" s="136">
        <v>10791.55</v>
      </c>
      <c r="C574" s="138">
        <f t="shared" si="16"/>
        <v>5.0244002384145503E-3</v>
      </c>
      <c r="D574" s="138">
        <f t="shared" si="17"/>
        <v>1.0050244002384146</v>
      </c>
    </row>
    <row r="575" spans="1:4" x14ac:dyDescent="0.2">
      <c r="A575" s="137">
        <v>43448</v>
      </c>
      <c r="B575" s="136">
        <v>10805.45</v>
      </c>
      <c r="C575" s="138">
        <f t="shared" si="16"/>
        <v>1.2880448128398392E-3</v>
      </c>
      <c r="D575" s="138">
        <f t="shared" si="17"/>
        <v>1.0012880448128398</v>
      </c>
    </row>
    <row r="576" spans="1:4" x14ac:dyDescent="0.2">
      <c r="A576" s="137">
        <v>43451</v>
      </c>
      <c r="B576" s="136">
        <v>10888.35</v>
      </c>
      <c r="C576" s="138">
        <f t="shared" si="16"/>
        <v>7.6720543799655427E-3</v>
      </c>
      <c r="D576" s="138">
        <f t="shared" si="17"/>
        <v>1.0076720543799655</v>
      </c>
    </row>
    <row r="577" spans="1:4" x14ac:dyDescent="0.2">
      <c r="A577" s="137">
        <v>43452</v>
      </c>
      <c r="B577" s="136">
        <v>10908.7</v>
      </c>
      <c r="C577" s="138">
        <f t="shared" si="16"/>
        <v>1.8689700459666447E-3</v>
      </c>
      <c r="D577" s="138">
        <f t="shared" si="17"/>
        <v>1.0018689700459666</v>
      </c>
    </row>
    <row r="578" spans="1:4" x14ac:dyDescent="0.2">
      <c r="A578" s="137">
        <v>43453</v>
      </c>
      <c r="B578" s="136">
        <v>10967.3</v>
      </c>
      <c r="C578" s="138">
        <f t="shared" si="16"/>
        <v>5.3718591582863073E-3</v>
      </c>
      <c r="D578" s="138">
        <f t="shared" si="17"/>
        <v>1.0053718591582863</v>
      </c>
    </row>
    <row r="579" spans="1:4" x14ac:dyDescent="0.2">
      <c r="A579" s="137">
        <v>43454</v>
      </c>
      <c r="B579" s="136">
        <v>10951.7</v>
      </c>
      <c r="C579" s="138">
        <f t="shared" ref="C579:C642" si="18">B579/B578-1</f>
        <v>-1.4224102559425855E-3</v>
      </c>
      <c r="D579" s="138">
        <f t="shared" ref="D579:D642" si="19">1+C579</f>
        <v>0.99857758974405741</v>
      </c>
    </row>
    <row r="580" spans="1:4" x14ac:dyDescent="0.2">
      <c r="A580" s="137">
        <v>43455</v>
      </c>
      <c r="B580" s="136">
        <v>10754</v>
      </c>
      <c r="C580" s="138">
        <f t="shared" si="18"/>
        <v>-1.8051991928193845E-2</v>
      </c>
      <c r="D580" s="138">
        <f t="shared" si="19"/>
        <v>0.98194800807180616</v>
      </c>
    </row>
    <row r="581" spans="1:4" x14ac:dyDescent="0.2">
      <c r="A581" s="137">
        <v>43458</v>
      </c>
      <c r="B581" s="136">
        <v>10663.5</v>
      </c>
      <c r="C581" s="138">
        <f t="shared" si="18"/>
        <v>-8.4154733122558945E-3</v>
      </c>
      <c r="D581" s="138">
        <f t="shared" si="19"/>
        <v>0.99158452668774411</v>
      </c>
    </row>
    <row r="582" spans="1:4" x14ac:dyDescent="0.2">
      <c r="A582" s="137">
        <v>43460</v>
      </c>
      <c r="B582" s="136">
        <v>10729.85</v>
      </c>
      <c r="C582" s="138">
        <f t="shared" si="18"/>
        <v>6.2221597036620224E-3</v>
      </c>
      <c r="D582" s="138">
        <f t="shared" si="19"/>
        <v>1.006222159703662</v>
      </c>
    </row>
    <row r="583" spans="1:4" x14ac:dyDescent="0.2">
      <c r="A583" s="137">
        <v>43461</v>
      </c>
      <c r="B583" s="136">
        <v>10779.8</v>
      </c>
      <c r="C583" s="138">
        <f t="shared" si="18"/>
        <v>4.6552374916704053E-3</v>
      </c>
      <c r="D583" s="138">
        <f t="shared" si="19"/>
        <v>1.0046552374916704</v>
      </c>
    </row>
    <row r="584" spans="1:4" x14ac:dyDescent="0.2">
      <c r="A584" s="137">
        <v>43462</v>
      </c>
      <c r="B584" s="136">
        <v>10859.9</v>
      </c>
      <c r="C584" s="138">
        <f t="shared" si="18"/>
        <v>7.4305645744818793E-3</v>
      </c>
      <c r="D584" s="138">
        <f t="shared" si="19"/>
        <v>1.0074305645744819</v>
      </c>
    </row>
    <row r="585" spans="1:4" x14ac:dyDescent="0.2">
      <c r="A585" s="137">
        <v>43465</v>
      </c>
      <c r="B585" s="136">
        <v>10862.55</v>
      </c>
      <c r="C585" s="138">
        <f t="shared" si="18"/>
        <v>2.4401697989850923E-4</v>
      </c>
      <c r="D585" s="138">
        <f t="shared" si="19"/>
        <v>1.0002440169798985</v>
      </c>
    </row>
    <row r="586" spans="1:4" x14ac:dyDescent="0.2">
      <c r="A586" s="137">
        <v>43466</v>
      </c>
      <c r="B586" s="136">
        <v>10910.1</v>
      </c>
      <c r="C586" s="138">
        <f t="shared" si="18"/>
        <v>4.3774251902177763E-3</v>
      </c>
      <c r="D586" s="138">
        <f t="shared" si="19"/>
        <v>1.0043774251902178</v>
      </c>
    </row>
    <row r="587" spans="1:4" x14ac:dyDescent="0.2">
      <c r="A587" s="137">
        <v>43467</v>
      </c>
      <c r="B587" s="136">
        <v>10792.5</v>
      </c>
      <c r="C587" s="138">
        <f t="shared" si="18"/>
        <v>-1.0779002942227889E-2</v>
      </c>
      <c r="D587" s="138">
        <f t="shared" si="19"/>
        <v>0.98922099705777211</v>
      </c>
    </row>
    <row r="588" spans="1:4" x14ac:dyDescent="0.2">
      <c r="A588" s="137">
        <v>43468</v>
      </c>
      <c r="B588" s="136">
        <v>10672.25</v>
      </c>
      <c r="C588" s="138">
        <f t="shared" si="18"/>
        <v>-1.1141996757007222E-2</v>
      </c>
      <c r="D588" s="138">
        <f t="shared" si="19"/>
        <v>0.98885800324299278</v>
      </c>
    </row>
    <row r="589" spans="1:4" x14ac:dyDescent="0.2">
      <c r="A589" s="137">
        <v>43469</v>
      </c>
      <c r="B589" s="136">
        <v>10727.35</v>
      </c>
      <c r="C589" s="138">
        <f t="shared" si="18"/>
        <v>5.1629225327367578E-3</v>
      </c>
      <c r="D589" s="138">
        <f t="shared" si="19"/>
        <v>1.0051629225327368</v>
      </c>
    </row>
    <row r="590" spans="1:4" x14ac:dyDescent="0.2">
      <c r="A590" s="137">
        <v>43472</v>
      </c>
      <c r="B590" s="136">
        <v>10771.8</v>
      </c>
      <c r="C590" s="138">
        <f t="shared" si="18"/>
        <v>4.1436142197279757E-3</v>
      </c>
      <c r="D590" s="138">
        <f t="shared" si="19"/>
        <v>1.004143614219728</v>
      </c>
    </row>
    <row r="591" spans="1:4" x14ac:dyDescent="0.2">
      <c r="A591" s="137">
        <v>43473</v>
      </c>
      <c r="B591" s="136">
        <v>10802.15</v>
      </c>
      <c r="C591" s="138">
        <f t="shared" si="18"/>
        <v>2.8175421006702006E-3</v>
      </c>
      <c r="D591" s="138">
        <f t="shared" si="19"/>
        <v>1.0028175421006702</v>
      </c>
    </row>
    <row r="592" spans="1:4" x14ac:dyDescent="0.2">
      <c r="A592" s="137">
        <v>43474</v>
      </c>
      <c r="B592" s="136">
        <v>10855.15</v>
      </c>
      <c r="C592" s="138">
        <f t="shared" si="18"/>
        <v>4.9064306642658817E-3</v>
      </c>
      <c r="D592" s="138">
        <f t="shared" si="19"/>
        <v>1.0049064306642659</v>
      </c>
    </row>
    <row r="593" spans="1:4" x14ac:dyDescent="0.2">
      <c r="A593" s="137">
        <v>43475</v>
      </c>
      <c r="B593" s="136">
        <v>10821.6</v>
      </c>
      <c r="C593" s="138">
        <f t="shared" si="18"/>
        <v>-3.0906988848610206E-3</v>
      </c>
      <c r="D593" s="138">
        <f t="shared" si="19"/>
        <v>0.99690930111513898</v>
      </c>
    </row>
    <row r="594" spans="1:4" x14ac:dyDescent="0.2">
      <c r="A594" s="137">
        <v>43476</v>
      </c>
      <c r="B594" s="136">
        <v>10794.95</v>
      </c>
      <c r="C594" s="138">
        <f t="shared" si="18"/>
        <v>-2.4626672580764231E-3</v>
      </c>
      <c r="D594" s="138">
        <f t="shared" si="19"/>
        <v>0.99753733274192358</v>
      </c>
    </row>
    <row r="595" spans="1:4" x14ac:dyDescent="0.2">
      <c r="A595" s="137">
        <v>43479</v>
      </c>
      <c r="B595" s="136">
        <v>10737.6</v>
      </c>
      <c r="C595" s="138">
        <f t="shared" si="18"/>
        <v>-5.3126693500201716E-3</v>
      </c>
      <c r="D595" s="138">
        <f t="shared" si="19"/>
        <v>0.99468733064997983</v>
      </c>
    </row>
    <row r="596" spans="1:4" x14ac:dyDescent="0.2">
      <c r="A596" s="137">
        <v>43480</v>
      </c>
      <c r="B596" s="136">
        <v>10886.8</v>
      </c>
      <c r="C596" s="138">
        <f t="shared" si="18"/>
        <v>1.3895097600953532E-2</v>
      </c>
      <c r="D596" s="138">
        <f t="shared" si="19"/>
        <v>1.0138950976009535</v>
      </c>
    </row>
    <row r="597" spans="1:4" x14ac:dyDescent="0.2">
      <c r="A597" s="137">
        <v>43481</v>
      </c>
      <c r="B597" s="136">
        <v>10890.3</v>
      </c>
      <c r="C597" s="138">
        <f t="shared" si="18"/>
        <v>3.2149024506744617E-4</v>
      </c>
      <c r="D597" s="138">
        <f t="shared" si="19"/>
        <v>1.0003214902450674</v>
      </c>
    </row>
    <row r="598" spans="1:4" x14ac:dyDescent="0.2">
      <c r="A598" s="137">
        <v>43482</v>
      </c>
      <c r="B598" s="136">
        <v>10905.2</v>
      </c>
      <c r="C598" s="138">
        <f t="shared" si="18"/>
        <v>1.368190040678563E-3</v>
      </c>
      <c r="D598" s="138">
        <f t="shared" si="19"/>
        <v>1.0013681900406786</v>
      </c>
    </row>
    <row r="599" spans="1:4" x14ac:dyDescent="0.2">
      <c r="A599" s="137">
        <v>43483</v>
      </c>
      <c r="B599" s="136">
        <v>10906.95</v>
      </c>
      <c r="C599" s="138">
        <f t="shared" si="18"/>
        <v>1.6047390235840453E-4</v>
      </c>
      <c r="D599" s="138">
        <f t="shared" si="19"/>
        <v>1.0001604739023584</v>
      </c>
    </row>
    <row r="600" spans="1:4" x14ac:dyDescent="0.2">
      <c r="A600" s="137">
        <v>43486</v>
      </c>
      <c r="B600" s="136">
        <v>10961.85</v>
      </c>
      <c r="C600" s="138">
        <f t="shared" si="18"/>
        <v>5.0334878219850943E-3</v>
      </c>
      <c r="D600" s="138">
        <f t="shared" si="19"/>
        <v>1.0050334878219851</v>
      </c>
    </row>
    <row r="601" spans="1:4" x14ac:dyDescent="0.2">
      <c r="A601" s="137">
        <v>43487</v>
      </c>
      <c r="B601" s="136">
        <v>10922.75</v>
      </c>
      <c r="C601" s="138">
        <f t="shared" si="18"/>
        <v>-3.5669161683474782E-3</v>
      </c>
      <c r="D601" s="138">
        <f t="shared" si="19"/>
        <v>0.99643308383165252</v>
      </c>
    </row>
    <row r="602" spans="1:4" x14ac:dyDescent="0.2">
      <c r="A602" s="137">
        <v>43488</v>
      </c>
      <c r="B602" s="136">
        <v>10831.5</v>
      </c>
      <c r="C602" s="138">
        <f t="shared" si="18"/>
        <v>-8.3541232748163274E-3</v>
      </c>
      <c r="D602" s="138">
        <f t="shared" si="19"/>
        <v>0.99164587672518367</v>
      </c>
    </row>
    <row r="603" spans="1:4" x14ac:dyDescent="0.2">
      <c r="A603" s="137">
        <v>43489</v>
      </c>
      <c r="B603" s="136">
        <v>10849.8</v>
      </c>
      <c r="C603" s="138">
        <f t="shared" si="18"/>
        <v>1.6895166874393297E-3</v>
      </c>
      <c r="D603" s="138">
        <f t="shared" si="19"/>
        <v>1.0016895166874393</v>
      </c>
    </row>
    <row r="604" spans="1:4" x14ac:dyDescent="0.2">
      <c r="A604" s="137">
        <v>43490</v>
      </c>
      <c r="B604" s="136">
        <v>10780.55</v>
      </c>
      <c r="C604" s="138">
        <f t="shared" si="18"/>
        <v>-6.3826061309886217E-3</v>
      </c>
      <c r="D604" s="138">
        <f t="shared" si="19"/>
        <v>0.99361739386901138</v>
      </c>
    </row>
    <row r="605" spans="1:4" x14ac:dyDescent="0.2">
      <c r="A605" s="137">
        <v>43493</v>
      </c>
      <c r="B605" s="136">
        <v>10661.55</v>
      </c>
      <c r="C605" s="138">
        <f t="shared" si="18"/>
        <v>-1.1038397855396953E-2</v>
      </c>
      <c r="D605" s="138">
        <f t="shared" si="19"/>
        <v>0.98896160214460305</v>
      </c>
    </row>
    <row r="606" spans="1:4" x14ac:dyDescent="0.2">
      <c r="A606" s="137">
        <v>43494</v>
      </c>
      <c r="B606" s="136">
        <v>10652.2</v>
      </c>
      <c r="C606" s="138">
        <f t="shared" si="18"/>
        <v>-8.7698317786799596E-4</v>
      </c>
      <c r="D606" s="138">
        <f t="shared" si="19"/>
        <v>0.999123016822132</v>
      </c>
    </row>
    <row r="607" spans="1:4" x14ac:dyDescent="0.2">
      <c r="A607" s="137">
        <v>43495</v>
      </c>
      <c r="B607" s="136">
        <v>10651.8</v>
      </c>
      <c r="C607" s="138">
        <f t="shared" si="18"/>
        <v>-3.7550928446816734E-5</v>
      </c>
      <c r="D607" s="138">
        <f t="shared" si="19"/>
        <v>0.99996244907155318</v>
      </c>
    </row>
    <row r="608" spans="1:4" x14ac:dyDescent="0.2">
      <c r="A608" s="137">
        <v>43496</v>
      </c>
      <c r="B608" s="136">
        <v>10830.95</v>
      </c>
      <c r="C608" s="138">
        <f t="shared" si="18"/>
        <v>1.6818753637882988E-2</v>
      </c>
      <c r="D608" s="138">
        <f t="shared" si="19"/>
        <v>1.016818753637883</v>
      </c>
    </row>
    <row r="609" spans="1:4" x14ac:dyDescent="0.2">
      <c r="A609" s="137">
        <v>43497</v>
      </c>
      <c r="B609" s="136">
        <v>10893.65</v>
      </c>
      <c r="C609" s="138">
        <f t="shared" si="18"/>
        <v>5.7889658801857369E-3</v>
      </c>
      <c r="D609" s="138">
        <f t="shared" si="19"/>
        <v>1.0057889658801857</v>
      </c>
    </row>
    <row r="610" spans="1:4" x14ac:dyDescent="0.2">
      <c r="A610" s="137">
        <v>43500</v>
      </c>
      <c r="B610" s="136">
        <v>10912.25</v>
      </c>
      <c r="C610" s="138">
        <f t="shared" si="18"/>
        <v>1.7074167060626699E-3</v>
      </c>
      <c r="D610" s="138">
        <f t="shared" si="19"/>
        <v>1.0017074167060627</v>
      </c>
    </row>
    <row r="611" spans="1:4" x14ac:dyDescent="0.2">
      <c r="A611" s="137">
        <v>43501</v>
      </c>
      <c r="B611" s="136">
        <v>10934.35</v>
      </c>
      <c r="C611" s="138">
        <f t="shared" si="18"/>
        <v>2.0252468555981284E-3</v>
      </c>
      <c r="D611" s="138">
        <f t="shared" si="19"/>
        <v>1.0020252468555981</v>
      </c>
    </row>
    <row r="612" spans="1:4" x14ac:dyDescent="0.2">
      <c r="A612" s="137">
        <v>43502</v>
      </c>
      <c r="B612" s="136">
        <v>11062.45</v>
      </c>
      <c r="C612" s="138">
        <f t="shared" si="18"/>
        <v>1.1715374027720049E-2</v>
      </c>
      <c r="D612" s="138">
        <f t="shared" si="19"/>
        <v>1.01171537402772</v>
      </c>
    </row>
    <row r="613" spans="1:4" x14ac:dyDescent="0.2">
      <c r="A613" s="137">
        <v>43503</v>
      </c>
      <c r="B613" s="136">
        <v>11069.4</v>
      </c>
      <c r="C613" s="138">
        <f t="shared" si="18"/>
        <v>6.2825142712497062E-4</v>
      </c>
      <c r="D613" s="138">
        <f t="shared" si="19"/>
        <v>1.000628251427125</v>
      </c>
    </row>
    <row r="614" spans="1:4" x14ac:dyDescent="0.2">
      <c r="A614" s="137">
        <v>43504</v>
      </c>
      <c r="B614" s="136">
        <v>10943.6</v>
      </c>
      <c r="C614" s="138">
        <f t="shared" si="18"/>
        <v>-1.1364662944694293E-2</v>
      </c>
      <c r="D614" s="138">
        <f t="shared" si="19"/>
        <v>0.98863533705530571</v>
      </c>
    </row>
    <row r="615" spans="1:4" x14ac:dyDescent="0.2">
      <c r="A615" s="137">
        <v>43507</v>
      </c>
      <c r="B615" s="136">
        <v>10888.8</v>
      </c>
      <c r="C615" s="138">
        <f t="shared" si="18"/>
        <v>-5.0074929639242205E-3</v>
      </c>
      <c r="D615" s="138">
        <f t="shared" si="19"/>
        <v>0.99499250703607578</v>
      </c>
    </row>
    <row r="616" spans="1:4" x14ac:dyDescent="0.2">
      <c r="A616" s="137">
        <v>43508</v>
      </c>
      <c r="B616" s="136">
        <v>10831.4</v>
      </c>
      <c r="C616" s="138">
        <f t="shared" si="18"/>
        <v>-5.2714716038497755E-3</v>
      </c>
      <c r="D616" s="138">
        <f t="shared" si="19"/>
        <v>0.99472852839615022</v>
      </c>
    </row>
    <row r="617" spans="1:4" x14ac:dyDescent="0.2">
      <c r="A617" s="137">
        <v>43509</v>
      </c>
      <c r="B617" s="136">
        <v>10793.65</v>
      </c>
      <c r="C617" s="138">
        <f t="shared" si="18"/>
        <v>-3.485237365437488E-3</v>
      </c>
      <c r="D617" s="138">
        <f t="shared" si="19"/>
        <v>0.99651476263456251</v>
      </c>
    </row>
    <row r="618" spans="1:4" x14ac:dyDescent="0.2">
      <c r="A618" s="137">
        <v>43510</v>
      </c>
      <c r="B618" s="136">
        <v>10746.05</v>
      </c>
      <c r="C618" s="138">
        <f t="shared" si="18"/>
        <v>-4.4100003242647512E-3</v>
      </c>
      <c r="D618" s="138">
        <f t="shared" si="19"/>
        <v>0.99558999967573525</v>
      </c>
    </row>
    <row r="619" spans="1:4" x14ac:dyDescent="0.2">
      <c r="A619" s="137">
        <v>43511</v>
      </c>
      <c r="B619" s="136">
        <v>10724.4</v>
      </c>
      <c r="C619" s="138">
        <f t="shared" si="18"/>
        <v>-2.0146937711996715E-3</v>
      </c>
      <c r="D619" s="138">
        <f t="shared" si="19"/>
        <v>0.99798530622880033</v>
      </c>
    </row>
    <row r="620" spans="1:4" x14ac:dyDescent="0.2">
      <c r="A620" s="137">
        <v>43514</v>
      </c>
      <c r="B620" s="136">
        <v>10640.95</v>
      </c>
      <c r="C620" s="138">
        <f t="shared" si="18"/>
        <v>-7.7813210995485438E-3</v>
      </c>
      <c r="D620" s="138">
        <f t="shared" si="19"/>
        <v>0.99221867890045146</v>
      </c>
    </row>
    <row r="621" spans="1:4" x14ac:dyDescent="0.2">
      <c r="A621" s="137">
        <v>43515</v>
      </c>
      <c r="B621" s="136">
        <v>10604.35</v>
      </c>
      <c r="C621" s="138">
        <f t="shared" si="18"/>
        <v>-3.4395425220492548E-3</v>
      </c>
      <c r="D621" s="138">
        <f t="shared" si="19"/>
        <v>0.99656045747795075</v>
      </c>
    </row>
    <row r="622" spans="1:4" x14ac:dyDescent="0.2">
      <c r="A622" s="137">
        <v>43516</v>
      </c>
      <c r="B622" s="136">
        <v>10735.45</v>
      </c>
      <c r="C622" s="138">
        <f t="shared" si="18"/>
        <v>1.2362851094126492E-2</v>
      </c>
      <c r="D622" s="138">
        <f t="shared" si="19"/>
        <v>1.0123628510941265</v>
      </c>
    </row>
    <row r="623" spans="1:4" x14ac:dyDescent="0.2">
      <c r="A623" s="137">
        <v>43517</v>
      </c>
      <c r="B623" s="136">
        <v>10789.85</v>
      </c>
      <c r="C623" s="138">
        <f t="shared" si="18"/>
        <v>5.0673236799574362E-3</v>
      </c>
      <c r="D623" s="138">
        <f t="shared" si="19"/>
        <v>1.0050673236799574</v>
      </c>
    </row>
    <row r="624" spans="1:4" x14ac:dyDescent="0.2">
      <c r="A624" s="137">
        <v>43518</v>
      </c>
      <c r="B624" s="136">
        <v>10791.65</v>
      </c>
      <c r="C624" s="138">
        <f t="shared" si="18"/>
        <v>1.6682344981622244E-4</v>
      </c>
      <c r="D624" s="138">
        <f t="shared" si="19"/>
        <v>1.0001668234498162</v>
      </c>
    </row>
    <row r="625" spans="1:4" x14ac:dyDescent="0.2">
      <c r="A625" s="137">
        <v>43521</v>
      </c>
      <c r="B625" s="136">
        <v>10880.1</v>
      </c>
      <c r="C625" s="138">
        <f t="shared" si="18"/>
        <v>8.1961516542883306E-3</v>
      </c>
      <c r="D625" s="138">
        <f t="shared" si="19"/>
        <v>1.0081961516542883</v>
      </c>
    </row>
    <row r="626" spans="1:4" x14ac:dyDescent="0.2">
      <c r="A626" s="137">
        <v>43522</v>
      </c>
      <c r="B626" s="136">
        <v>10835.3</v>
      </c>
      <c r="C626" s="138">
        <f t="shared" si="18"/>
        <v>-4.1176092131507414E-3</v>
      </c>
      <c r="D626" s="138">
        <f t="shared" si="19"/>
        <v>0.99588239078684926</v>
      </c>
    </row>
    <row r="627" spans="1:4" x14ac:dyDescent="0.2">
      <c r="A627" s="137">
        <v>43523</v>
      </c>
      <c r="B627" s="136">
        <v>10806.65</v>
      </c>
      <c r="C627" s="138">
        <f t="shared" si="18"/>
        <v>-2.6441353723477556E-3</v>
      </c>
      <c r="D627" s="138">
        <f t="shared" si="19"/>
        <v>0.99735586462765224</v>
      </c>
    </row>
    <row r="628" spans="1:4" x14ac:dyDescent="0.2">
      <c r="A628" s="137">
        <v>43524</v>
      </c>
      <c r="B628" s="136">
        <v>10792.5</v>
      </c>
      <c r="C628" s="138">
        <f t="shared" si="18"/>
        <v>-1.3093789472222728E-3</v>
      </c>
      <c r="D628" s="138">
        <f t="shared" si="19"/>
        <v>0.99869062105277773</v>
      </c>
    </row>
    <row r="629" spans="1:4" x14ac:dyDescent="0.2">
      <c r="A629" s="137">
        <v>43525</v>
      </c>
      <c r="B629" s="136">
        <v>10863.5</v>
      </c>
      <c r="C629" s="138">
        <f t="shared" si="18"/>
        <v>6.5786425758629363E-3</v>
      </c>
      <c r="D629" s="138">
        <f t="shared" si="19"/>
        <v>1.0065786425758629</v>
      </c>
    </row>
    <row r="630" spans="1:4" x14ac:dyDescent="0.2">
      <c r="A630" s="137">
        <v>43529</v>
      </c>
      <c r="B630" s="136">
        <v>10987.45</v>
      </c>
      <c r="C630" s="138">
        <f t="shared" si="18"/>
        <v>1.1409766649790543E-2</v>
      </c>
      <c r="D630" s="138">
        <f t="shared" si="19"/>
        <v>1.0114097666497905</v>
      </c>
    </row>
    <row r="631" spans="1:4" x14ac:dyDescent="0.2">
      <c r="A631" s="137">
        <v>43530</v>
      </c>
      <c r="B631" s="136">
        <v>11053</v>
      </c>
      <c r="C631" s="138">
        <f t="shared" si="18"/>
        <v>5.9658974557335043E-3</v>
      </c>
      <c r="D631" s="138">
        <f t="shared" si="19"/>
        <v>1.0059658974557335</v>
      </c>
    </row>
    <row r="632" spans="1:4" x14ac:dyDescent="0.2">
      <c r="A632" s="137">
        <v>43531</v>
      </c>
      <c r="B632" s="136">
        <v>11058.2</v>
      </c>
      <c r="C632" s="138">
        <f t="shared" si="18"/>
        <v>4.7046050845933607E-4</v>
      </c>
      <c r="D632" s="138">
        <f t="shared" si="19"/>
        <v>1.0004704605084593</v>
      </c>
    </row>
    <row r="633" spans="1:4" x14ac:dyDescent="0.2">
      <c r="A633" s="137">
        <v>43532</v>
      </c>
      <c r="B633" s="136">
        <v>11035.4</v>
      </c>
      <c r="C633" s="138">
        <f t="shared" si="18"/>
        <v>-2.0618183791214495E-3</v>
      </c>
      <c r="D633" s="138">
        <f t="shared" si="19"/>
        <v>0.99793818162087855</v>
      </c>
    </row>
    <row r="634" spans="1:4" x14ac:dyDescent="0.2">
      <c r="A634" s="137">
        <v>43535</v>
      </c>
      <c r="B634" s="136">
        <v>11168.05</v>
      </c>
      <c r="C634" s="138">
        <f t="shared" si="18"/>
        <v>1.2020407053663584E-2</v>
      </c>
      <c r="D634" s="138">
        <f t="shared" si="19"/>
        <v>1.0120204070536636</v>
      </c>
    </row>
    <row r="635" spans="1:4" x14ac:dyDescent="0.2">
      <c r="A635" s="137">
        <v>43536</v>
      </c>
      <c r="B635" s="136">
        <v>11301.2</v>
      </c>
      <c r="C635" s="138">
        <f t="shared" si="18"/>
        <v>1.1922403642534052E-2</v>
      </c>
      <c r="D635" s="138">
        <f t="shared" si="19"/>
        <v>1.0119224036425341</v>
      </c>
    </row>
    <row r="636" spans="1:4" x14ac:dyDescent="0.2">
      <c r="A636" s="137">
        <v>43537</v>
      </c>
      <c r="B636" s="136">
        <v>11341.7</v>
      </c>
      <c r="C636" s="138">
        <f t="shared" si="18"/>
        <v>3.5836902275865334E-3</v>
      </c>
      <c r="D636" s="138">
        <f t="shared" si="19"/>
        <v>1.0035836902275865</v>
      </c>
    </row>
    <row r="637" spans="1:4" x14ac:dyDescent="0.2">
      <c r="A637" s="137">
        <v>43538</v>
      </c>
      <c r="B637" s="136">
        <v>11343.25</v>
      </c>
      <c r="C637" s="138">
        <f t="shared" si="18"/>
        <v>1.3666381582999598E-4</v>
      </c>
      <c r="D637" s="138">
        <f t="shared" si="19"/>
        <v>1.00013666381583</v>
      </c>
    </row>
    <row r="638" spans="1:4" x14ac:dyDescent="0.2">
      <c r="A638" s="137">
        <v>43539</v>
      </c>
      <c r="B638" s="136">
        <v>11426.85</v>
      </c>
      <c r="C638" s="138">
        <f t="shared" si="18"/>
        <v>7.3700218191434796E-3</v>
      </c>
      <c r="D638" s="138">
        <f t="shared" si="19"/>
        <v>1.0073700218191435</v>
      </c>
    </row>
    <row r="639" spans="1:4" x14ac:dyDescent="0.2">
      <c r="A639" s="137">
        <v>43542</v>
      </c>
      <c r="B639" s="136">
        <v>11462.2</v>
      </c>
      <c r="C639" s="138">
        <f t="shared" si="18"/>
        <v>3.0935909721401256E-3</v>
      </c>
      <c r="D639" s="138">
        <f t="shared" si="19"/>
        <v>1.0030935909721401</v>
      </c>
    </row>
    <row r="640" spans="1:4" x14ac:dyDescent="0.2">
      <c r="A640" s="137">
        <v>43543</v>
      </c>
      <c r="B640" s="136">
        <v>11532.4</v>
      </c>
      <c r="C640" s="138">
        <f t="shared" si="18"/>
        <v>6.1244787213623475E-3</v>
      </c>
      <c r="D640" s="138">
        <f t="shared" si="19"/>
        <v>1.0061244787213623</v>
      </c>
    </row>
    <row r="641" spans="1:4" x14ac:dyDescent="0.2">
      <c r="A641" s="137">
        <v>43544</v>
      </c>
      <c r="B641" s="136">
        <v>11521.05</v>
      </c>
      <c r="C641" s="138">
        <f t="shared" si="18"/>
        <v>-9.8418369116581861E-4</v>
      </c>
      <c r="D641" s="138">
        <f t="shared" si="19"/>
        <v>0.99901581630883418</v>
      </c>
    </row>
    <row r="642" spans="1:4" x14ac:dyDescent="0.2">
      <c r="A642" s="137">
        <v>43546</v>
      </c>
      <c r="B642" s="136">
        <v>11456.9</v>
      </c>
      <c r="C642" s="138">
        <f t="shared" si="18"/>
        <v>-5.5680688826105218E-3</v>
      </c>
      <c r="D642" s="138">
        <f t="shared" si="19"/>
        <v>0.99443193111738948</v>
      </c>
    </row>
    <row r="643" spans="1:4" x14ac:dyDescent="0.2">
      <c r="A643" s="137">
        <v>43549</v>
      </c>
      <c r="B643" s="136">
        <v>11354.25</v>
      </c>
      <c r="C643" s="138">
        <f t="shared" ref="C643:C706" si="20">B643/B642-1</f>
        <v>-8.9596662273389027E-3</v>
      </c>
      <c r="D643" s="138">
        <f t="shared" ref="D643:D706" si="21">1+C643</f>
        <v>0.9910403337726611</v>
      </c>
    </row>
    <row r="644" spans="1:4" x14ac:dyDescent="0.2">
      <c r="A644" s="137">
        <v>43550</v>
      </c>
      <c r="B644" s="136">
        <v>11483.25</v>
      </c>
      <c r="C644" s="138">
        <f t="shared" si="20"/>
        <v>1.1361384503600025E-2</v>
      </c>
      <c r="D644" s="138">
        <f t="shared" si="21"/>
        <v>1.0113613845036</v>
      </c>
    </row>
    <row r="645" spans="1:4" x14ac:dyDescent="0.2">
      <c r="A645" s="137">
        <v>43551</v>
      </c>
      <c r="B645" s="136">
        <v>11445.05</v>
      </c>
      <c r="C645" s="138">
        <f t="shared" si="20"/>
        <v>-3.3265843728910172E-3</v>
      </c>
      <c r="D645" s="138">
        <f t="shared" si="21"/>
        <v>0.99667341562710898</v>
      </c>
    </row>
    <row r="646" spans="1:4" x14ac:dyDescent="0.2">
      <c r="A646" s="137">
        <v>43552</v>
      </c>
      <c r="B646" s="136">
        <v>11570</v>
      </c>
      <c r="C646" s="138">
        <f t="shared" si="20"/>
        <v>1.0917383497669464E-2</v>
      </c>
      <c r="D646" s="138">
        <f t="shared" si="21"/>
        <v>1.0109173834976695</v>
      </c>
    </row>
    <row r="647" spans="1:4" x14ac:dyDescent="0.2">
      <c r="A647" s="137">
        <v>43553</v>
      </c>
      <c r="B647" s="136">
        <v>11623.9</v>
      </c>
      <c r="C647" s="138">
        <f t="shared" si="20"/>
        <v>4.6585998271391205E-3</v>
      </c>
      <c r="D647" s="138">
        <f t="shared" si="21"/>
        <v>1.0046585998271391</v>
      </c>
    </row>
    <row r="648" spans="1:4" x14ac:dyDescent="0.2">
      <c r="A648" s="137">
        <v>43556</v>
      </c>
      <c r="B648" s="136">
        <v>11669.15</v>
      </c>
      <c r="C648" s="138">
        <f t="shared" si="20"/>
        <v>3.8928414731715932E-3</v>
      </c>
      <c r="D648" s="138">
        <f t="shared" si="21"/>
        <v>1.0038928414731716</v>
      </c>
    </row>
    <row r="649" spans="1:4" x14ac:dyDescent="0.2">
      <c r="A649" s="137">
        <v>43557</v>
      </c>
      <c r="B649" s="136">
        <v>11713.2</v>
      </c>
      <c r="C649" s="138">
        <f t="shared" si="20"/>
        <v>3.7749107689935002E-3</v>
      </c>
      <c r="D649" s="138">
        <f t="shared" si="21"/>
        <v>1.0037749107689935</v>
      </c>
    </row>
    <row r="650" spans="1:4" x14ac:dyDescent="0.2">
      <c r="A650" s="137">
        <v>43558</v>
      </c>
      <c r="B650" s="136">
        <v>11643.95</v>
      </c>
      <c r="C650" s="138">
        <f t="shared" si="20"/>
        <v>-5.9121333196735515E-3</v>
      </c>
      <c r="D650" s="138">
        <f t="shared" si="21"/>
        <v>0.99408786668032645</v>
      </c>
    </row>
    <row r="651" spans="1:4" x14ac:dyDescent="0.2">
      <c r="A651" s="137">
        <v>43559</v>
      </c>
      <c r="B651" s="136">
        <v>11598</v>
      </c>
      <c r="C651" s="138">
        <f t="shared" si="20"/>
        <v>-3.9462553514916232E-3</v>
      </c>
      <c r="D651" s="138">
        <f t="shared" si="21"/>
        <v>0.99605374464850838</v>
      </c>
    </row>
    <row r="652" spans="1:4" x14ac:dyDescent="0.2">
      <c r="A652" s="137">
        <v>43560</v>
      </c>
      <c r="B652" s="136">
        <v>11665.95</v>
      </c>
      <c r="C652" s="138">
        <f t="shared" si="20"/>
        <v>5.8587687532334343E-3</v>
      </c>
      <c r="D652" s="138">
        <f t="shared" si="21"/>
        <v>1.0058587687532334</v>
      </c>
    </row>
    <row r="653" spans="1:4" x14ac:dyDescent="0.2">
      <c r="A653" s="137">
        <v>43563</v>
      </c>
      <c r="B653" s="136">
        <v>11604.5</v>
      </c>
      <c r="C653" s="138">
        <f t="shared" si="20"/>
        <v>-5.2674664300808027E-3</v>
      </c>
      <c r="D653" s="138">
        <f t="shared" si="21"/>
        <v>0.9947325335699192</v>
      </c>
    </row>
    <row r="654" spans="1:4" x14ac:dyDescent="0.2">
      <c r="A654" s="137">
        <v>43564</v>
      </c>
      <c r="B654" s="136">
        <v>11671.95</v>
      </c>
      <c r="C654" s="138">
        <f t="shared" si="20"/>
        <v>5.8124003619286491E-3</v>
      </c>
      <c r="D654" s="138">
        <f t="shared" si="21"/>
        <v>1.0058124003619286</v>
      </c>
    </row>
    <row r="655" spans="1:4" x14ac:dyDescent="0.2">
      <c r="A655" s="137">
        <v>43565</v>
      </c>
      <c r="B655" s="136">
        <v>11584.3</v>
      </c>
      <c r="C655" s="138">
        <f t="shared" si="20"/>
        <v>-7.5094564318731738E-3</v>
      </c>
      <c r="D655" s="138">
        <f t="shared" si="21"/>
        <v>0.99249054356812683</v>
      </c>
    </row>
    <row r="656" spans="1:4" x14ac:dyDescent="0.2">
      <c r="A656" s="137">
        <v>43566</v>
      </c>
      <c r="B656" s="136">
        <v>11596.7</v>
      </c>
      <c r="C656" s="138">
        <f t="shared" si="20"/>
        <v>1.0704142675863615E-3</v>
      </c>
      <c r="D656" s="138">
        <f t="shared" si="21"/>
        <v>1.0010704142675864</v>
      </c>
    </row>
    <row r="657" spans="1:4" x14ac:dyDescent="0.2">
      <c r="A657" s="137">
        <v>43567</v>
      </c>
      <c r="B657" s="136">
        <v>11643.45</v>
      </c>
      <c r="C657" s="138">
        <f t="shared" si="20"/>
        <v>4.0313192546155285E-3</v>
      </c>
      <c r="D657" s="138">
        <f t="shared" si="21"/>
        <v>1.0040313192546155</v>
      </c>
    </row>
    <row r="658" spans="1:4" x14ac:dyDescent="0.2">
      <c r="A658" s="137">
        <v>43570</v>
      </c>
      <c r="B658" s="136">
        <v>11690.35</v>
      </c>
      <c r="C658" s="138">
        <f t="shared" si="20"/>
        <v>4.0280157513450376E-3</v>
      </c>
      <c r="D658" s="138">
        <f t="shared" si="21"/>
        <v>1.004028015751345</v>
      </c>
    </row>
    <row r="659" spans="1:4" x14ac:dyDescent="0.2">
      <c r="A659" s="137">
        <v>43571</v>
      </c>
      <c r="B659" s="136">
        <v>11787.15</v>
      </c>
      <c r="C659" s="138">
        <f t="shared" si="20"/>
        <v>8.2803337795702703E-3</v>
      </c>
      <c r="D659" s="138">
        <f t="shared" si="21"/>
        <v>1.0082803337795703</v>
      </c>
    </row>
    <row r="660" spans="1:4" x14ac:dyDescent="0.2">
      <c r="A660" s="137">
        <v>43573</v>
      </c>
      <c r="B660" s="136">
        <v>11752.8</v>
      </c>
      <c r="C660" s="138">
        <f t="shared" si="20"/>
        <v>-2.9141904531629903E-3</v>
      </c>
      <c r="D660" s="138">
        <f t="shared" si="21"/>
        <v>0.99708580954683701</v>
      </c>
    </row>
    <row r="661" spans="1:4" x14ac:dyDescent="0.2">
      <c r="A661" s="137">
        <v>43577</v>
      </c>
      <c r="B661" s="136">
        <v>11594.45</v>
      </c>
      <c r="C661" s="138">
        <f t="shared" si="20"/>
        <v>-1.3473385065686405E-2</v>
      </c>
      <c r="D661" s="138">
        <f t="shared" si="21"/>
        <v>0.98652661493431359</v>
      </c>
    </row>
    <row r="662" spans="1:4" x14ac:dyDescent="0.2">
      <c r="A662" s="137">
        <v>43578</v>
      </c>
      <c r="B662" s="136">
        <v>11575.95</v>
      </c>
      <c r="C662" s="138">
        <f t="shared" si="20"/>
        <v>-1.5955909939668889E-3</v>
      </c>
      <c r="D662" s="138">
        <f t="shared" si="21"/>
        <v>0.99840440900603311</v>
      </c>
    </row>
    <row r="663" spans="1:4" x14ac:dyDescent="0.2">
      <c r="A663" s="137">
        <v>43579</v>
      </c>
      <c r="B663" s="136">
        <v>11726.15</v>
      </c>
      <c r="C663" s="138">
        <f t="shared" si="20"/>
        <v>1.2975176983314407E-2</v>
      </c>
      <c r="D663" s="138">
        <f t="shared" si="21"/>
        <v>1.0129751769833144</v>
      </c>
    </row>
    <row r="664" spans="1:4" x14ac:dyDescent="0.2">
      <c r="A664" s="137">
        <v>43580</v>
      </c>
      <c r="B664" s="136">
        <v>11641.8</v>
      </c>
      <c r="C664" s="138">
        <f t="shared" si="20"/>
        <v>-7.1933243221347087E-3</v>
      </c>
      <c r="D664" s="138">
        <f t="shared" si="21"/>
        <v>0.99280667567786529</v>
      </c>
    </row>
    <row r="665" spans="1:4" x14ac:dyDescent="0.2">
      <c r="A665" s="137">
        <v>43581</v>
      </c>
      <c r="B665" s="136">
        <v>11754.65</v>
      </c>
      <c r="C665" s="138">
        <f t="shared" si="20"/>
        <v>9.6935181844732821E-3</v>
      </c>
      <c r="D665" s="138">
        <f t="shared" si="21"/>
        <v>1.0096935181844733</v>
      </c>
    </row>
    <row r="666" spans="1:4" x14ac:dyDescent="0.2">
      <c r="A666" s="137">
        <v>43585</v>
      </c>
      <c r="B666" s="136">
        <v>11748.15</v>
      </c>
      <c r="C666" s="138">
        <f t="shared" si="20"/>
        <v>-5.5297265337550527E-4</v>
      </c>
      <c r="D666" s="138">
        <f t="shared" si="21"/>
        <v>0.99944702734662449</v>
      </c>
    </row>
    <row r="667" spans="1:4" x14ac:dyDescent="0.2">
      <c r="A667" s="137">
        <v>43587</v>
      </c>
      <c r="B667" s="136">
        <v>11724.75</v>
      </c>
      <c r="C667" s="138">
        <f t="shared" si="20"/>
        <v>-1.9918029647221225E-3</v>
      </c>
      <c r="D667" s="138">
        <f t="shared" si="21"/>
        <v>0.99800819703527788</v>
      </c>
    </row>
    <row r="668" spans="1:4" x14ac:dyDescent="0.2">
      <c r="A668" s="137">
        <v>43588</v>
      </c>
      <c r="B668" s="136">
        <v>11712.25</v>
      </c>
      <c r="C668" s="138">
        <f t="shared" si="20"/>
        <v>-1.0661208128105448E-3</v>
      </c>
      <c r="D668" s="138">
        <f t="shared" si="21"/>
        <v>0.99893387918718946</v>
      </c>
    </row>
    <row r="669" spans="1:4" x14ac:dyDescent="0.2">
      <c r="A669" s="137">
        <v>43591</v>
      </c>
      <c r="B669" s="136">
        <v>11598.25</v>
      </c>
      <c r="C669" s="138">
        <f t="shared" si="20"/>
        <v>-9.7333987918631903E-3</v>
      </c>
      <c r="D669" s="138">
        <f t="shared" si="21"/>
        <v>0.99026660120813681</v>
      </c>
    </row>
    <row r="670" spans="1:4" x14ac:dyDescent="0.2">
      <c r="A670" s="137">
        <v>43592</v>
      </c>
      <c r="B670" s="136">
        <v>11497.9</v>
      </c>
      <c r="C670" s="138">
        <f t="shared" si="20"/>
        <v>-8.652167352833473E-3</v>
      </c>
      <c r="D670" s="138">
        <f t="shared" si="21"/>
        <v>0.99134783264716653</v>
      </c>
    </row>
    <row r="671" spans="1:4" x14ac:dyDescent="0.2">
      <c r="A671" s="137">
        <v>43593</v>
      </c>
      <c r="B671" s="136">
        <v>11359.45</v>
      </c>
      <c r="C671" s="138">
        <f t="shared" si="20"/>
        <v>-1.2041329286217373E-2</v>
      </c>
      <c r="D671" s="138">
        <f t="shared" si="21"/>
        <v>0.98795867071378263</v>
      </c>
    </row>
    <row r="672" spans="1:4" x14ac:dyDescent="0.2">
      <c r="A672" s="137">
        <v>43594</v>
      </c>
      <c r="B672" s="136">
        <v>11301.8</v>
      </c>
      <c r="C672" s="138">
        <f t="shared" si="20"/>
        <v>-5.0750696556612906E-3</v>
      </c>
      <c r="D672" s="138">
        <f t="shared" si="21"/>
        <v>0.99492493034433871</v>
      </c>
    </row>
    <row r="673" spans="1:4" x14ac:dyDescent="0.2">
      <c r="A673" s="137">
        <v>43595</v>
      </c>
      <c r="B673" s="136">
        <v>11278.9</v>
      </c>
      <c r="C673" s="138">
        <f t="shared" si="20"/>
        <v>-2.0262259109168346E-3</v>
      </c>
      <c r="D673" s="138">
        <f t="shared" si="21"/>
        <v>0.99797377408908317</v>
      </c>
    </row>
    <row r="674" spans="1:4" x14ac:dyDescent="0.2">
      <c r="A674" s="137">
        <v>43598</v>
      </c>
      <c r="B674" s="136">
        <v>11148.2</v>
      </c>
      <c r="C674" s="138">
        <f t="shared" si="20"/>
        <v>-1.1588009469008398E-2</v>
      </c>
      <c r="D674" s="138">
        <f t="shared" si="21"/>
        <v>0.9884119905309916</v>
      </c>
    </row>
    <row r="675" spans="1:4" x14ac:dyDescent="0.2">
      <c r="A675" s="137">
        <v>43599</v>
      </c>
      <c r="B675" s="136">
        <v>11222.05</v>
      </c>
      <c r="C675" s="138">
        <f t="shared" si="20"/>
        <v>6.6243877935450168E-3</v>
      </c>
      <c r="D675" s="138">
        <f t="shared" si="21"/>
        <v>1.006624387793545</v>
      </c>
    </row>
    <row r="676" spans="1:4" x14ac:dyDescent="0.2">
      <c r="A676" s="137">
        <v>43600</v>
      </c>
      <c r="B676" s="136">
        <v>11157</v>
      </c>
      <c r="C676" s="138">
        <f t="shared" si="20"/>
        <v>-5.7966236115504222E-3</v>
      </c>
      <c r="D676" s="138">
        <f t="shared" si="21"/>
        <v>0.99420337638844958</v>
      </c>
    </row>
    <row r="677" spans="1:4" x14ac:dyDescent="0.2">
      <c r="A677" s="137">
        <v>43601</v>
      </c>
      <c r="B677" s="136">
        <v>11257.1</v>
      </c>
      <c r="C677" s="138">
        <f t="shared" si="20"/>
        <v>8.9719458635835192E-3</v>
      </c>
      <c r="D677" s="138">
        <f t="shared" si="21"/>
        <v>1.0089719458635835</v>
      </c>
    </row>
    <row r="678" spans="1:4" x14ac:dyDescent="0.2">
      <c r="A678" s="137">
        <v>43602</v>
      </c>
      <c r="B678" s="136">
        <v>11407.15</v>
      </c>
      <c r="C678" s="138">
        <f t="shared" si="20"/>
        <v>1.3329365467127374E-2</v>
      </c>
      <c r="D678" s="138">
        <f t="shared" si="21"/>
        <v>1.0133293654671274</v>
      </c>
    </row>
    <row r="679" spans="1:4" x14ac:dyDescent="0.2">
      <c r="A679" s="137">
        <v>43605</v>
      </c>
      <c r="B679" s="136">
        <v>11828.25</v>
      </c>
      <c r="C679" s="138">
        <f t="shared" si="20"/>
        <v>3.691544338419317E-2</v>
      </c>
      <c r="D679" s="138">
        <f t="shared" si="21"/>
        <v>1.0369154433841932</v>
      </c>
    </row>
    <row r="680" spans="1:4" x14ac:dyDescent="0.2">
      <c r="A680" s="137">
        <v>43606</v>
      </c>
      <c r="B680" s="136">
        <v>11709.1</v>
      </c>
      <c r="C680" s="138">
        <f t="shared" si="20"/>
        <v>-1.0073341364952526E-2</v>
      </c>
      <c r="D680" s="138">
        <f t="shared" si="21"/>
        <v>0.98992665863504747</v>
      </c>
    </row>
    <row r="681" spans="1:4" x14ac:dyDescent="0.2">
      <c r="A681" s="137">
        <v>43607</v>
      </c>
      <c r="B681" s="136">
        <v>11737.9</v>
      </c>
      <c r="C681" s="138">
        <f t="shared" si="20"/>
        <v>2.4596254195454748E-3</v>
      </c>
      <c r="D681" s="138">
        <f t="shared" si="21"/>
        <v>1.0024596254195455</v>
      </c>
    </row>
    <row r="682" spans="1:4" x14ac:dyDescent="0.2">
      <c r="A682" s="137">
        <v>43608</v>
      </c>
      <c r="B682" s="136">
        <v>11657.05</v>
      </c>
      <c r="C682" s="138">
        <f t="shared" si="20"/>
        <v>-6.8879441808160635E-3</v>
      </c>
      <c r="D682" s="138">
        <f t="shared" si="21"/>
        <v>0.99311205581918394</v>
      </c>
    </row>
    <row r="683" spans="1:4" x14ac:dyDescent="0.2">
      <c r="A683" s="137">
        <v>43609</v>
      </c>
      <c r="B683" s="136">
        <v>11844.1</v>
      </c>
      <c r="C683" s="138">
        <f t="shared" si="20"/>
        <v>1.6046083700421709E-2</v>
      </c>
      <c r="D683" s="138">
        <f t="shared" si="21"/>
        <v>1.0160460837004217</v>
      </c>
    </row>
    <row r="684" spans="1:4" x14ac:dyDescent="0.2">
      <c r="A684" s="137">
        <v>43612</v>
      </c>
      <c r="B684" s="136">
        <v>11924.75</v>
      </c>
      <c r="C684" s="138">
        <f t="shared" si="20"/>
        <v>6.809297456117358E-3</v>
      </c>
      <c r="D684" s="138">
        <f t="shared" si="21"/>
        <v>1.0068092974561174</v>
      </c>
    </row>
    <row r="685" spans="1:4" x14ac:dyDescent="0.2">
      <c r="A685" s="137">
        <v>43613</v>
      </c>
      <c r="B685" s="136">
        <v>11928.75</v>
      </c>
      <c r="C685" s="138">
        <f t="shared" si="20"/>
        <v>3.3543680161018941E-4</v>
      </c>
      <c r="D685" s="138">
        <f t="shared" si="21"/>
        <v>1.0003354368016102</v>
      </c>
    </row>
    <row r="686" spans="1:4" x14ac:dyDescent="0.2">
      <c r="A686" s="137">
        <v>43614</v>
      </c>
      <c r="B686" s="136">
        <v>11861.1</v>
      </c>
      <c r="C686" s="138">
        <f t="shared" si="20"/>
        <v>-5.6711725872367058E-3</v>
      </c>
      <c r="D686" s="138">
        <f t="shared" si="21"/>
        <v>0.99432882741276329</v>
      </c>
    </row>
    <row r="687" spans="1:4" x14ac:dyDescent="0.2">
      <c r="A687" s="137">
        <v>43615</v>
      </c>
      <c r="B687" s="136">
        <v>11945.9</v>
      </c>
      <c r="C687" s="138">
        <f t="shared" si="20"/>
        <v>7.1494212172562577E-3</v>
      </c>
      <c r="D687" s="138">
        <f t="shared" si="21"/>
        <v>1.0071494212172563</v>
      </c>
    </row>
    <row r="688" spans="1:4" x14ac:dyDescent="0.2">
      <c r="A688" s="137">
        <v>43616</v>
      </c>
      <c r="B688" s="136">
        <v>11922.8</v>
      </c>
      <c r="C688" s="138">
        <f t="shared" si="20"/>
        <v>-1.9337178446161563E-3</v>
      </c>
      <c r="D688" s="138">
        <f t="shared" si="21"/>
        <v>0.99806628215538384</v>
      </c>
    </row>
    <row r="689" spans="1:4" x14ac:dyDescent="0.2">
      <c r="A689" s="137">
        <v>43619</v>
      </c>
      <c r="B689" s="136">
        <v>12088.55</v>
      </c>
      <c r="C689" s="138">
        <f t="shared" si="20"/>
        <v>1.3901935786895692E-2</v>
      </c>
      <c r="D689" s="138">
        <f t="shared" si="21"/>
        <v>1.0139019357868957</v>
      </c>
    </row>
    <row r="690" spans="1:4" x14ac:dyDescent="0.2">
      <c r="A690" s="137">
        <v>43620</v>
      </c>
      <c r="B690" s="136">
        <v>12021.65</v>
      </c>
      <c r="C690" s="138">
        <f t="shared" si="20"/>
        <v>-5.5341624926066313E-3</v>
      </c>
      <c r="D690" s="138">
        <f t="shared" si="21"/>
        <v>0.99446583750739337</v>
      </c>
    </row>
    <row r="691" spans="1:4" x14ac:dyDescent="0.2">
      <c r="A691" s="137">
        <v>43622</v>
      </c>
      <c r="B691" s="136">
        <v>11843.75</v>
      </c>
      <c r="C691" s="138">
        <f t="shared" si="20"/>
        <v>-1.479830139789462E-2</v>
      </c>
      <c r="D691" s="138">
        <f t="shared" si="21"/>
        <v>0.98520169860210538</v>
      </c>
    </row>
    <row r="692" spans="1:4" x14ac:dyDescent="0.2">
      <c r="A692" s="137">
        <v>43623</v>
      </c>
      <c r="B692" s="136">
        <v>11870.65</v>
      </c>
      <c r="C692" s="138">
        <f t="shared" si="20"/>
        <v>2.271240105540917E-3</v>
      </c>
      <c r="D692" s="138">
        <f t="shared" si="21"/>
        <v>1.0022712401055409</v>
      </c>
    </row>
    <row r="693" spans="1:4" x14ac:dyDescent="0.2">
      <c r="A693" s="137">
        <v>43626</v>
      </c>
      <c r="B693" s="136">
        <v>11922.7</v>
      </c>
      <c r="C693" s="138">
        <f t="shared" si="20"/>
        <v>4.3847641030609896E-3</v>
      </c>
      <c r="D693" s="138">
        <f t="shared" si="21"/>
        <v>1.004384764103061</v>
      </c>
    </row>
    <row r="694" spans="1:4" x14ac:dyDescent="0.2">
      <c r="A694" s="137">
        <v>43627</v>
      </c>
      <c r="B694" s="136">
        <v>11965.6</v>
      </c>
      <c r="C694" s="138">
        <f t="shared" si="20"/>
        <v>3.5981782649903149E-3</v>
      </c>
      <c r="D694" s="138">
        <f t="shared" si="21"/>
        <v>1.0035981782649903</v>
      </c>
    </row>
    <row r="695" spans="1:4" x14ac:dyDescent="0.2">
      <c r="A695" s="137">
        <v>43628</v>
      </c>
      <c r="B695" s="136">
        <v>11906.2</v>
      </c>
      <c r="C695" s="138">
        <f t="shared" si="20"/>
        <v>-4.9642307949454567E-3</v>
      </c>
      <c r="D695" s="138">
        <f t="shared" si="21"/>
        <v>0.99503576920505454</v>
      </c>
    </row>
    <row r="696" spans="1:4" x14ac:dyDescent="0.2">
      <c r="A696" s="137">
        <v>43629</v>
      </c>
      <c r="B696" s="136">
        <v>11914.05</v>
      </c>
      <c r="C696" s="138">
        <f t="shared" si="20"/>
        <v>6.5932035410121159E-4</v>
      </c>
      <c r="D696" s="138">
        <f t="shared" si="21"/>
        <v>1.0006593203541012</v>
      </c>
    </row>
    <row r="697" spans="1:4" x14ac:dyDescent="0.2">
      <c r="A697" s="137">
        <v>43630</v>
      </c>
      <c r="B697" s="136">
        <v>11823.3</v>
      </c>
      <c r="C697" s="138">
        <f t="shared" si="20"/>
        <v>-7.6170571719944569E-3</v>
      </c>
      <c r="D697" s="138">
        <f t="shared" si="21"/>
        <v>0.99238294282800554</v>
      </c>
    </row>
    <row r="698" spans="1:4" x14ac:dyDescent="0.2">
      <c r="A698" s="137">
        <v>43633</v>
      </c>
      <c r="B698" s="136">
        <v>11672.15</v>
      </c>
      <c r="C698" s="138">
        <f t="shared" si="20"/>
        <v>-1.2784078895063056E-2</v>
      </c>
      <c r="D698" s="138">
        <f t="shared" si="21"/>
        <v>0.98721592110493694</v>
      </c>
    </row>
    <row r="699" spans="1:4" x14ac:dyDescent="0.2">
      <c r="A699" s="137">
        <v>43634</v>
      </c>
      <c r="B699" s="136">
        <v>11691.5</v>
      </c>
      <c r="C699" s="138">
        <f t="shared" si="20"/>
        <v>1.657792266206437E-3</v>
      </c>
      <c r="D699" s="138">
        <f t="shared" si="21"/>
        <v>1.0016577922662064</v>
      </c>
    </row>
    <row r="700" spans="1:4" x14ac:dyDescent="0.2">
      <c r="A700" s="137">
        <v>43635</v>
      </c>
      <c r="B700" s="136">
        <v>11691.45</v>
      </c>
      <c r="C700" s="138">
        <f t="shared" si="20"/>
        <v>-4.2766112131609191E-6</v>
      </c>
      <c r="D700" s="138">
        <f t="shared" si="21"/>
        <v>0.99999572338878684</v>
      </c>
    </row>
    <row r="701" spans="1:4" x14ac:dyDescent="0.2">
      <c r="A701" s="137">
        <v>43636</v>
      </c>
      <c r="B701" s="136">
        <v>11831.75</v>
      </c>
      <c r="C701" s="138">
        <f t="shared" si="20"/>
        <v>1.2000222384733972E-2</v>
      </c>
      <c r="D701" s="138">
        <f t="shared" si="21"/>
        <v>1.012000222384734</v>
      </c>
    </row>
    <row r="702" spans="1:4" x14ac:dyDescent="0.2">
      <c r="A702" s="137">
        <v>43637</v>
      </c>
      <c r="B702" s="136">
        <v>11724.1</v>
      </c>
      <c r="C702" s="138">
        <f t="shared" si="20"/>
        <v>-9.098400490206382E-3</v>
      </c>
      <c r="D702" s="138">
        <f t="shared" si="21"/>
        <v>0.99090159950979362</v>
      </c>
    </row>
    <row r="703" spans="1:4" x14ac:dyDescent="0.2">
      <c r="A703" s="137">
        <v>43640</v>
      </c>
      <c r="B703" s="136">
        <v>11699.65</v>
      </c>
      <c r="C703" s="138">
        <f t="shared" si="20"/>
        <v>-2.0854479235080658E-3</v>
      </c>
      <c r="D703" s="138">
        <f t="shared" si="21"/>
        <v>0.99791455207649193</v>
      </c>
    </row>
    <row r="704" spans="1:4" x14ac:dyDescent="0.2">
      <c r="A704" s="137">
        <v>43641</v>
      </c>
      <c r="B704" s="136">
        <v>11796.45</v>
      </c>
      <c r="C704" s="138">
        <f t="shared" si="20"/>
        <v>8.2737517788995518E-3</v>
      </c>
      <c r="D704" s="138">
        <f t="shared" si="21"/>
        <v>1.0082737517788996</v>
      </c>
    </row>
    <row r="705" spans="1:4" x14ac:dyDescent="0.2">
      <c r="A705" s="137">
        <v>43642</v>
      </c>
      <c r="B705" s="136">
        <v>11847.55</v>
      </c>
      <c r="C705" s="138">
        <f t="shared" si="20"/>
        <v>4.331811689109788E-3</v>
      </c>
      <c r="D705" s="138">
        <f t="shared" si="21"/>
        <v>1.0043318116891098</v>
      </c>
    </row>
    <row r="706" spans="1:4" x14ac:dyDescent="0.2">
      <c r="A706" s="137">
        <v>43643</v>
      </c>
      <c r="B706" s="136">
        <v>11841.55</v>
      </c>
      <c r="C706" s="138">
        <f t="shared" si="20"/>
        <v>-5.0643381965043144E-4</v>
      </c>
      <c r="D706" s="138">
        <f t="shared" si="21"/>
        <v>0.99949356618034957</v>
      </c>
    </row>
    <row r="707" spans="1:4" x14ac:dyDescent="0.2">
      <c r="A707" s="137">
        <v>43644</v>
      </c>
      <c r="B707" s="136">
        <v>11788.85</v>
      </c>
      <c r="C707" s="138">
        <f t="shared" ref="C707:C770" si="22">B707/B706-1</f>
        <v>-4.4504308979820273E-3</v>
      </c>
      <c r="D707" s="138">
        <f t="shared" ref="D707:D770" si="23">1+C707</f>
        <v>0.99554956910201797</v>
      </c>
    </row>
    <row r="708" spans="1:4" x14ac:dyDescent="0.2">
      <c r="A708" s="137">
        <v>43647</v>
      </c>
      <c r="B708" s="136">
        <v>11865.6</v>
      </c>
      <c r="C708" s="138">
        <f t="shared" si="22"/>
        <v>6.5103890540638698E-3</v>
      </c>
      <c r="D708" s="138">
        <f t="shared" si="23"/>
        <v>1.0065103890540639</v>
      </c>
    </row>
    <row r="709" spans="1:4" x14ac:dyDescent="0.2">
      <c r="A709" s="137">
        <v>43648</v>
      </c>
      <c r="B709" s="136">
        <v>11910.3</v>
      </c>
      <c r="C709" s="138">
        <f t="shared" si="22"/>
        <v>3.767192556634269E-3</v>
      </c>
      <c r="D709" s="138">
        <f t="shared" si="23"/>
        <v>1.0037671925566343</v>
      </c>
    </row>
    <row r="710" spans="1:4" x14ac:dyDescent="0.2">
      <c r="A710" s="137">
        <v>43649</v>
      </c>
      <c r="B710" s="136">
        <v>11916.75</v>
      </c>
      <c r="C710" s="138">
        <f t="shared" si="22"/>
        <v>5.4154807183715015E-4</v>
      </c>
      <c r="D710" s="138">
        <f t="shared" si="23"/>
        <v>1.0005415480718372</v>
      </c>
    </row>
    <row r="711" spans="1:4" x14ac:dyDescent="0.2">
      <c r="A711" s="137">
        <v>43650</v>
      </c>
      <c r="B711" s="136">
        <v>11946.75</v>
      </c>
      <c r="C711" s="138">
        <f t="shared" si="22"/>
        <v>2.5174649128327786E-3</v>
      </c>
      <c r="D711" s="138">
        <f t="shared" si="23"/>
        <v>1.0025174649128328</v>
      </c>
    </row>
    <row r="712" spans="1:4" x14ac:dyDescent="0.2">
      <c r="A712" s="137">
        <v>43651</v>
      </c>
      <c r="B712" s="136">
        <v>11811.15</v>
      </c>
      <c r="C712" s="138">
        <f t="shared" si="22"/>
        <v>-1.1350367254692739E-2</v>
      </c>
      <c r="D712" s="138">
        <f t="shared" si="23"/>
        <v>0.98864963274530726</v>
      </c>
    </row>
    <row r="713" spans="1:4" x14ac:dyDescent="0.2">
      <c r="A713" s="137">
        <v>43654</v>
      </c>
      <c r="B713" s="136">
        <v>11558.6</v>
      </c>
      <c r="C713" s="138">
        <f t="shared" si="22"/>
        <v>-2.1382337875651358E-2</v>
      </c>
      <c r="D713" s="138">
        <f t="shared" si="23"/>
        <v>0.97861766212434864</v>
      </c>
    </row>
    <row r="714" spans="1:4" x14ac:dyDescent="0.2">
      <c r="A714" s="137">
        <v>43655</v>
      </c>
      <c r="B714" s="136">
        <v>11555.9</v>
      </c>
      <c r="C714" s="138">
        <f t="shared" si="22"/>
        <v>-2.335923035662324E-4</v>
      </c>
      <c r="D714" s="138">
        <f t="shared" si="23"/>
        <v>0.99976640769643377</v>
      </c>
    </row>
    <row r="715" spans="1:4" x14ac:dyDescent="0.2">
      <c r="A715" s="137">
        <v>43656</v>
      </c>
      <c r="B715" s="136">
        <v>11498.9</v>
      </c>
      <c r="C715" s="138">
        <f t="shared" si="22"/>
        <v>-4.93254527990028E-3</v>
      </c>
      <c r="D715" s="138">
        <f t="shared" si="23"/>
        <v>0.99506745472009972</v>
      </c>
    </row>
    <row r="716" spans="1:4" x14ac:dyDescent="0.2">
      <c r="A716" s="137">
        <v>43657</v>
      </c>
      <c r="B716" s="136">
        <v>11582.9</v>
      </c>
      <c r="C716" s="138">
        <f t="shared" si="22"/>
        <v>7.3050465696717914E-3</v>
      </c>
      <c r="D716" s="138">
        <f t="shared" si="23"/>
        <v>1.0073050465696718</v>
      </c>
    </row>
    <row r="717" spans="1:4" x14ac:dyDescent="0.2">
      <c r="A717" s="137">
        <v>43658</v>
      </c>
      <c r="B717" s="136">
        <v>11552.5</v>
      </c>
      <c r="C717" s="138">
        <f t="shared" si="22"/>
        <v>-2.6245586165812851E-3</v>
      </c>
      <c r="D717" s="138">
        <f t="shared" si="23"/>
        <v>0.99737544138341871</v>
      </c>
    </row>
    <row r="718" spans="1:4" x14ac:dyDescent="0.2">
      <c r="A718" s="137">
        <v>43661</v>
      </c>
      <c r="B718" s="136">
        <v>11588.35</v>
      </c>
      <c r="C718" s="138">
        <f t="shared" si="22"/>
        <v>3.1032244103008644E-3</v>
      </c>
      <c r="D718" s="138">
        <f t="shared" si="23"/>
        <v>1.0031032244103009</v>
      </c>
    </row>
    <row r="719" spans="1:4" x14ac:dyDescent="0.2">
      <c r="A719" s="137">
        <v>43662</v>
      </c>
      <c r="B719" s="136">
        <v>11662.6</v>
      </c>
      <c r="C719" s="138">
        <f t="shared" si="22"/>
        <v>6.4072969836086457E-3</v>
      </c>
      <c r="D719" s="138">
        <f t="shared" si="23"/>
        <v>1.0064072969836086</v>
      </c>
    </row>
    <row r="720" spans="1:4" x14ac:dyDescent="0.2">
      <c r="A720" s="137">
        <v>43663</v>
      </c>
      <c r="B720" s="136">
        <v>11687.5</v>
      </c>
      <c r="C720" s="138">
        <f t="shared" si="22"/>
        <v>2.1350299247164806E-3</v>
      </c>
      <c r="D720" s="138">
        <f t="shared" si="23"/>
        <v>1.0021350299247165</v>
      </c>
    </row>
    <row r="721" spans="1:4" x14ac:dyDescent="0.2">
      <c r="A721" s="137">
        <v>43664</v>
      </c>
      <c r="B721" s="136">
        <v>11596.9</v>
      </c>
      <c r="C721" s="138">
        <f t="shared" si="22"/>
        <v>-7.7518716577540392E-3</v>
      </c>
      <c r="D721" s="138">
        <f t="shared" si="23"/>
        <v>0.99224812834224596</v>
      </c>
    </row>
    <row r="722" spans="1:4" x14ac:dyDescent="0.2">
      <c r="A722" s="137">
        <v>43665</v>
      </c>
      <c r="B722" s="136">
        <v>11419.25</v>
      </c>
      <c r="C722" s="138">
        <f t="shared" si="22"/>
        <v>-1.531874897601937E-2</v>
      </c>
      <c r="D722" s="138">
        <f t="shared" si="23"/>
        <v>0.98468125102398063</v>
      </c>
    </row>
    <row r="723" spans="1:4" x14ac:dyDescent="0.2">
      <c r="A723" s="137">
        <v>43668</v>
      </c>
      <c r="B723" s="136">
        <v>11346.2</v>
      </c>
      <c r="C723" s="138">
        <f t="shared" si="22"/>
        <v>-6.3970926286751606E-3</v>
      </c>
      <c r="D723" s="138">
        <f t="shared" si="23"/>
        <v>0.99360290737132484</v>
      </c>
    </row>
    <row r="724" spans="1:4" x14ac:dyDescent="0.2">
      <c r="A724" s="137">
        <v>43669</v>
      </c>
      <c r="B724" s="136">
        <v>11331.05</v>
      </c>
      <c r="C724" s="138">
        <f t="shared" si="22"/>
        <v>-1.3352488057677414E-3</v>
      </c>
      <c r="D724" s="138">
        <f t="shared" si="23"/>
        <v>0.99866475119423226</v>
      </c>
    </row>
    <row r="725" spans="1:4" x14ac:dyDescent="0.2">
      <c r="A725" s="137">
        <v>43670</v>
      </c>
      <c r="B725" s="136">
        <v>11271.3</v>
      </c>
      <c r="C725" s="138">
        <f t="shared" si="22"/>
        <v>-5.2731212023598983E-3</v>
      </c>
      <c r="D725" s="138">
        <f t="shared" si="23"/>
        <v>0.9947268787976401</v>
      </c>
    </row>
    <row r="726" spans="1:4" x14ac:dyDescent="0.2">
      <c r="A726" s="137">
        <v>43671</v>
      </c>
      <c r="B726" s="136">
        <v>11252.15</v>
      </c>
      <c r="C726" s="138">
        <f t="shared" si="22"/>
        <v>-1.6990054385918052E-3</v>
      </c>
      <c r="D726" s="138">
        <f t="shared" si="23"/>
        <v>0.99830099456140819</v>
      </c>
    </row>
    <row r="727" spans="1:4" x14ac:dyDescent="0.2">
      <c r="A727" s="137">
        <v>43672</v>
      </c>
      <c r="B727" s="136">
        <v>11284.3</v>
      </c>
      <c r="C727" s="138">
        <f t="shared" si="22"/>
        <v>2.8572317290473936E-3</v>
      </c>
      <c r="D727" s="138">
        <f t="shared" si="23"/>
        <v>1.0028572317290474</v>
      </c>
    </row>
    <row r="728" spans="1:4" x14ac:dyDescent="0.2">
      <c r="A728" s="137">
        <v>43675</v>
      </c>
      <c r="B728" s="136">
        <v>11189.2</v>
      </c>
      <c r="C728" s="138">
        <f t="shared" si="22"/>
        <v>-8.4276384002550664E-3</v>
      </c>
      <c r="D728" s="138">
        <f t="shared" si="23"/>
        <v>0.99157236159974493</v>
      </c>
    </row>
    <row r="729" spans="1:4" x14ac:dyDescent="0.2">
      <c r="A729" s="137">
        <v>43676</v>
      </c>
      <c r="B729" s="136">
        <v>11085.4</v>
      </c>
      <c r="C729" s="138">
        <f t="shared" si="22"/>
        <v>-9.2768026311086382E-3</v>
      </c>
      <c r="D729" s="138">
        <f t="shared" si="23"/>
        <v>0.99072319736889136</v>
      </c>
    </row>
    <row r="730" spans="1:4" x14ac:dyDescent="0.2">
      <c r="A730" s="137">
        <v>43677</v>
      </c>
      <c r="B730" s="136">
        <v>11118</v>
      </c>
      <c r="C730" s="138">
        <f t="shared" si="22"/>
        <v>2.94080502282279E-3</v>
      </c>
      <c r="D730" s="138">
        <f t="shared" si="23"/>
        <v>1.0029408050228228</v>
      </c>
    </row>
    <row r="731" spans="1:4" x14ac:dyDescent="0.2">
      <c r="A731" s="137">
        <v>43678</v>
      </c>
      <c r="B731" s="136">
        <v>10980</v>
      </c>
      <c r="C731" s="138">
        <f t="shared" si="22"/>
        <v>-1.2412304371289817E-2</v>
      </c>
      <c r="D731" s="138">
        <f t="shared" si="23"/>
        <v>0.98758769562871018</v>
      </c>
    </row>
    <row r="732" spans="1:4" x14ac:dyDescent="0.2">
      <c r="A732" s="137">
        <v>43679</v>
      </c>
      <c r="B732" s="136">
        <v>10997.35</v>
      </c>
      <c r="C732" s="138">
        <f t="shared" si="22"/>
        <v>1.5801457194899449E-3</v>
      </c>
      <c r="D732" s="138">
        <f t="shared" si="23"/>
        <v>1.0015801457194899</v>
      </c>
    </row>
    <row r="733" spans="1:4" x14ac:dyDescent="0.2">
      <c r="A733" s="137">
        <v>43682</v>
      </c>
      <c r="B733" s="136">
        <v>10862.6</v>
      </c>
      <c r="C733" s="138">
        <f t="shared" si="22"/>
        <v>-1.2252951847490534E-2</v>
      </c>
      <c r="D733" s="138">
        <f t="shared" si="23"/>
        <v>0.98774704815250947</v>
      </c>
    </row>
    <row r="734" spans="1:4" x14ac:dyDescent="0.2">
      <c r="A734" s="137">
        <v>43683</v>
      </c>
      <c r="B734" s="136">
        <v>10948.25</v>
      </c>
      <c r="C734" s="138">
        <f t="shared" si="22"/>
        <v>7.8848526135546493E-3</v>
      </c>
      <c r="D734" s="138">
        <f t="shared" si="23"/>
        <v>1.0078848526135546</v>
      </c>
    </row>
    <row r="735" spans="1:4" x14ac:dyDescent="0.2">
      <c r="A735" s="137">
        <v>43684</v>
      </c>
      <c r="B735" s="136">
        <v>10855.5</v>
      </c>
      <c r="C735" s="138">
        <f t="shared" si="22"/>
        <v>-8.4716735551343403E-3</v>
      </c>
      <c r="D735" s="138">
        <f t="shared" si="23"/>
        <v>0.99152832644486566</v>
      </c>
    </row>
    <row r="736" spans="1:4" x14ac:dyDescent="0.2">
      <c r="A736" s="137">
        <v>43685</v>
      </c>
      <c r="B736" s="136">
        <v>11032.45</v>
      </c>
      <c r="C736" s="138">
        <f t="shared" si="22"/>
        <v>1.6300492837732161E-2</v>
      </c>
      <c r="D736" s="138">
        <f t="shared" si="23"/>
        <v>1.0163004928377322</v>
      </c>
    </row>
    <row r="737" spans="1:4" x14ac:dyDescent="0.2">
      <c r="A737" s="137">
        <v>43686</v>
      </c>
      <c r="B737" s="136">
        <v>11109.65</v>
      </c>
      <c r="C737" s="138">
        <f t="shared" si="22"/>
        <v>6.9975390779020152E-3</v>
      </c>
      <c r="D737" s="138">
        <f t="shared" si="23"/>
        <v>1.006997539077902</v>
      </c>
    </row>
    <row r="738" spans="1:4" x14ac:dyDescent="0.2">
      <c r="A738" s="137">
        <v>43690</v>
      </c>
      <c r="B738" s="136">
        <v>10925.85</v>
      </c>
      <c r="C738" s="138">
        <f t="shared" si="22"/>
        <v>-1.6544175559085939E-2</v>
      </c>
      <c r="D738" s="138">
        <f t="shared" si="23"/>
        <v>0.98345582444091406</v>
      </c>
    </row>
    <row r="739" spans="1:4" x14ac:dyDescent="0.2">
      <c r="A739" s="137">
        <v>43691</v>
      </c>
      <c r="B739" s="136">
        <v>11029.4</v>
      </c>
      <c r="C739" s="138">
        <f t="shared" si="22"/>
        <v>9.4775234878750059E-3</v>
      </c>
      <c r="D739" s="138">
        <f t="shared" si="23"/>
        <v>1.009477523487875</v>
      </c>
    </row>
    <row r="740" spans="1:4" x14ac:dyDescent="0.2">
      <c r="A740" s="137">
        <v>43693</v>
      </c>
      <c r="B740" s="136">
        <v>11047.8</v>
      </c>
      <c r="C740" s="138">
        <f t="shared" si="22"/>
        <v>1.6682684461530872E-3</v>
      </c>
      <c r="D740" s="138">
        <f t="shared" si="23"/>
        <v>1.0016682684461531</v>
      </c>
    </row>
    <row r="741" spans="1:4" x14ac:dyDescent="0.2">
      <c r="A741" s="137">
        <v>43696</v>
      </c>
      <c r="B741" s="136">
        <v>11053.9</v>
      </c>
      <c r="C741" s="138">
        <f t="shared" si="22"/>
        <v>5.5214612864107337E-4</v>
      </c>
      <c r="D741" s="138">
        <f t="shared" si="23"/>
        <v>1.0005521461286411</v>
      </c>
    </row>
    <row r="742" spans="1:4" x14ac:dyDescent="0.2">
      <c r="A742" s="137">
        <v>43697</v>
      </c>
      <c r="B742" s="136">
        <v>11017</v>
      </c>
      <c r="C742" s="138">
        <f t="shared" si="22"/>
        <v>-3.338188331719949E-3</v>
      </c>
      <c r="D742" s="138">
        <f t="shared" si="23"/>
        <v>0.99666181166828005</v>
      </c>
    </row>
    <row r="743" spans="1:4" x14ac:dyDescent="0.2">
      <c r="A743" s="137">
        <v>43698</v>
      </c>
      <c r="B743" s="136">
        <v>10918.7</v>
      </c>
      <c r="C743" s="138">
        <f t="shared" si="22"/>
        <v>-8.9225742035036193E-3</v>
      </c>
      <c r="D743" s="138">
        <f t="shared" si="23"/>
        <v>0.99107742579649638</v>
      </c>
    </row>
    <row r="744" spans="1:4" x14ac:dyDescent="0.2">
      <c r="A744" s="137">
        <v>43699</v>
      </c>
      <c r="B744" s="136">
        <v>10741.35</v>
      </c>
      <c r="C744" s="138">
        <f t="shared" si="22"/>
        <v>-1.6242776154670513E-2</v>
      </c>
      <c r="D744" s="138">
        <f t="shared" si="23"/>
        <v>0.98375722384532949</v>
      </c>
    </row>
    <row r="745" spans="1:4" x14ac:dyDescent="0.2">
      <c r="A745" s="137">
        <v>43700</v>
      </c>
      <c r="B745" s="136">
        <v>10829.35</v>
      </c>
      <c r="C745" s="138">
        <f t="shared" si="22"/>
        <v>8.1926387279065427E-3</v>
      </c>
      <c r="D745" s="138">
        <f t="shared" si="23"/>
        <v>1.0081926387279065</v>
      </c>
    </row>
    <row r="746" spans="1:4" x14ac:dyDescent="0.2">
      <c r="A746" s="137">
        <v>43703</v>
      </c>
      <c r="B746" s="136">
        <v>11057.85</v>
      </c>
      <c r="C746" s="138">
        <f t="shared" si="22"/>
        <v>2.1100066024276609E-2</v>
      </c>
      <c r="D746" s="138">
        <f t="shared" si="23"/>
        <v>1.0211000660242766</v>
      </c>
    </row>
    <row r="747" spans="1:4" x14ac:dyDescent="0.2">
      <c r="A747" s="137">
        <v>43704</v>
      </c>
      <c r="B747" s="136">
        <v>11105.35</v>
      </c>
      <c r="C747" s="138">
        <f t="shared" si="22"/>
        <v>4.2955909150512728E-3</v>
      </c>
      <c r="D747" s="138">
        <f t="shared" si="23"/>
        <v>1.0042955909150513</v>
      </c>
    </row>
    <row r="748" spans="1:4" x14ac:dyDescent="0.2">
      <c r="A748" s="137">
        <v>43705</v>
      </c>
      <c r="B748" s="136">
        <v>11046.1</v>
      </c>
      <c r="C748" s="138">
        <f t="shared" si="22"/>
        <v>-5.3352663355950014E-3</v>
      </c>
      <c r="D748" s="138">
        <f t="shared" si="23"/>
        <v>0.994664733664405</v>
      </c>
    </row>
    <row r="749" spans="1:4" x14ac:dyDescent="0.2">
      <c r="A749" s="137">
        <v>43706</v>
      </c>
      <c r="B749" s="136">
        <v>10948.3</v>
      </c>
      <c r="C749" s="138">
        <f t="shared" si="22"/>
        <v>-8.8538036048922963E-3</v>
      </c>
      <c r="D749" s="138">
        <f t="shared" si="23"/>
        <v>0.9911461963951077</v>
      </c>
    </row>
    <row r="750" spans="1:4" x14ac:dyDescent="0.2">
      <c r="A750" s="137">
        <v>43707</v>
      </c>
      <c r="B750" s="136">
        <v>11023.25</v>
      </c>
      <c r="C750" s="138">
        <f t="shared" si="22"/>
        <v>6.845811678525493E-3</v>
      </c>
      <c r="D750" s="138">
        <f t="shared" si="23"/>
        <v>1.0068458116785255</v>
      </c>
    </row>
    <row r="751" spans="1:4" x14ac:dyDescent="0.2">
      <c r="A751" s="137">
        <v>43711</v>
      </c>
      <c r="B751" s="136">
        <v>10797.9</v>
      </c>
      <c r="C751" s="138">
        <f t="shared" si="22"/>
        <v>-2.0443154242170025E-2</v>
      </c>
      <c r="D751" s="138">
        <f t="shared" si="23"/>
        <v>0.97955684575782997</v>
      </c>
    </row>
    <row r="752" spans="1:4" x14ac:dyDescent="0.2">
      <c r="A752" s="137">
        <v>43712</v>
      </c>
      <c r="B752" s="136">
        <v>10844.65</v>
      </c>
      <c r="C752" s="138">
        <f t="shared" si="22"/>
        <v>4.3295455597847088E-3</v>
      </c>
      <c r="D752" s="138">
        <f t="shared" si="23"/>
        <v>1.0043295455597847</v>
      </c>
    </row>
    <row r="753" spans="1:4" x14ac:dyDescent="0.2">
      <c r="A753" s="137">
        <v>43713</v>
      </c>
      <c r="B753" s="136">
        <v>10847.9</v>
      </c>
      <c r="C753" s="138">
        <f t="shared" si="22"/>
        <v>2.9968694240944949E-4</v>
      </c>
      <c r="D753" s="138">
        <f t="shared" si="23"/>
        <v>1.0002996869424094</v>
      </c>
    </row>
    <row r="754" spans="1:4" x14ac:dyDescent="0.2">
      <c r="A754" s="137">
        <v>43714</v>
      </c>
      <c r="B754" s="136">
        <v>10946.2</v>
      </c>
      <c r="C754" s="138">
        <f t="shared" si="22"/>
        <v>9.0616617041088254E-3</v>
      </c>
      <c r="D754" s="138">
        <f t="shared" si="23"/>
        <v>1.0090616617041088</v>
      </c>
    </row>
    <row r="755" spans="1:4" x14ac:dyDescent="0.2">
      <c r="A755" s="137">
        <v>43717</v>
      </c>
      <c r="B755" s="136">
        <v>11003.05</v>
      </c>
      <c r="C755" s="138">
        <f t="shared" si="22"/>
        <v>5.1935831612794914E-3</v>
      </c>
      <c r="D755" s="138">
        <f t="shared" si="23"/>
        <v>1.0051935831612795</v>
      </c>
    </row>
    <row r="756" spans="1:4" x14ac:dyDescent="0.2">
      <c r="A756" s="137">
        <v>43719</v>
      </c>
      <c r="B756" s="136">
        <v>11035.7</v>
      </c>
      <c r="C756" s="138">
        <f t="shared" si="22"/>
        <v>2.9673590504453173E-3</v>
      </c>
      <c r="D756" s="138">
        <f t="shared" si="23"/>
        <v>1.0029673590504453</v>
      </c>
    </row>
    <row r="757" spans="1:4" x14ac:dyDescent="0.2">
      <c r="A757" s="137">
        <v>43720</v>
      </c>
      <c r="B757" s="136">
        <v>10982.8</v>
      </c>
      <c r="C757" s="138">
        <f t="shared" si="22"/>
        <v>-4.7935337133123701E-3</v>
      </c>
      <c r="D757" s="138">
        <f t="shared" si="23"/>
        <v>0.99520646628668763</v>
      </c>
    </row>
    <row r="758" spans="1:4" x14ac:dyDescent="0.2">
      <c r="A758" s="137">
        <v>43721</v>
      </c>
      <c r="B758" s="136">
        <v>11075.9</v>
      </c>
      <c r="C758" s="138">
        <f t="shared" si="22"/>
        <v>8.4768911388717338E-3</v>
      </c>
      <c r="D758" s="138">
        <f t="shared" si="23"/>
        <v>1.0084768911388717</v>
      </c>
    </row>
    <row r="759" spans="1:4" x14ac:dyDescent="0.2">
      <c r="A759" s="137">
        <v>43724</v>
      </c>
      <c r="B759" s="136">
        <v>11003.5</v>
      </c>
      <c r="C759" s="138">
        <f t="shared" si="22"/>
        <v>-6.5367148493575833E-3</v>
      </c>
      <c r="D759" s="138">
        <f t="shared" si="23"/>
        <v>0.99346328515064242</v>
      </c>
    </row>
    <row r="760" spans="1:4" x14ac:dyDescent="0.2">
      <c r="A760" s="137">
        <v>43725</v>
      </c>
      <c r="B760" s="136">
        <v>10817.6</v>
      </c>
      <c r="C760" s="138">
        <f t="shared" si="22"/>
        <v>-1.6894624437678862E-2</v>
      </c>
      <c r="D760" s="138">
        <f t="shared" si="23"/>
        <v>0.98310537556232114</v>
      </c>
    </row>
    <row r="761" spans="1:4" x14ac:dyDescent="0.2">
      <c r="A761" s="137">
        <v>43726</v>
      </c>
      <c r="B761" s="136">
        <v>10840.65</v>
      </c>
      <c r="C761" s="138">
        <f t="shared" si="22"/>
        <v>2.1307868658482221E-3</v>
      </c>
      <c r="D761" s="138">
        <f t="shared" si="23"/>
        <v>1.0021307868658482</v>
      </c>
    </row>
    <row r="762" spans="1:4" x14ac:dyDescent="0.2">
      <c r="A762" s="137">
        <v>43727</v>
      </c>
      <c r="B762" s="136">
        <v>10704.8</v>
      </c>
      <c r="C762" s="138">
        <f t="shared" si="22"/>
        <v>-1.2531536393112996E-2</v>
      </c>
      <c r="D762" s="138">
        <f t="shared" si="23"/>
        <v>0.987468463606887</v>
      </c>
    </row>
    <row r="763" spans="1:4" x14ac:dyDescent="0.2">
      <c r="A763" s="137">
        <v>43728</v>
      </c>
      <c r="B763" s="136">
        <v>11274.2</v>
      </c>
      <c r="C763" s="138">
        <f t="shared" si="22"/>
        <v>5.3191091846648275E-2</v>
      </c>
      <c r="D763" s="138">
        <f t="shared" si="23"/>
        <v>1.0531910918466483</v>
      </c>
    </row>
    <row r="764" spans="1:4" x14ac:dyDescent="0.2">
      <c r="A764" s="137">
        <v>43731</v>
      </c>
      <c r="B764" s="136">
        <v>11600.2</v>
      </c>
      <c r="C764" s="138">
        <f t="shared" si="22"/>
        <v>2.8915577158467931E-2</v>
      </c>
      <c r="D764" s="138">
        <f t="shared" si="23"/>
        <v>1.0289155771584679</v>
      </c>
    </row>
    <row r="765" spans="1:4" x14ac:dyDescent="0.2">
      <c r="A765" s="137">
        <v>43732</v>
      </c>
      <c r="B765" s="136">
        <v>11588.2</v>
      </c>
      <c r="C765" s="138">
        <f t="shared" si="22"/>
        <v>-1.0344649230186187E-3</v>
      </c>
      <c r="D765" s="138">
        <f t="shared" si="23"/>
        <v>0.99896553507698138</v>
      </c>
    </row>
    <row r="766" spans="1:4" x14ac:dyDescent="0.2">
      <c r="A766" s="137">
        <v>43733</v>
      </c>
      <c r="B766" s="136">
        <v>11440.2</v>
      </c>
      <c r="C766" s="138">
        <f t="shared" si="22"/>
        <v>-1.2771612502373131E-2</v>
      </c>
      <c r="D766" s="138">
        <f t="shared" si="23"/>
        <v>0.98722838749762687</v>
      </c>
    </row>
    <row r="767" spans="1:4" x14ac:dyDescent="0.2">
      <c r="A767" s="137">
        <v>43734</v>
      </c>
      <c r="B767" s="136">
        <v>11571.2</v>
      </c>
      <c r="C767" s="138">
        <f t="shared" si="22"/>
        <v>1.1450848761385357E-2</v>
      </c>
      <c r="D767" s="138">
        <f t="shared" si="23"/>
        <v>1.0114508487613854</v>
      </c>
    </row>
    <row r="768" spans="1:4" x14ac:dyDescent="0.2">
      <c r="A768" s="137">
        <v>43735</v>
      </c>
      <c r="B768" s="136">
        <v>11512.4</v>
      </c>
      <c r="C768" s="138">
        <f t="shared" si="22"/>
        <v>-5.0815818584071248E-3</v>
      </c>
      <c r="D768" s="138">
        <f t="shared" si="23"/>
        <v>0.99491841814159288</v>
      </c>
    </row>
    <row r="769" spans="1:4" x14ac:dyDescent="0.2">
      <c r="A769" s="137">
        <v>43738</v>
      </c>
      <c r="B769" s="136">
        <v>11474.45</v>
      </c>
      <c r="C769" s="138">
        <f t="shared" si="22"/>
        <v>-3.2964455717312546E-3</v>
      </c>
      <c r="D769" s="138">
        <f t="shared" si="23"/>
        <v>0.99670355442826875</v>
      </c>
    </row>
    <row r="770" spans="1:4" x14ac:dyDescent="0.2">
      <c r="A770" s="137">
        <v>43739</v>
      </c>
      <c r="B770" s="136">
        <v>11359.9</v>
      </c>
      <c r="C770" s="138">
        <f t="shared" si="22"/>
        <v>-9.9830492964805284E-3</v>
      </c>
      <c r="D770" s="138">
        <f t="shared" si="23"/>
        <v>0.99001695070351947</v>
      </c>
    </row>
    <row r="771" spans="1:4" x14ac:dyDescent="0.2">
      <c r="A771" s="137">
        <v>43741</v>
      </c>
      <c r="B771" s="136">
        <v>11314</v>
      </c>
      <c r="C771" s="138">
        <f t="shared" ref="C771:C834" si="24">B771/B770-1</f>
        <v>-4.0405285257792967E-3</v>
      </c>
      <c r="D771" s="138">
        <f t="shared" ref="D771:D834" si="25">1+C771</f>
        <v>0.9959594714742207</v>
      </c>
    </row>
    <row r="772" spans="1:4" x14ac:dyDescent="0.2">
      <c r="A772" s="137">
        <v>43742</v>
      </c>
      <c r="B772" s="136">
        <v>11174.75</v>
      </c>
      <c r="C772" s="138">
        <f t="shared" si="24"/>
        <v>-1.2307760296977222E-2</v>
      </c>
      <c r="D772" s="138">
        <f t="shared" si="25"/>
        <v>0.98769223970302278</v>
      </c>
    </row>
    <row r="773" spans="1:4" x14ac:dyDescent="0.2">
      <c r="A773" s="137">
        <v>43745</v>
      </c>
      <c r="B773" s="136">
        <v>11126.4</v>
      </c>
      <c r="C773" s="138">
        <f t="shared" si="24"/>
        <v>-4.3267187185396239E-3</v>
      </c>
      <c r="D773" s="138">
        <f t="shared" si="25"/>
        <v>0.99567328128146038</v>
      </c>
    </row>
    <row r="774" spans="1:4" x14ac:dyDescent="0.2">
      <c r="A774" s="137">
        <v>43747</v>
      </c>
      <c r="B774" s="136">
        <v>11313.3</v>
      </c>
      <c r="C774" s="138">
        <f t="shared" si="24"/>
        <v>1.6797886108714355E-2</v>
      </c>
      <c r="D774" s="138">
        <f t="shared" si="25"/>
        <v>1.0167978861087144</v>
      </c>
    </row>
    <row r="775" spans="1:4" x14ac:dyDescent="0.2">
      <c r="A775" s="137">
        <v>43748</v>
      </c>
      <c r="B775" s="136">
        <v>11234.55</v>
      </c>
      <c r="C775" s="138">
        <f t="shared" si="24"/>
        <v>-6.9608337089973604E-3</v>
      </c>
      <c r="D775" s="138">
        <f t="shared" si="25"/>
        <v>0.99303916629100264</v>
      </c>
    </row>
    <row r="776" spans="1:4" x14ac:dyDescent="0.2">
      <c r="A776" s="137">
        <v>43749</v>
      </c>
      <c r="B776" s="136">
        <v>11305.05</v>
      </c>
      <c r="C776" s="138">
        <f t="shared" si="24"/>
        <v>6.2752847243547905E-3</v>
      </c>
      <c r="D776" s="138">
        <f t="shared" si="25"/>
        <v>1.0062752847243548</v>
      </c>
    </row>
    <row r="777" spans="1:4" x14ac:dyDescent="0.2">
      <c r="A777" s="137">
        <v>43752</v>
      </c>
      <c r="B777" s="136">
        <v>11341.15</v>
      </c>
      <c r="C777" s="138">
        <f t="shared" si="24"/>
        <v>3.1932631876905315E-3</v>
      </c>
      <c r="D777" s="138">
        <f t="shared" si="25"/>
        <v>1.0031932631876905</v>
      </c>
    </row>
    <row r="778" spans="1:4" x14ac:dyDescent="0.2">
      <c r="A778" s="137">
        <v>43753</v>
      </c>
      <c r="B778" s="136">
        <v>11428.3</v>
      </c>
      <c r="C778" s="138">
        <f t="shared" si="24"/>
        <v>7.6844059023997158E-3</v>
      </c>
      <c r="D778" s="138">
        <f t="shared" si="25"/>
        <v>1.0076844059023997</v>
      </c>
    </row>
    <row r="779" spans="1:4" x14ac:dyDescent="0.2">
      <c r="A779" s="137">
        <v>43754</v>
      </c>
      <c r="B779" s="136">
        <v>11464</v>
      </c>
      <c r="C779" s="138">
        <f t="shared" si="24"/>
        <v>3.1238241908246867E-3</v>
      </c>
      <c r="D779" s="138">
        <f t="shared" si="25"/>
        <v>1.0031238241908247</v>
      </c>
    </row>
    <row r="780" spans="1:4" x14ac:dyDescent="0.2">
      <c r="A780" s="137">
        <v>43755</v>
      </c>
      <c r="B780" s="136">
        <v>11586.35</v>
      </c>
      <c r="C780" s="138">
        <f t="shared" si="24"/>
        <v>1.0672540125610697E-2</v>
      </c>
      <c r="D780" s="138">
        <f t="shared" si="25"/>
        <v>1.0106725401256107</v>
      </c>
    </row>
    <row r="781" spans="1:4" x14ac:dyDescent="0.2">
      <c r="A781" s="137">
        <v>43756</v>
      </c>
      <c r="B781" s="136">
        <v>11661.85</v>
      </c>
      <c r="C781" s="138">
        <f t="shared" si="24"/>
        <v>6.5162885636977919E-3</v>
      </c>
      <c r="D781" s="138">
        <f t="shared" si="25"/>
        <v>1.0065162885636978</v>
      </c>
    </row>
    <row r="782" spans="1:4" x14ac:dyDescent="0.2">
      <c r="A782" s="137">
        <v>43760</v>
      </c>
      <c r="B782" s="136">
        <v>11588.35</v>
      </c>
      <c r="C782" s="138">
        <f t="shared" si="24"/>
        <v>-6.302602074284902E-3</v>
      </c>
      <c r="D782" s="138">
        <f t="shared" si="25"/>
        <v>0.9936973979257151</v>
      </c>
    </row>
    <row r="783" spans="1:4" x14ac:dyDescent="0.2">
      <c r="A783" s="137">
        <v>43761</v>
      </c>
      <c r="B783" s="136">
        <v>11604.1</v>
      </c>
      <c r="C783" s="138">
        <f t="shared" si="24"/>
        <v>1.3591236025836118E-3</v>
      </c>
      <c r="D783" s="138">
        <f t="shared" si="25"/>
        <v>1.0013591236025836</v>
      </c>
    </row>
    <row r="784" spans="1:4" x14ac:dyDescent="0.2">
      <c r="A784" s="137">
        <v>43762</v>
      </c>
      <c r="B784" s="136">
        <v>11582.6</v>
      </c>
      <c r="C784" s="138">
        <f t="shared" si="24"/>
        <v>-1.8527934092260612E-3</v>
      </c>
      <c r="D784" s="138">
        <f t="shared" si="25"/>
        <v>0.99814720659077394</v>
      </c>
    </row>
    <row r="785" spans="1:4" x14ac:dyDescent="0.2">
      <c r="A785" s="137">
        <v>43763</v>
      </c>
      <c r="B785" s="136">
        <v>11583.9</v>
      </c>
      <c r="C785" s="138">
        <f t="shared" si="24"/>
        <v>1.122373214994532E-4</v>
      </c>
      <c r="D785" s="138">
        <f t="shared" si="25"/>
        <v>1.0001122373214995</v>
      </c>
    </row>
    <row r="786" spans="1:4" x14ac:dyDescent="0.2">
      <c r="A786" s="137">
        <v>43765</v>
      </c>
      <c r="B786" s="136">
        <v>11627.15</v>
      </c>
      <c r="C786" s="138">
        <f t="shared" si="24"/>
        <v>3.7336302972228452E-3</v>
      </c>
      <c r="D786" s="138">
        <f t="shared" si="25"/>
        <v>1.0037336302972228</v>
      </c>
    </row>
    <row r="787" spans="1:4" x14ac:dyDescent="0.2">
      <c r="A787" s="137">
        <v>43767</v>
      </c>
      <c r="B787" s="136">
        <v>11786.85</v>
      </c>
      <c r="C787" s="138">
        <f t="shared" si="24"/>
        <v>1.3735094154629479E-2</v>
      </c>
      <c r="D787" s="138">
        <f t="shared" si="25"/>
        <v>1.0137350941546295</v>
      </c>
    </row>
    <row r="788" spans="1:4" x14ac:dyDescent="0.2">
      <c r="A788" s="137">
        <v>43768</v>
      </c>
      <c r="B788" s="136">
        <v>11844.1</v>
      </c>
      <c r="C788" s="138">
        <f t="shared" si="24"/>
        <v>4.8571077090147075E-3</v>
      </c>
      <c r="D788" s="138">
        <f t="shared" si="25"/>
        <v>1.0048571077090147</v>
      </c>
    </row>
    <row r="789" spans="1:4" x14ac:dyDescent="0.2">
      <c r="A789" s="137">
        <v>43769</v>
      </c>
      <c r="B789" s="136">
        <v>11877.45</v>
      </c>
      <c r="C789" s="138">
        <f t="shared" si="24"/>
        <v>2.8157479251273987E-3</v>
      </c>
      <c r="D789" s="138">
        <f t="shared" si="25"/>
        <v>1.0028157479251274</v>
      </c>
    </row>
    <row r="790" spans="1:4" x14ac:dyDescent="0.2">
      <c r="A790" s="137">
        <v>43770</v>
      </c>
      <c r="B790" s="136">
        <v>11890.6</v>
      </c>
      <c r="C790" s="138">
        <f t="shared" si="24"/>
        <v>1.1071400005893128E-3</v>
      </c>
      <c r="D790" s="138">
        <f t="shared" si="25"/>
        <v>1.0011071400005893</v>
      </c>
    </row>
    <row r="791" spans="1:4" x14ac:dyDescent="0.2">
      <c r="A791" s="137">
        <v>43773</v>
      </c>
      <c r="B791" s="136">
        <v>11941.3</v>
      </c>
      <c r="C791" s="138">
        <f t="shared" si="24"/>
        <v>4.2638723024910341E-3</v>
      </c>
      <c r="D791" s="138">
        <f t="shared" si="25"/>
        <v>1.004263872302491</v>
      </c>
    </row>
    <row r="792" spans="1:4" x14ac:dyDescent="0.2">
      <c r="A792" s="137">
        <v>43774</v>
      </c>
      <c r="B792" s="136">
        <v>11917.2</v>
      </c>
      <c r="C792" s="138">
        <f t="shared" si="24"/>
        <v>-2.0182057229948258E-3</v>
      </c>
      <c r="D792" s="138">
        <f t="shared" si="25"/>
        <v>0.99798179427700517</v>
      </c>
    </row>
    <row r="793" spans="1:4" x14ac:dyDescent="0.2">
      <c r="A793" s="137">
        <v>43775</v>
      </c>
      <c r="B793" s="136">
        <v>11966.05</v>
      </c>
      <c r="C793" s="138">
        <f t="shared" si="24"/>
        <v>4.0991172423050504E-3</v>
      </c>
      <c r="D793" s="138">
        <f t="shared" si="25"/>
        <v>1.0040991172423051</v>
      </c>
    </row>
    <row r="794" spans="1:4" x14ac:dyDescent="0.2">
      <c r="A794" s="137">
        <v>43776</v>
      </c>
      <c r="B794" s="136">
        <v>12012.05</v>
      </c>
      <c r="C794" s="138">
        <f t="shared" si="24"/>
        <v>3.8442092419803675E-3</v>
      </c>
      <c r="D794" s="138">
        <f t="shared" si="25"/>
        <v>1.0038442092419804</v>
      </c>
    </row>
    <row r="795" spans="1:4" x14ac:dyDescent="0.2">
      <c r="A795" s="137">
        <v>43777</v>
      </c>
      <c r="B795" s="136">
        <v>11908.15</v>
      </c>
      <c r="C795" s="138">
        <f t="shared" si="24"/>
        <v>-8.6496476454892557E-3</v>
      </c>
      <c r="D795" s="138">
        <f t="shared" si="25"/>
        <v>0.99135035235451074</v>
      </c>
    </row>
    <row r="796" spans="1:4" x14ac:dyDescent="0.2">
      <c r="A796" s="137">
        <v>43780</v>
      </c>
      <c r="B796" s="136">
        <v>11913.45</v>
      </c>
      <c r="C796" s="138">
        <f t="shared" si="24"/>
        <v>4.4507333212973066E-4</v>
      </c>
      <c r="D796" s="138">
        <f t="shared" si="25"/>
        <v>1.0004450733321297</v>
      </c>
    </row>
    <row r="797" spans="1:4" x14ac:dyDescent="0.2">
      <c r="A797" s="137">
        <v>43782</v>
      </c>
      <c r="B797" s="136">
        <v>11840.45</v>
      </c>
      <c r="C797" s="138">
        <f t="shared" si="24"/>
        <v>-6.1275281299707496E-3</v>
      </c>
      <c r="D797" s="138">
        <f t="shared" si="25"/>
        <v>0.99387247187002925</v>
      </c>
    </row>
    <row r="798" spans="1:4" x14ac:dyDescent="0.2">
      <c r="A798" s="137">
        <v>43783</v>
      </c>
      <c r="B798" s="136">
        <v>11872.1</v>
      </c>
      <c r="C798" s="138">
        <f t="shared" si="24"/>
        <v>2.6730402982995116E-3</v>
      </c>
      <c r="D798" s="138">
        <f t="shared" si="25"/>
        <v>1.0026730402982995</v>
      </c>
    </row>
    <row r="799" spans="1:4" x14ac:dyDescent="0.2">
      <c r="A799" s="137">
        <v>43784</v>
      </c>
      <c r="B799" s="136">
        <v>11895.45</v>
      </c>
      <c r="C799" s="138">
        <f t="shared" si="24"/>
        <v>1.9667961017848512E-3</v>
      </c>
      <c r="D799" s="138">
        <f t="shared" si="25"/>
        <v>1.0019667961017849</v>
      </c>
    </row>
    <row r="800" spans="1:4" x14ac:dyDescent="0.2">
      <c r="A800" s="137">
        <v>43787</v>
      </c>
      <c r="B800" s="136">
        <v>11884.5</v>
      </c>
      <c r="C800" s="138">
        <f t="shared" si="24"/>
        <v>-9.2052003076814604E-4</v>
      </c>
      <c r="D800" s="138">
        <f t="shared" si="25"/>
        <v>0.99907947996923185</v>
      </c>
    </row>
    <row r="801" spans="1:4" x14ac:dyDescent="0.2">
      <c r="A801" s="137">
        <v>43788</v>
      </c>
      <c r="B801" s="136">
        <v>11940.1</v>
      </c>
      <c r="C801" s="138">
        <f t="shared" si="24"/>
        <v>4.6783625730995038E-3</v>
      </c>
      <c r="D801" s="138">
        <f t="shared" si="25"/>
        <v>1.0046783625730995</v>
      </c>
    </row>
    <row r="802" spans="1:4" x14ac:dyDescent="0.2">
      <c r="A802" s="137">
        <v>43789</v>
      </c>
      <c r="B802" s="136">
        <v>11999.1</v>
      </c>
      <c r="C802" s="138">
        <f t="shared" si="24"/>
        <v>4.941332149646982E-3</v>
      </c>
      <c r="D802" s="138">
        <f t="shared" si="25"/>
        <v>1.004941332149647</v>
      </c>
    </row>
    <row r="803" spans="1:4" x14ac:dyDescent="0.2">
      <c r="A803" s="137">
        <v>43790</v>
      </c>
      <c r="B803" s="136">
        <v>11968.4</v>
      </c>
      <c r="C803" s="138">
        <f t="shared" si="24"/>
        <v>-2.5585252227251498E-3</v>
      </c>
      <c r="D803" s="138">
        <f t="shared" si="25"/>
        <v>0.99744147477727485</v>
      </c>
    </row>
    <row r="804" spans="1:4" x14ac:dyDescent="0.2">
      <c r="A804" s="137">
        <v>43791</v>
      </c>
      <c r="B804" s="136">
        <v>11914.4</v>
      </c>
      <c r="C804" s="138">
        <f t="shared" si="24"/>
        <v>-4.5118812873901071E-3</v>
      </c>
      <c r="D804" s="138">
        <f t="shared" si="25"/>
        <v>0.99548811871260989</v>
      </c>
    </row>
    <row r="805" spans="1:4" x14ac:dyDescent="0.2">
      <c r="A805" s="137">
        <v>43794</v>
      </c>
      <c r="B805" s="136">
        <v>12073.75</v>
      </c>
      <c r="C805" s="138">
        <f t="shared" si="24"/>
        <v>1.3374571946552116E-2</v>
      </c>
      <c r="D805" s="138">
        <f t="shared" si="25"/>
        <v>1.0133745719465521</v>
      </c>
    </row>
    <row r="806" spans="1:4" x14ac:dyDescent="0.2">
      <c r="A806" s="137">
        <v>43795</v>
      </c>
      <c r="B806" s="136">
        <v>12037.7</v>
      </c>
      <c r="C806" s="138">
        <f t="shared" si="24"/>
        <v>-2.9858163370948265E-3</v>
      </c>
      <c r="D806" s="138">
        <f t="shared" si="25"/>
        <v>0.99701418366290517</v>
      </c>
    </row>
    <row r="807" spans="1:4" x14ac:dyDescent="0.2">
      <c r="A807" s="137">
        <v>43796</v>
      </c>
      <c r="B807" s="136">
        <v>12100.7</v>
      </c>
      <c r="C807" s="138">
        <f t="shared" si="24"/>
        <v>5.2335579055799997E-3</v>
      </c>
      <c r="D807" s="138">
        <f t="shared" si="25"/>
        <v>1.00523355790558</v>
      </c>
    </row>
    <row r="808" spans="1:4" x14ac:dyDescent="0.2">
      <c r="A808" s="137">
        <v>43797</v>
      </c>
      <c r="B808" s="136">
        <v>12151.15</v>
      </c>
      <c r="C808" s="138">
        <f t="shared" si="24"/>
        <v>4.1691802953547352E-3</v>
      </c>
      <c r="D808" s="138">
        <f t="shared" si="25"/>
        <v>1.0041691802953547</v>
      </c>
    </row>
    <row r="809" spans="1:4" x14ac:dyDescent="0.2">
      <c r="A809" s="137">
        <v>43798</v>
      </c>
      <c r="B809" s="136">
        <v>12056.05</v>
      </c>
      <c r="C809" s="138">
        <f t="shared" si="24"/>
        <v>-7.8264197215901499E-3</v>
      </c>
      <c r="D809" s="138">
        <f t="shared" si="25"/>
        <v>0.99217358027840985</v>
      </c>
    </row>
    <row r="810" spans="1:4" x14ac:dyDescent="0.2">
      <c r="A810" s="137">
        <v>43801</v>
      </c>
      <c r="B810" s="136">
        <v>12048.2</v>
      </c>
      <c r="C810" s="138">
        <f t="shared" si="24"/>
        <v>-6.5112536859079917E-4</v>
      </c>
      <c r="D810" s="138">
        <f t="shared" si="25"/>
        <v>0.9993488746314092</v>
      </c>
    </row>
    <row r="811" spans="1:4" x14ac:dyDescent="0.2">
      <c r="A811" s="137">
        <v>43802</v>
      </c>
      <c r="B811" s="136">
        <v>11994.2</v>
      </c>
      <c r="C811" s="138">
        <f t="shared" si="24"/>
        <v>-4.4819973108015665E-3</v>
      </c>
      <c r="D811" s="138">
        <f t="shared" si="25"/>
        <v>0.99551800268919843</v>
      </c>
    </row>
    <row r="812" spans="1:4" x14ac:dyDescent="0.2">
      <c r="A812" s="137">
        <v>43803</v>
      </c>
      <c r="B812" s="136">
        <v>12043.2</v>
      </c>
      <c r="C812" s="138">
        <f t="shared" si="24"/>
        <v>4.0853078988176694E-3</v>
      </c>
      <c r="D812" s="138">
        <f t="shared" si="25"/>
        <v>1.0040853078988177</v>
      </c>
    </row>
    <row r="813" spans="1:4" x14ac:dyDescent="0.2">
      <c r="A813" s="137">
        <v>43804</v>
      </c>
      <c r="B813" s="136">
        <v>12018.4</v>
      </c>
      <c r="C813" s="138">
        <f t="shared" si="24"/>
        <v>-2.0592533545902292E-3</v>
      </c>
      <c r="D813" s="138">
        <f t="shared" si="25"/>
        <v>0.99794074664540977</v>
      </c>
    </row>
    <row r="814" spans="1:4" x14ac:dyDescent="0.2">
      <c r="A814" s="137">
        <v>43805</v>
      </c>
      <c r="B814" s="136">
        <v>11921.5</v>
      </c>
      <c r="C814" s="138">
        <f t="shared" si="24"/>
        <v>-8.062637289489416E-3</v>
      </c>
      <c r="D814" s="138">
        <f t="shared" si="25"/>
        <v>0.99193736271051058</v>
      </c>
    </row>
    <row r="815" spans="1:4" x14ac:dyDescent="0.2">
      <c r="A815" s="137">
        <v>43808</v>
      </c>
      <c r="B815" s="136">
        <v>11937.5</v>
      </c>
      <c r="C815" s="138">
        <f t="shared" si="24"/>
        <v>1.342112989137334E-3</v>
      </c>
      <c r="D815" s="138">
        <f t="shared" si="25"/>
        <v>1.0013421129891373</v>
      </c>
    </row>
    <row r="816" spans="1:4" x14ac:dyDescent="0.2">
      <c r="A816" s="137">
        <v>43809</v>
      </c>
      <c r="B816" s="136">
        <v>11856.8</v>
      </c>
      <c r="C816" s="138">
        <f t="shared" si="24"/>
        <v>-6.7602094240838406E-3</v>
      </c>
      <c r="D816" s="138">
        <f t="shared" si="25"/>
        <v>0.99323979057591616</v>
      </c>
    </row>
    <row r="817" spans="1:4" x14ac:dyDescent="0.2">
      <c r="A817" s="137">
        <v>43810</v>
      </c>
      <c r="B817" s="136">
        <v>11910.15</v>
      </c>
      <c r="C817" s="138">
        <f t="shared" si="24"/>
        <v>4.4995276971864229E-3</v>
      </c>
      <c r="D817" s="138">
        <f t="shared" si="25"/>
        <v>1.0044995276971864</v>
      </c>
    </row>
    <row r="818" spans="1:4" x14ac:dyDescent="0.2">
      <c r="A818" s="137">
        <v>43811</v>
      </c>
      <c r="B818" s="136">
        <v>11971.8</v>
      </c>
      <c r="C818" s="138">
        <f t="shared" si="24"/>
        <v>5.1762572259794748E-3</v>
      </c>
      <c r="D818" s="138">
        <f t="shared" si="25"/>
        <v>1.0051762572259795</v>
      </c>
    </row>
    <row r="819" spans="1:4" x14ac:dyDescent="0.2">
      <c r="A819" s="137">
        <v>43812</v>
      </c>
      <c r="B819" s="136">
        <v>12086.7</v>
      </c>
      <c r="C819" s="138">
        <f t="shared" si="24"/>
        <v>9.5975542524935342E-3</v>
      </c>
      <c r="D819" s="138">
        <f t="shared" si="25"/>
        <v>1.0095975542524935</v>
      </c>
    </row>
    <row r="820" spans="1:4" x14ac:dyDescent="0.2">
      <c r="A820" s="137">
        <v>43815</v>
      </c>
      <c r="B820" s="136">
        <v>12053.95</v>
      </c>
      <c r="C820" s="138">
        <f t="shared" si="24"/>
        <v>-2.7095898797852014E-3</v>
      </c>
      <c r="D820" s="138">
        <f t="shared" si="25"/>
        <v>0.9972904101202148</v>
      </c>
    </row>
    <row r="821" spans="1:4" x14ac:dyDescent="0.2">
      <c r="A821" s="137">
        <v>43816</v>
      </c>
      <c r="B821" s="136">
        <v>12165</v>
      </c>
      <c r="C821" s="138">
        <f t="shared" si="24"/>
        <v>9.2127476885168758E-3</v>
      </c>
      <c r="D821" s="138">
        <f t="shared" si="25"/>
        <v>1.0092127476885169</v>
      </c>
    </row>
    <row r="822" spans="1:4" x14ac:dyDescent="0.2">
      <c r="A822" s="137">
        <v>43817</v>
      </c>
      <c r="B822" s="136">
        <v>12221.65</v>
      </c>
      <c r="C822" s="138">
        <f t="shared" si="24"/>
        <v>4.6568023016850812E-3</v>
      </c>
      <c r="D822" s="138">
        <f t="shared" si="25"/>
        <v>1.0046568023016851</v>
      </c>
    </row>
    <row r="823" spans="1:4" x14ac:dyDescent="0.2">
      <c r="A823" s="137">
        <v>43818</v>
      </c>
      <c r="B823" s="136">
        <v>12259.7</v>
      </c>
      <c r="C823" s="138">
        <f t="shared" si="24"/>
        <v>3.1133275785184544E-3</v>
      </c>
      <c r="D823" s="138">
        <f t="shared" si="25"/>
        <v>1.0031133275785185</v>
      </c>
    </row>
    <row r="824" spans="1:4" x14ac:dyDescent="0.2">
      <c r="A824" s="137">
        <v>43819</v>
      </c>
      <c r="B824" s="136">
        <v>12271.8</v>
      </c>
      <c r="C824" s="138">
        <f t="shared" si="24"/>
        <v>9.8697358010380043E-4</v>
      </c>
      <c r="D824" s="138">
        <f t="shared" si="25"/>
        <v>1.0009869735801038</v>
      </c>
    </row>
    <row r="825" spans="1:4" x14ac:dyDescent="0.2">
      <c r="A825" s="137">
        <v>43822</v>
      </c>
      <c r="B825" s="136">
        <v>12262.75</v>
      </c>
      <c r="C825" s="138">
        <f t="shared" si="24"/>
        <v>-7.3746312684364046E-4</v>
      </c>
      <c r="D825" s="138">
        <f t="shared" si="25"/>
        <v>0.99926253687315636</v>
      </c>
    </row>
    <row r="826" spans="1:4" x14ac:dyDescent="0.2">
      <c r="A826" s="137">
        <v>43823</v>
      </c>
      <c r="B826" s="136">
        <v>12214.55</v>
      </c>
      <c r="C826" s="138">
        <f t="shared" si="24"/>
        <v>-3.930602841940134E-3</v>
      </c>
      <c r="D826" s="138">
        <f t="shared" si="25"/>
        <v>0.99606939715805987</v>
      </c>
    </row>
    <row r="827" spans="1:4" x14ac:dyDescent="0.2">
      <c r="A827" s="137">
        <v>43825</v>
      </c>
      <c r="B827" s="136">
        <v>12126.55</v>
      </c>
      <c r="C827" s="138">
        <f t="shared" si="24"/>
        <v>-7.2045224752447234E-3</v>
      </c>
      <c r="D827" s="138">
        <f t="shared" si="25"/>
        <v>0.99279547752475528</v>
      </c>
    </row>
    <row r="828" spans="1:4" x14ac:dyDescent="0.2">
      <c r="A828" s="137">
        <v>43826</v>
      </c>
      <c r="B828" s="136">
        <v>12245.8</v>
      </c>
      <c r="C828" s="138">
        <f t="shared" si="24"/>
        <v>9.8337944427722146E-3</v>
      </c>
      <c r="D828" s="138">
        <f t="shared" si="25"/>
        <v>1.0098337944427722</v>
      </c>
    </row>
    <row r="829" spans="1:4" x14ac:dyDescent="0.2">
      <c r="A829" s="137">
        <v>43829</v>
      </c>
      <c r="B829" s="136">
        <v>12255.85</v>
      </c>
      <c r="C829" s="138">
        <f t="shared" si="24"/>
        <v>8.206895425371119E-4</v>
      </c>
      <c r="D829" s="138">
        <f t="shared" si="25"/>
        <v>1.0008206895425371</v>
      </c>
    </row>
    <row r="830" spans="1:4" x14ac:dyDescent="0.2">
      <c r="A830" s="137">
        <v>43830</v>
      </c>
      <c r="B830" s="136">
        <v>12168.45</v>
      </c>
      <c r="C830" s="138">
        <f t="shared" si="24"/>
        <v>-7.1312883235352675E-3</v>
      </c>
      <c r="D830" s="138">
        <f t="shared" si="25"/>
        <v>0.99286871167646473</v>
      </c>
    </row>
    <row r="831" spans="1:4" x14ac:dyDescent="0.2">
      <c r="A831" s="137">
        <v>43831</v>
      </c>
      <c r="B831" s="136">
        <v>12182.5</v>
      </c>
      <c r="C831" s="138">
        <f t="shared" si="24"/>
        <v>1.1546252809520041E-3</v>
      </c>
      <c r="D831" s="138">
        <f t="shared" si="25"/>
        <v>1.001154625280952</v>
      </c>
    </row>
    <row r="832" spans="1:4" x14ac:dyDescent="0.2">
      <c r="A832" s="137">
        <v>43832</v>
      </c>
      <c r="B832" s="136">
        <v>12282.2</v>
      </c>
      <c r="C832" s="138">
        <f t="shared" si="24"/>
        <v>8.1838703057666162E-3</v>
      </c>
      <c r="D832" s="138">
        <f t="shared" si="25"/>
        <v>1.0081838703057666</v>
      </c>
    </row>
    <row r="833" spans="1:4" x14ac:dyDescent="0.2">
      <c r="A833" s="137">
        <v>43833</v>
      </c>
      <c r="B833" s="136">
        <v>12226.65</v>
      </c>
      <c r="C833" s="138">
        <f t="shared" si="24"/>
        <v>-4.5228053606032326E-3</v>
      </c>
      <c r="D833" s="138">
        <f t="shared" si="25"/>
        <v>0.99547719463939677</v>
      </c>
    </row>
    <row r="834" spans="1:4" x14ac:dyDescent="0.2">
      <c r="A834" s="137">
        <v>43836</v>
      </c>
      <c r="B834" s="136">
        <v>11993.05</v>
      </c>
      <c r="C834" s="138">
        <f t="shared" si="24"/>
        <v>-1.91058057603678E-2</v>
      </c>
      <c r="D834" s="138">
        <f t="shared" si="25"/>
        <v>0.9808941942396322</v>
      </c>
    </row>
    <row r="835" spans="1:4" x14ac:dyDescent="0.2">
      <c r="A835" s="137">
        <v>43837</v>
      </c>
      <c r="B835" s="136">
        <v>12052.95</v>
      </c>
      <c r="C835" s="138">
        <f t="shared" ref="C835:C898" si="26">B835/B834-1</f>
        <v>4.9945593489564288E-3</v>
      </c>
      <c r="D835" s="138">
        <f t="shared" ref="D835:D898" si="27">1+C835</f>
        <v>1.0049945593489564</v>
      </c>
    </row>
    <row r="836" spans="1:4" x14ac:dyDescent="0.2">
      <c r="A836" s="137">
        <v>43838</v>
      </c>
      <c r="B836" s="136">
        <v>12025.35</v>
      </c>
      <c r="C836" s="138">
        <f t="shared" si="26"/>
        <v>-2.2898958346296849E-3</v>
      </c>
      <c r="D836" s="138">
        <f t="shared" si="27"/>
        <v>0.99771010416537032</v>
      </c>
    </row>
    <row r="837" spans="1:4" x14ac:dyDescent="0.2">
      <c r="A837" s="137">
        <v>43839</v>
      </c>
      <c r="B837" s="136">
        <v>12215.9</v>
      </c>
      <c r="C837" s="138">
        <f t="shared" si="26"/>
        <v>1.5845692640962472E-2</v>
      </c>
      <c r="D837" s="138">
        <f t="shared" si="27"/>
        <v>1.0158456926409625</v>
      </c>
    </row>
    <row r="838" spans="1:4" x14ac:dyDescent="0.2">
      <c r="A838" s="137">
        <v>43840</v>
      </c>
      <c r="B838" s="136">
        <v>12256.8</v>
      </c>
      <c r="C838" s="138">
        <f t="shared" si="26"/>
        <v>3.3480955148617042E-3</v>
      </c>
      <c r="D838" s="138">
        <f t="shared" si="27"/>
        <v>1.0033480955148617</v>
      </c>
    </row>
    <row r="839" spans="1:4" x14ac:dyDescent="0.2">
      <c r="A839" s="137">
        <v>43843</v>
      </c>
      <c r="B839" s="136">
        <v>12329.55</v>
      </c>
      <c r="C839" s="138">
        <f t="shared" si="26"/>
        <v>5.9354807127471876E-3</v>
      </c>
      <c r="D839" s="138">
        <f t="shared" si="27"/>
        <v>1.0059354807127472</v>
      </c>
    </row>
    <row r="840" spans="1:4" x14ac:dyDescent="0.2">
      <c r="A840" s="137">
        <v>43844</v>
      </c>
      <c r="B840" s="136">
        <v>12362.3</v>
      </c>
      <c r="C840" s="138">
        <f t="shared" si="26"/>
        <v>2.6562202189048811E-3</v>
      </c>
      <c r="D840" s="138">
        <f t="shared" si="27"/>
        <v>1.0026562202189049</v>
      </c>
    </row>
    <row r="841" spans="1:4" x14ac:dyDescent="0.2">
      <c r="A841" s="137">
        <v>43845</v>
      </c>
      <c r="B841" s="136">
        <v>12343.3</v>
      </c>
      <c r="C841" s="138">
        <f t="shared" si="26"/>
        <v>-1.5369308300234863E-3</v>
      </c>
      <c r="D841" s="138">
        <f t="shared" si="27"/>
        <v>0.99846306916997651</v>
      </c>
    </row>
    <row r="842" spans="1:4" x14ac:dyDescent="0.2">
      <c r="A842" s="137">
        <v>43846</v>
      </c>
      <c r="B842" s="136">
        <v>12355.5</v>
      </c>
      <c r="C842" s="138">
        <f t="shared" si="26"/>
        <v>9.8839046284227017E-4</v>
      </c>
      <c r="D842" s="138">
        <f t="shared" si="27"/>
        <v>1.0009883904628423</v>
      </c>
    </row>
    <row r="843" spans="1:4" x14ac:dyDescent="0.2">
      <c r="A843" s="137">
        <v>43847</v>
      </c>
      <c r="B843" s="136">
        <v>12352.35</v>
      </c>
      <c r="C843" s="138">
        <f t="shared" si="26"/>
        <v>-2.5494718951069029E-4</v>
      </c>
      <c r="D843" s="138">
        <f t="shared" si="27"/>
        <v>0.99974505281048931</v>
      </c>
    </row>
    <row r="844" spans="1:4" x14ac:dyDescent="0.2">
      <c r="A844" s="137">
        <v>43850</v>
      </c>
      <c r="B844" s="136">
        <v>12224.55</v>
      </c>
      <c r="C844" s="138">
        <f t="shared" si="26"/>
        <v>-1.0346209425736941E-2</v>
      </c>
      <c r="D844" s="138">
        <f t="shared" si="27"/>
        <v>0.98965379057426306</v>
      </c>
    </row>
    <row r="845" spans="1:4" x14ac:dyDescent="0.2">
      <c r="A845" s="137">
        <v>43851</v>
      </c>
      <c r="B845" s="136">
        <v>12169.85</v>
      </c>
      <c r="C845" s="138">
        <f t="shared" si="26"/>
        <v>-4.4746023371002863E-3</v>
      </c>
      <c r="D845" s="138">
        <f t="shared" si="27"/>
        <v>0.99552539766289971</v>
      </c>
    </row>
    <row r="846" spans="1:4" x14ac:dyDescent="0.2">
      <c r="A846" s="137">
        <v>43852</v>
      </c>
      <c r="B846" s="136">
        <v>12106.9</v>
      </c>
      <c r="C846" s="138">
        <f t="shared" si="26"/>
        <v>-5.172619218807184E-3</v>
      </c>
      <c r="D846" s="138">
        <f t="shared" si="27"/>
        <v>0.99482738078119282</v>
      </c>
    </row>
    <row r="847" spans="1:4" x14ac:dyDescent="0.2">
      <c r="A847" s="137">
        <v>43853</v>
      </c>
      <c r="B847" s="136">
        <v>12180.35</v>
      </c>
      <c r="C847" s="138">
        <f t="shared" si="26"/>
        <v>6.0667883603564565E-3</v>
      </c>
      <c r="D847" s="138">
        <f t="shared" si="27"/>
        <v>1.0060667883603565</v>
      </c>
    </row>
    <row r="848" spans="1:4" x14ac:dyDescent="0.2">
      <c r="A848" s="137">
        <v>43854</v>
      </c>
      <c r="B848" s="136">
        <v>12248.25</v>
      </c>
      <c r="C848" s="138">
        <f t="shared" si="26"/>
        <v>5.5745524553891812E-3</v>
      </c>
      <c r="D848" s="138">
        <f t="shared" si="27"/>
        <v>1.0055745524553892</v>
      </c>
    </row>
    <row r="849" spans="1:4" x14ac:dyDescent="0.2">
      <c r="A849" s="137">
        <v>43857</v>
      </c>
      <c r="B849" s="136">
        <v>12119</v>
      </c>
      <c r="C849" s="138">
        <f t="shared" si="26"/>
        <v>-1.0552527912150667E-2</v>
      </c>
      <c r="D849" s="138">
        <f t="shared" si="27"/>
        <v>0.98944747208784933</v>
      </c>
    </row>
    <row r="850" spans="1:4" x14ac:dyDescent="0.2">
      <c r="A850" s="137">
        <v>43858</v>
      </c>
      <c r="B850" s="136">
        <v>12055.8</v>
      </c>
      <c r="C850" s="138">
        <f t="shared" si="26"/>
        <v>-5.2149517286905755E-3</v>
      </c>
      <c r="D850" s="138">
        <f t="shared" si="27"/>
        <v>0.99478504827130942</v>
      </c>
    </row>
    <row r="851" spans="1:4" x14ac:dyDescent="0.2">
      <c r="A851" s="137">
        <v>43859</v>
      </c>
      <c r="B851" s="136">
        <v>12129.5</v>
      </c>
      <c r="C851" s="138">
        <f t="shared" si="26"/>
        <v>6.1132401002008674E-3</v>
      </c>
      <c r="D851" s="138">
        <f t="shared" si="27"/>
        <v>1.0061132401002009</v>
      </c>
    </row>
    <row r="852" spans="1:4" x14ac:dyDescent="0.2">
      <c r="A852" s="137">
        <v>43860</v>
      </c>
      <c r="B852" s="136">
        <v>12035.8</v>
      </c>
      <c r="C852" s="138">
        <f t="shared" si="26"/>
        <v>-7.7249680530937503E-3</v>
      </c>
      <c r="D852" s="138">
        <f t="shared" si="27"/>
        <v>0.99227503194690625</v>
      </c>
    </row>
    <row r="853" spans="1:4" x14ac:dyDescent="0.2">
      <c r="A853" s="137">
        <v>43861</v>
      </c>
      <c r="B853" s="136">
        <v>11962.1</v>
      </c>
      <c r="C853" s="138">
        <f t="shared" si="26"/>
        <v>-6.1233985277254765E-3</v>
      </c>
      <c r="D853" s="138">
        <f t="shared" si="27"/>
        <v>0.99387660147227452</v>
      </c>
    </row>
    <row r="854" spans="1:4" x14ac:dyDescent="0.2">
      <c r="A854" s="137">
        <v>43862</v>
      </c>
      <c r="B854" s="136">
        <v>11661.85</v>
      </c>
      <c r="C854" s="138">
        <f t="shared" si="26"/>
        <v>-2.5100107840596575E-2</v>
      </c>
      <c r="D854" s="138">
        <f t="shared" si="27"/>
        <v>0.97489989215940343</v>
      </c>
    </row>
    <row r="855" spans="1:4" x14ac:dyDescent="0.2">
      <c r="A855" s="137">
        <v>43864</v>
      </c>
      <c r="B855" s="136">
        <v>11707.9</v>
      </c>
      <c r="C855" s="138">
        <f t="shared" si="26"/>
        <v>3.9487731363376799E-3</v>
      </c>
      <c r="D855" s="138">
        <f t="shared" si="27"/>
        <v>1.0039487731363377</v>
      </c>
    </row>
    <row r="856" spans="1:4" x14ac:dyDescent="0.2">
      <c r="A856" s="137">
        <v>43865</v>
      </c>
      <c r="B856" s="136">
        <v>11979.65</v>
      </c>
      <c r="C856" s="138">
        <f t="shared" si="26"/>
        <v>2.3210823461081942E-2</v>
      </c>
      <c r="D856" s="138">
        <f t="shared" si="27"/>
        <v>1.0232108234610819</v>
      </c>
    </row>
    <row r="857" spans="1:4" x14ac:dyDescent="0.2">
      <c r="A857" s="137">
        <v>43866</v>
      </c>
      <c r="B857" s="136">
        <v>12089.15</v>
      </c>
      <c r="C857" s="138">
        <f t="shared" si="26"/>
        <v>9.1405007658822424E-3</v>
      </c>
      <c r="D857" s="138">
        <f t="shared" si="27"/>
        <v>1.0091405007658822</v>
      </c>
    </row>
    <row r="858" spans="1:4" x14ac:dyDescent="0.2">
      <c r="A858" s="137">
        <v>43867</v>
      </c>
      <c r="B858" s="136">
        <v>12137.95</v>
      </c>
      <c r="C858" s="138">
        <f t="shared" si="26"/>
        <v>4.0366775166162938E-3</v>
      </c>
      <c r="D858" s="138">
        <f t="shared" si="27"/>
        <v>1.0040366775166163</v>
      </c>
    </row>
    <row r="859" spans="1:4" x14ac:dyDescent="0.2">
      <c r="A859" s="137">
        <v>43868</v>
      </c>
      <c r="B859" s="136">
        <v>12098.35</v>
      </c>
      <c r="C859" s="138">
        <f t="shared" si="26"/>
        <v>-3.2624949023517535E-3</v>
      </c>
      <c r="D859" s="138">
        <f t="shared" si="27"/>
        <v>0.99673750509764825</v>
      </c>
    </row>
    <row r="860" spans="1:4" x14ac:dyDescent="0.2">
      <c r="A860" s="137">
        <v>43871</v>
      </c>
      <c r="B860" s="136">
        <v>12031.5</v>
      </c>
      <c r="C860" s="138">
        <f t="shared" si="26"/>
        <v>-5.525546872094167E-3</v>
      </c>
      <c r="D860" s="138">
        <f t="shared" si="27"/>
        <v>0.99447445312790583</v>
      </c>
    </row>
    <row r="861" spans="1:4" x14ac:dyDescent="0.2">
      <c r="A861" s="137">
        <v>43872</v>
      </c>
      <c r="B861" s="136">
        <v>12107.9</v>
      </c>
      <c r="C861" s="138">
        <f t="shared" si="26"/>
        <v>6.3499979221210978E-3</v>
      </c>
      <c r="D861" s="138">
        <f t="shared" si="27"/>
        <v>1.0063499979221211</v>
      </c>
    </row>
    <row r="862" spans="1:4" x14ac:dyDescent="0.2">
      <c r="A862" s="137">
        <v>43873</v>
      </c>
      <c r="B862" s="136">
        <v>12201.2</v>
      </c>
      <c r="C862" s="138">
        <f t="shared" si="26"/>
        <v>7.7057127990816099E-3</v>
      </c>
      <c r="D862" s="138">
        <f t="shared" si="27"/>
        <v>1.0077057127990816</v>
      </c>
    </row>
    <row r="863" spans="1:4" x14ac:dyDescent="0.2">
      <c r="A863" s="137">
        <v>43874</v>
      </c>
      <c r="B863" s="136">
        <v>12174.65</v>
      </c>
      <c r="C863" s="138">
        <f t="shared" si="26"/>
        <v>-2.1760154738879045E-3</v>
      </c>
      <c r="D863" s="138">
        <f t="shared" si="27"/>
        <v>0.9978239845261121</v>
      </c>
    </row>
    <row r="864" spans="1:4" x14ac:dyDescent="0.2">
      <c r="A864" s="137">
        <v>43875</v>
      </c>
      <c r="B864" s="136">
        <v>12113.45</v>
      </c>
      <c r="C864" s="138">
        <f t="shared" si="26"/>
        <v>-5.0268385538803084E-3</v>
      </c>
      <c r="D864" s="138">
        <f t="shared" si="27"/>
        <v>0.99497316144611969</v>
      </c>
    </row>
    <row r="865" spans="1:4" x14ac:dyDescent="0.2">
      <c r="A865" s="137">
        <v>43878</v>
      </c>
      <c r="B865" s="136">
        <v>12045.8</v>
      </c>
      <c r="C865" s="138">
        <f t="shared" si="26"/>
        <v>-5.5847013030970727E-3</v>
      </c>
      <c r="D865" s="138">
        <f t="shared" si="27"/>
        <v>0.99441529869690293</v>
      </c>
    </row>
    <row r="866" spans="1:4" x14ac:dyDescent="0.2">
      <c r="A866" s="137">
        <v>43879</v>
      </c>
      <c r="B866" s="136">
        <v>11992.5</v>
      </c>
      <c r="C866" s="138">
        <f t="shared" si="26"/>
        <v>-4.4247787610618428E-3</v>
      </c>
      <c r="D866" s="138">
        <f t="shared" si="27"/>
        <v>0.99557522123893816</v>
      </c>
    </row>
    <row r="867" spans="1:4" x14ac:dyDescent="0.2">
      <c r="A867" s="137">
        <v>43880</v>
      </c>
      <c r="B867" s="136">
        <v>12125.9</v>
      </c>
      <c r="C867" s="138">
        <f t="shared" si="26"/>
        <v>1.1123618928496892E-2</v>
      </c>
      <c r="D867" s="138">
        <f t="shared" si="27"/>
        <v>1.0111236189284969</v>
      </c>
    </row>
    <row r="868" spans="1:4" x14ac:dyDescent="0.2">
      <c r="A868" s="137">
        <v>43881</v>
      </c>
      <c r="B868" s="136">
        <v>12080.85</v>
      </c>
      <c r="C868" s="138">
        <f t="shared" si="26"/>
        <v>-3.7151881509825957E-3</v>
      </c>
      <c r="D868" s="138">
        <f t="shared" si="27"/>
        <v>0.9962848118490174</v>
      </c>
    </row>
    <row r="869" spans="1:4" x14ac:dyDescent="0.2">
      <c r="A869" s="137">
        <v>43885</v>
      </c>
      <c r="B869" s="136">
        <v>11829.4</v>
      </c>
      <c r="C869" s="138">
        <f t="shared" si="26"/>
        <v>-2.0813932794463974E-2</v>
      </c>
      <c r="D869" s="138">
        <f t="shared" si="27"/>
        <v>0.97918606720553603</v>
      </c>
    </row>
    <row r="870" spans="1:4" x14ac:dyDescent="0.2">
      <c r="A870" s="137">
        <v>43886</v>
      </c>
      <c r="B870" s="136">
        <v>11797.9</v>
      </c>
      <c r="C870" s="138">
        <f t="shared" si="26"/>
        <v>-2.6628569496339738E-3</v>
      </c>
      <c r="D870" s="138">
        <f t="shared" si="27"/>
        <v>0.99733714305036603</v>
      </c>
    </row>
    <row r="871" spans="1:4" x14ac:dyDescent="0.2">
      <c r="A871" s="137">
        <v>43887</v>
      </c>
      <c r="B871" s="136">
        <v>11678.5</v>
      </c>
      <c r="C871" s="138">
        <f t="shared" si="26"/>
        <v>-1.0120445163969816E-2</v>
      </c>
      <c r="D871" s="138">
        <f t="shared" si="27"/>
        <v>0.98987955483603018</v>
      </c>
    </row>
    <row r="872" spans="1:4" x14ac:dyDescent="0.2">
      <c r="A872" s="137">
        <v>43888</v>
      </c>
      <c r="B872" s="136">
        <v>11633.3</v>
      </c>
      <c r="C872" s="138">
        <f t="shared" si="26"/>
        <v>-3.8703600633643864E-3</v>
      </c>
      <c r="D872" s="138">
        <f t="shared" si="27"/>
        <v>0.99612963993663561</v>
      </c>
    </row>
    <row r="873" spans="1:4" x14ac:dyDescent="0.2">
      <c r="A873" s="137">
        <v>43889</v>
      </c>
      <c r="B873" s="136">
        <v>11201.75</v>
      </c>
      <c r="C873" s="138">
        <f t="shared" si="26"/>
        <v>-3.709609483121723E-2</v>
      </c>
      <c r="D873" s="138">
        <f t="shared" si="27"/>
        <v>0.96290390516878277</v>
      </c>
    </row>
    <row r="874" spans="1:4" x14ac:dyDescent="0.2">
      <c r="A874" s="137">
        <v>43892</v>
      </c>
      <c r="B874" s="136">
        <v>11132.75</v>
      </c>
      <c r="C874" s="138">
        <f t="shared" si="26"/>
        <v>-6.1597518244916882E-3</v>
      </c>
      <c r="D874" s="138">
        <f t="shared" si="27"/>
        <v>0.99384024817550831</v>
      </c>
    </row>
    <row r="875" spans="1:4" x14ac:dyDescent="0.2">
      <c r="A875" s="137">
        <v>43893</v>
      </c>
      <c r="B875" s="136">
        <v>11303.3</v>
      </c>
      <c r="C875" s="138">
        <f t="shared" si="26"/>
        <v>1.5319664952504919E-2</v>
      </c>
      <c r="D875" s="138">
        <f t="shared" si="27"/>
        <v>1.0153196649525049</v>
      </c>
    </row>
    <row r="876" spans="1:4" x14ac:dyDescent="0.2">
      <c r="A876" s="137">
        <v>43894</v>
      </c>
      <c r="B876" s="136">
        <v>11251</v>
      </c>
      <c r="C876" s="138">
        <f t="shared" si="26"/>
        <v>-4.626967345819244E-3</v>
      </c>
      <c r="D876" s="138">
        <f t="shared" si="27"/>
        <v>0.99537303265418076</v>
      </c>
    </row>
    <row r="877" spans="1:4" x14ac:dyDescent="0.2">
      <c r="A877" s="137">
        <v>43895</v>
      </c>
      <c r="B877" s="136">
        <v>11269</v>
      </c>
      <c r="C877" s="138">
        <f t="shared" si="26"/>
        <v>1.5998577904186018E-3</v>
      </c>
      <c r="D877" s="138">
        <f t="shared" si="27"/>
        <v>1.0015998577904186</v>
      </c>
    </row>
    <row r="878" spans="1:4" x14ac:dyDescent="0.2">
      <c r="A878" s="137">
        <v>43896</v>
      </c>
      <c r="B878" s="136">
        <v>10989.45</v>
      </c>
      <c r="C878" s="138">
        <f t="shared" si="26"/>
        <v>-2.4806992634661351E-2</v>
      </c>
      <c r="D878" s="138">
        <f t="shared" si="27"/>
        <v>0.97519300736533865</v>
      </c>
    </row>
    <row r="879" spans="1:4" x14ac:dyDescent="0.2">
      <c r="A879" s="137">
        <v>43899</v>
      </c>
      <c r="B879" s="136">
        <v>10451.450000000001</v>
      </c>
      <c r="C879" s="138">
        <f t="shared" si="26"/>
        <v>-4.8956044206033944E-2</v>
      </c>
      <c r="D879" s="138">
        <f t="shared" si="27"/>
        <v>0.95104395579396606</v>
      </c>
    </row>
    <row r="880" spans="1:4" x14ac:dyDescent="0.2">
      <c r="A880" s="137">
        <v>43901</v>
      </c>
      <c r="B880" s="136">
        <v>10458.4</v>
      </c>
      <c r="C880" s="138">
        <f t="shared" si="26"/>
        <v>6.6497950045207865E-4</v>
      </c>
      <c r="D880" s="138">
        <f t="shared" si="27"/>
        <v>1.0006649795004521</v>
      </c>
    </row>
    <row r="881" spans="1:4" x14ac:dyDescent="0.2">
      <c r="A881" s="137">
        <v>43902</v>
      </c>
      <c r="B881" s="136">
        <v>9590.15</v>
      </c>
      <c r="C881" s="138">
        <f t="shared" si="26"/>
        <v>-8.3019391111451069E-2</v>
      </c>
      <c r="D881" s="138">
        <f t="shared" si="27"/>
        <v>0.91698060888854893</v>
      </c>
    </row>
    <row r="882" spans="1:4" x14ac:dyDescent="0.2">
      <c r="A882" s="137">
        <v>43903</v>
      </c>
      <c r="B882" s="136">
        <v>9955.2000000000007</v>
      </c>
      <c r="C882" s="138">
        <f t="shared" si="26"/>
        <v>3.8065098043305046E-2</v>
      </c>
      <c r="D882" s="138">
        <f t="shared" si="27"/>
        <v>1.038065098043305</v>
      </c>
    </row>
    <row r="883" spans="1:4" x14ac:dyDescent="0.2">
      <c r="A883" s="137">
        <v>43906</v>
      </c>
      <c r="B883" s="136">
        <v>9197.4</v>
      </c>
      <c r="C883" s="138">
        <f t="shared" si="26"/>
        <v>-7.6121022179363673E-2</v>
      </c>
      <c r="D883" s="138">
        <f t="shared" si="27"/>
        <v>0.92387897782063633</v>
      </c>
    </row>
    <row r="884" spans="1:4" x14ac:dyDescent="0.2">
      <c r="A884" s="137">
        <v>43907</v>
      </c>
      <c r="B884" s="136">
        <v>8967.0499999999993</v>
      </c>
      <c r="C884" s="138">
        <f t="shared" si="26"/>
        <v>-2.5045121447365593E-2</v>
      </c>
      <c r="D884" s="138">
        <f t="shared" si="27"/>
        <v>0.97495487855263441</v>
      </c>
    </row>
    <row r="885" spans="1:4" x14ac:dyDescent="0.2">
      <c r="A885" s="137">
        <v>43908</v>
      </c>
      <c r="B885" s="136">
        <v>8468.7999999999993</v>
      </c>
      <c r="C885" s="138">
        <f t="shared" si="26"/>
        <v>-5.5564539062456397E-2</v>
      </c>
      <c r="D885" s="138">
        <f t="shared" si="27"/>
        <v>0.9444354609375436</v>
      </c>
    </row>
    <row r="886" spans="1:4" x14ac:dyDescent="0.2">
      <c r="A886" s="137">
        <v>43909</v>
      </c>
      <c r="B886" s="136">
        <v>8263.4500000000007</v>
      </c>
      <c r="C886" s="138">
        <f t="shared" si="26"/>
        <v>-2.4247827319100579E-2</v>
      </c>
      <c r="D886" s="138">
        <f t="shared" si="27"/>
        <v>0.97575217268089942</v>
      </c>
    </row>
    <row r="887" spans="1:4" x14ac:dyDescent="0.2">
      <c r="A887" s="137">
        <v>43910</v>
      </c>
      <c r="B887" s="136">
        <v>8745.4500000000007</v>
      </c>
      <c r="C887" s="138">
        <f t="shared" si="26"/>
        <v>5.8329148237116435E-2</v>
      </c>
      <c r="D887" s="138">
        <f t="shared" si="27"/>
        <v>1.0583291482371164</v>
      </c>
    </row>
    <row r="888" spans="1:4" x14ac:dyDescent="0.2">
      <c r="A888" s="137">
        <v>43913</v>
      </c>
      <c r="B888" s="136">
        <v>7610.25</v>
      </c>
      <c r="C888" s="138">
        <f t="shared" si="26"/>
        <v>-0.12980464127060365</v>
      </c>
      <c r="D888" s="138">
        <f t="shared" si="27"/>
        <v>0.87019535872939635</v>
      </c>
    </row>
    <row r="889" spans="1:4" x14ac:dyDescent="0.2">
      <c r="A889" s="137">
        <v>43914</v>
      </c>
      <c r="B889" s="136">
        <v>7801.05</v>
      </c>
      <c r="C889" s="138">
        <f t="shared" si="26"/>
        <v>2.507144968956343E-2</v>
      </c>
      <c r="D889" s="138">
        <f t="shared" si="27"/>
        <v>1.0250714496895634</v>
      </c>
    </row>
    <row r="890" spans="1:4" x14ac:dyDescent="0.2">
      <c r="A890" s="137">
        <v>43915</v>
      </c>
      <c r="B890" s="136">
        <v>8317.85</v>
      </c>
      <c r="C890" s="138">
        <f t="shared" si="26"/>
        <v>6.6247492324751134E-2</v>
      </c>
      <c r="D890" s="138">
        <f t="shared" si="27"/>
        <v>1.0662474923247511</v>
      </c>
    </row>
    <row r="891" spans="1:4" x14ac:dyDescent="0.2">
      <c r="A891" s="137">
        <v>43916</v>
      </c>
      <c r="B891" s="136">
        <v>8641.4500000000007</v>
      </c>
      <c r="C891" s="138">
        <f t="shared" si="26"/>
        <v>3.890428415996916E-2</v>
      </c>
      <c r="D891" s="138">
        <f t="shared" si="27"/>
        <v>1.0389042841599692</v>
      </c>
    </row>
    <row r="892" spans="1:4" x14ac:dyDescent="0.2">
      <c r="A892" s="137">
        <v>43917</v>
      </c>
      <c r="B892" s="136">
        <v>8660.25</v>
      </c>
      <c r="C892" s="138">
        <f t="shared" si="26"/>
        <v>2.1755608144464755E-3</v>
      </c>
      <c r="D892" s="138">
        <f t="shared" si="27"/>
        <v>1.0021755608144465</v>
      </c>
    </row>
    <row r="893" spans="1:4" x14ac:dyDescent="0.2">
      <c r="A893" s="137">
        <v>43920</v>
      </c>
      <c r="B893" s="136">
        <v>8281.1</v>
      </c>
      <c r="C893" s="138">
        <f t="shared" si="26"/>
        <v>-4.3780491325308146E-2</v>
      </c>
      <c r="D893" s="138">
        <f t="shared" si="27"/>
        <v>0.95621950867469185</v>
      </c>
    </row>
    <row r="894" spans="1:4" x14ac:dyDescent="0.2">
      <c r="A894" s="137">
        <v>43921</v>
      </c>
      <c r="B894" s="136">
        <v>8597.75</v>
      </c>
      <c r="C894" s="138">
        <f t="shared" si="26"/>
        <v>3.8237673738996003E-2</v>
      </c>
      <c r="D894" s="138">
        <f t="shared" si="27"/>
        <v>1.038237673738996</v>
      </c>
    </row>
    <row r="895" spans="1:4" x14ac:dyDescent="0.2">
      <c r="A895" s="137">
        <v>43922</v>
      </c>
      <c r="B895" s="136">
        <v>8253.7999999999993</v>
      </c>
      <c r="C895" s="138">
        <f t="shared" si="26"/>
        <v>-4.0004652379983185E-2</v>
      </c>
      <c r="D895" s="138">
        <f t="shared" si="27"/>
        <v>0.95999534762001681</v>
      </c>
    </row>
    <row r="896" spans="1:4" x14ac:dyDescent="0.2">
      <c r="A896" s="137">
        <v>43924</v>
      </c>
      <c r="B896" s="136">
        <v>8083.8</v>
      </c>
      <c r="C896" s="138">
        <f t="shared" si="26"/>
        <v>-2.0596573699386833E-2</v>
      </c>
      <c r="D896" s="138">
        <f t="shared" si="27"/>
        <v>0.97940342630061317</v>
      </c>
    </row>
    <row r="897" spans="1:4" x14ac:dyDescent="0.2">
      <c r="A897" s="137">
        <v>43928</v>
      </c>
      <c r="B897" s="136">
        <v>8792.2000000000007</v>
      </c>
      <c r="C897" s="138">
        <f t="shared" si="26"/>
        <v>8.7632054231920664E-2</v>
      </c>
      <c r="D897" s="138">
        <f t="shared" si="27"/>
        <v>1.0876320542319207</v>
      </c>
    </row>
    <row r="898" spans="1:4" x14ac:dyDescent="0.2">
      <c r="A898" s="137">
        <v>43929</v>
      </c>
      <c r="B898" s="136">
        <v>8748.75</v>
      </c>
      <c r="C898" s="138">
        <f t="shared" si="26"/>
        <v>-4.9418803029959157E-3</v>
      </c>
      <c r="D898" s="138">
        <f t="shared" si="27"/>
        <v>0.99505811969700408</v>
      </c>
    </row>
    <row r="899" spans="1:4" x14ac:dyDescent="0.2">
      <c r="A899" s="137">
        <v>43930</v>
      </c>
      <c r="B899" s="136">
        <v>9111.9</v>
      </c>
      <c r="C899" s="138">
        <f t="shared" ref="C899:C962" si="28">B899/B898-1</f>
        <v>4.1508786969566946E-2</v>
      </c>
      <c r="D899" s="138">
        <f t="shared" ref="D899:D962" si="29">1+C899</f>
        <v>1.0415087869695669</v>
      </c>
    </row>
    <row r="900" spans="1:4" x14ac:dyDescent="0.2">
      <c r="A900" s="137">
        <v>43934</v>
      </c>
      <c r="B900" s="136">
        <v>8993.85</v>
      </c>
      <c r="C900" s="138">
        <f t="shared" si="28"/>
        <v>-1.2955585552958171E-2</v>
      </c>
      <c r="D900" s="138">
        <f t="shared" si="29"/>
        <v>0.98704441444704183</v>
      </c>
    </row>
    <row r="901" spans="1:4" x14ac:dyDescent="0.2">
      <c r="A901" s="137">
        <v>43936</v>
      </c>
      <c r="B901" s="136">
        <v>8925.2999999999993</v>
      </c>
      <c r="C901" s="138">
        <f t="shared" si="28"/>
        <v>-7.6218749478811354E-3</v>
      </c>
      <c r="D901" s="138">
        <f t="shared" si="29"/>
        <v>0.99237812505211886</v>
      </c>
    </row>
    <row r="902" spans="1:4" x14ac:dyDescent="0.2">
      <c r="A902" s="137">
        <v>43937</v>
      </c>
      <c r="B902" s="136">
        <v>8992.7999999999993</v>
      </c>
      <c r="C902" s="138">
        <f t="shared" si="28"/>
        <v>7.5627709992940328E-3</v>
      </c>
      <c r="D902" s="138">
        <f t="shared" si="29"/>
        <v>1.007562770999294</v>
      </c>
    </row>
    <row r="903" spans="1:4" x14ac:dyDescent="0.2">
      <c r="A903" s="137">
        <v>43938</v>
      </c>
      <c r="B903" s="136">
        <v>9266.75</v>
      </c>
      <c r="C903" s="138">
        <f t="shared" si="28"/>
        <v>3.0463259496486206E-2</v>
      </c>
      <c r="D903" s="138">
        <f t="shared" si="29"/>
        <v>1.0304632594964862</v>
      </c>
    </row>
    <row r="904" spans="1:4" x14ac:dyDescent="0.2">
      <c r="A904" s="137">
        <v>43941</v>
      </c>
      <c r="B904" s="136">
        <v>9261.85</v>
      </c>
      <c r="C904" s="138">
        <f t="shared" si="28"/>
        <v>-5.2877222327130102E-4</v>
      </c>
      <c r="D904" s="138">
        <f t="shared" si="29"/>
        <v>0.9994712277767287</v>
      </c>
    </row>
    <row r="905" spans="1:4" x14ac:dyDescent="0.2">
      <c r="A905" s="137">
        <v>43942</v>
      </c>
      <c r="B905" s="136">
        <v>8981.4500000000007</v>
      </c>
      <c r="C905" s="138">
        <f t="shared" si="28"/>
        <v>-3.0274729130789213E-2</v>
      </c>
      <c r="D905" s="138">
        <f t="shared" si="29"/>
        <v>0.96972527086921079</v>
      </c>
    </row>
    <row r="906" spans="1:4" x14ac:dyDescent="0.2">
      <c r="A906" s="137">
        <v>43943</v>
      </c>
      <c r="B906" s="136">
        <v>9187.2999999999993</v>
      </c>
      <c r="C906" s="138">
        <f t="shared" si="28"/>
        <v>2.2919461779556505E-2</v>
      </c>
      <c r="D906" s="138">
        <f t="shared" si="29"/>
        <v>1.0229194617795565</v>
      </c>
    </row>
    <row r="907" spans="1:4" x14ac:dyDescent="0.2">
      <c r="A907" s="137">
        <v>43944</v>
      </c>
      <c r="B907" s="136">
        <v>9313.9</v>
      </c>
      <c r="C907" s="138">
        <f t="shared" si="28"/>
        <v>1.3779891807168543E-2</v>
      </c>
      <c r="D907" s="138">
        <f t="shared" si="29"/>
        <v>1.0137798918071685</v>
      </c>
    </row>
    <row r="908" spans="1:4" x14ac:dyDescent="0.2">
      <c r="A908" s="137">
        <v>43945</v>
      </c>
      <c r="B908" s="136">
        <v>9154.4</v>
      </c>
      <c r="C908" s="138">
        <f t="shared" si="28"/>
        <v>-1.7124942290554945E-2</v>
      </c>
      <c r="D908" s="138">
        <f t="shared" si="29"/>
        <v>0.98287505770944505</v>
      </c>
    </row>
    <row r="909" spans="1:4" x14ac:dyDescent="0.2">
      <c r="A909" s="137">
        <v>43948</v>
      </c>
      <c r="B909" s="136">
        <v>9282.2999999999993</v>
      </c>
      <c r="C909" s="138">
        <f t="shared" si="28"/>
        <v>1.3971423577733066E-2</v>
      </c>
      <c r="D909" s="138">
        <f t="shared" si="29"/>
        <v>1.0139714235777331</v>
      </c>
    </row>
    <row r="910" spans="1:4" x14ac:dyDescent="0.2">
      <c r="A910" s="137">
        <v>43949</v>
      </c>
      <c r="B910" s="136">
        <v>9380.9</v>
      </c>
      <c r="C910" s="138">
        <f t="shared" si="28"/>
        <v>1.0622367301207802E-2</v>
      </c>
      <c r="D910" s="138">
        <f t="shared" si="29"/>
        <v>1.0106223673012078</v>
      </c>
    </row>
    <row r="911" spans="1:4" x14ac:dyDescent="0.2">
      <c r="A911" s="137">
        <v>43950</v>
      </c>
      <c r="B911" s="136">
        <v>9553.35</v>
      </c>
      <c r="C911" s="138">
        <f t="shared" si="28"/>
        <v>1.8383097570595641E-2</v>
      </c>
      <c r="D911" s="138">
        <f t="shared" si="29"/>
        <v>1.0183830975705956</v>
      </c>
    </row>
    <row r="912" spans="1:4" x14ac:dyDescent="0.2">
      <c r="A912" s="137">
        <v>43951</v>
      </c>
      <c r="B912" s="136">
        <v>9859.9</v>
      </c>
      <c r="C912" s="138">
        <f t="shared" si="28"/>
        <v>3.2088220362490594E-2</v>
      </c>
      <c r="D912" s="138">
        <f t="shared" si="29"/>
        <v>1.0320882203624906</v>
      </c>
    </row>
    <row r="913" spans="1:4" x14ac:dyDescent="0.2">
      <c r="A913" s="137">
        <v>43955</v>
      </c>
      <c r="B913" s="136">
        <v>9293.5</v>
      </c>
      <c r="C913" s="138">
        <f t="shared" si="28"/>
        <v>-5.7444801671416523E-2</v>
      </c>
      <c r="D913" s="138">
        <f t="shared" si="29"/>
        <v>0.94255519832858348</v>
      </c>
    </row>
    <row r="914" spans="1:4" x14ac:dyDescent="0.2">
      <c r="A914" s="137">
        <v>43956</v>
      </c>
      <c r="B914" s="136">
        <v>9205.6</v>
      </c>
      <c r="C914" s="138">
        <f t="shared" si="28"/>
        <v>-9.4582234895356221E-3</v>
      </c>
      <c r="D914" s="138">
        <f t="shared" si="29"/>
        <v>0.99054177651046438</v>
      </c>
    </row>
    <row r="915" spans="1:4" x14ac:dyDescent="0.2">
      <c r="A915" s="137">
        <v>43957</v>
      </c>
      <c r="B915" s="136">
        <v>9270.9</v>
      </c>
      <c r="C915" s="138">
        <f t="shared" si="28"/>
        <v>7.093508299296003E-3</v>
      </c>
      <c r="D915" s="138">
        <f t="shared" si="29"/>
        <v>1.007093508299296</v>
      </c>
    </row>
    <row r="916" spans="1:4" x14ac:dyDescent="0.2">
      <c r="A916" s="137">
        <v>43958</v>
      </c>
      <c r="B916" s="136">
        <v>9199.0499999999993</v>
      </c>
      <c r="C916" s="138">
        <f t="shared" si="28"/>
        <v>-7.7500566288063455E-3</v>
      </c>
      <c r="D916" s="138">
        <f t="shared" si="29"/>
        <v>0.99224994337119365</v>
      </c>
    </row>
    <row r="917" spans="1:4" x14ac:dyDescent="0.2">
      <c r="A917" s="137">
        <v>43959</v>
      </c>
      <c r="B917" s="136">
        <v>9251.5</v>
      </c>
      <c r="C917" s="138">
        <f t="shared" si="28"/>
        <v>5.701675716514254E-3</v>
      </c>
      <c r="D917" s="138">
        <f t="shared" si="29"/>
        <v>1.0057016757165143</v>
      </c>
    </row>
    <row r="918" spans="1:4" x14ac:dyDescent="0.2">
      <c r="A918" s="137">
        <v>43962</v>
      </c>
      <c r="B918" s="136">
        <v>9239.2000000000007</v>
      </c>
      <c r="C918" s="138">
        <f t="shared" si="28"/>
        <v>-1.3295141328432125E-3</v>
      </c>
      <c r="D918" s="138">
        <f t="shared" si="29"/>
        <v>0.99867048586715679</v>
      </c>
    </row>
    <row r="919" spans="1:4" x14ac:dyDescent="0.2">
      <c r="A919" s="137">
        <v>43963</v>
      </c>
      <c r="B919" s="136">
        <v>9196.5499999999993</v>
      </c>
      <c r="C919" s="138">
        <f t="shared" si="28"/>
        <v>-4.6162005368431958E-3</v>
      </c>
      <c r="D919" s="138">
        <f t="shared" si="29"/>
        <v>0.9953837994631568</v>
      </c>
    </row>
    <row r="920" spans="1:4" x14ac:dyDescent="0.2">
      <c r="A920" s="137">
        <v>43964</v>
      </c>
      <c r="B920" s="136">
        <v>9383.5499999999993</v>
      </c>
      <c r="C920" s="138">
        <f t="shared" si="28"/>
        <v>2.0333712098558721E-2</v>
      </c>
      <c r="D920" s="138">
        <f t="shared" si="29"/>
        <v>1.0203337120985587</v>
      </c>
    </row>
    <row r="921" spans="1:4" x14ac:dyDescent="0.2">
      <c r="A921" s="137">
        <v>43965</v>
      </c>
      <c r="B921" s="136">
        <v>9142.75</v>
      </c>
      <c r="C921" s="138">
        <f t="shared" si="28"/>
        <v>-2.5661929653489235E-2</v>
      </c>
      <c r="D921" s="138">
        <f t="shared" si="29"/>
        <v>0.97433807034651077</v>
      </c>
    </row>
    <row r="922" spans="1:4" x14ac:dyDescent="0.2">
      <c r="A922" s="137">
        <v>43966</v>
      </c>
      <c r="B922" s="136">
        <v>9136.85</v>
      </c>
      <c r="C922" s="138">
        <f t="shared" si="28"/>
        <v>-6.4532006234441219E-4</v>
      </c>
      <c r="D922" s="138">
        <f t="shared" si="29"/>
        <v>0.99935467993765559</v>
      </c>
    </row>
    <row r="923" spans="1:4" x14ac:dyDescent="0.2">
      <c r="A923" s="137">
        <v>43969</v>
      </c>
      <c r="B923" s="136">
        <v>8823.25</v>
      </c>
      <c r="C923" s="138">
        <f t="shared" si="28"/>
        <v>-3.4322550988579281E-2</v>
      </c>
      <c r="D923" s="138">
        <f t="shared" si="29"/>
        <v>0.96567744901142072</v>
      </c>
    </row>
    <row r="924" spans="1:4" x14ac:dyDescent="0.2">
      <c r="A924" s="137">
        <v>43970</v>
      </c>
      <c r="B924" s="136">
        <v>8879.1</v>
      </c>
      <c r="C924" s="138">
        <f t="shared" si="28"/>
        <v>6.3298671124585315E-3</v>
      </c>
      <c r="D924" s="138">
        <f t="shared" si="29"/>
        <v>1.0063298671124585</v>
      </c>
    </row>
    <row r="925" spans="1:4" x14ac:dyDescent="0.2">
      <c r="A925" s="137">
        <v>43971</v>
      </c>
      <c r="B925" s="136">
        <v>9066.5499999999993</v>
      </c>
      <c r="C925" s="138">
        <f t="shared" si="28"/>
        <v>2.1111373900507768E-2</v>
      </c>
      <c r="D925" s="138">
        <f t="shared" si="29"/>
        <v>1.0211113739005078</v>
      </c>
    </row>
    <row r="926" spans="1:4" x14ac:dyDescent="0.2">
      <c r="A926" s="137">
        <v>43972</v>
      </c>
      <c r="B926" s="136">
        <v>9106.25</v>
      </c>
      <c r="C926" s="138">
        <f t="shared" si="28"/>
        <v>4.3787328145767912E-3</v>
      </c>
      <c r="D926" s="138">
        <f t="shared" si="29"/>
        <v>1.0043787328145768</v>
      </c>
    </row>
    <row r="927" spans="1:4" x14ac:dyDescent="0.2">
      <c r="A927" s="137">
        <v>43973</v>
      </c>
      <c r="B927" s="136">
        <v>9039.25</v>
      </c>
      <c r="C927" s="138">
        <f t="shared" si="28"/>
        <v>-7.3575840768702605E-3</v>
      </c>
      <c r="D927" s="138">
        <f t="shared" si="29"/>
        <v>0.99264241592312974</v>
      </c>
    </row>
    <row r="928" spans="1:4" x14ac:dyDescent="0.2">
      <c r="A928" s="137">
        <v>43977</v>
      </c>
      <c r="B928" s="136">
        <v>9029.0499999999993</v>
      </c>
      <c r="C928" s="138">
        <f t="shared" si="28"/>
        <v>-1.1284122023398346E-3</v>
      </c>
      <c r="D928" s="138">
        <f t="shared" si="29"/>
        <v>0.99887158779766017</v>
      </c>
    </row>
    <row r="929" spans="1:4" x14ac:dyDescent="0.2">
      <c r="A929" s="137">
        <v>43978</v>
      </c>
      <c r="B929" s="136">
        <v>9314.9500000000007</v>
      </c>
      <c r="C929" s="138">
        <f t="shared" si="28"/>
        <v>3.1664460823674911E-2</v>
      </c>
      <c r="D929" s="138">
        <f t="shared" si="29"/>
        <v>1.0316644608236749</v>
      </c>
    </row>
    <row r="930" spans="1:4" x14ac:dyDescent="0.2">
      <c r="A930" s="137">
        <v>43979</v>
      </c>
      <c r="B930" s="136">
        <v>9490.1</v>
      </c>
      <c r="C930" s="138">
        <f t="shared" si="28"/>
        <v>1.8803106833638283E-2</v>
      </c>
      <c r="D930" s="138">
        <f t="shared" si="29"/>
        <v>1.0188031068336383</v>
      </c>
    </row>
    <row r="931" spans="1:4" x14ac:dyDescent="0.2">
      <c r="A931" s="137">
        <v>43980</v>
      </c>
      <c r="B931" s="136">
        <v>9580.2999999999993</v>
      </c>
      <c r="C931" s="138">
        <f t="shared" si="28"/>
        <v>9.5046416792234911E-3</v>
      </c>
      <c r="D931" s="138">
        <f t="shared" si="29"/>
        <v>1.0095046416792235</v>
      </c>
    </row>
    <row r="932" spans="1:4" x14ac:dyDescent="0.2">
      <c r="A932" s="137">
        <v>43983</v>
      </c>
      <c r="B932" s="136">
        <v>9826.15</v>
      </c>
      <c r="C932" s="138">
        <f t="shared" si="28"/>
        <v>2.5662035635627412E-2</v>
      </c>
      <c r="D932" s="138">
        <f t="shared" si="29"/>
        <v>1.0256620356356274</v>
      </c>
    </row>
    <row r="933" spans="1:4" x14ac:dyDescent="0.2">
      <c r="A933" s="137">
        <v>43984</v>
      </c>
      <c r="B933" s="136">
        <v>9979.1</v>
      </c>
      <c r="C933" s="138">
        <f t="shared" si="28"/>
        <v>1.5565608096762329E-2</v>
      </c>
      <c r="D933" s="138">
        <f t="shared" si="29"/>
        <v>1.0155656080967623</v>
      </c>
    </row>
    <row r="934" spans="1:4" x14ac:dyDescent="0.2">
      <c r="A934" s="137">
        <v>43985</v>
      </c>
      <c r="B934" s="136">
        <v>10061.549999999999</v>
      </c>
      <c r="C934" s="138">
        <f t="shared" si="28"/>
        <v>8.2622681404134202E-3</v>
      </c>
      <c r="D934" s="138">
        <f t="shared" si="29"/>
        <v>1.0082622681404134</v>
      </c>
    </row>
    <row r="935" spans="1:4" x14ac:dyDescent="0.2">
      <c r="A935" s="137">
        <v>43986</v>
      </c>
      <c r="B935" s="136">
        <v>10029.1</v>
      </c>
      <c r="C935" s="138">
        <f t="shared" si="28"/>
        <v>-3.2251492066330822E-3</v>
      </c>
      <c r="D935" s="138">
        <f t="shared" si="29"/>
        <v>0.99677485079336692</v>
      </c>
    </row>
    <row r="936" spans="1:4" x14ac:dyDescent="0.2">
      <c r="A936" s="137">
        <v>43987</v>
      </c>
      <c r="B936" s="136">
        <v>10142.15</v>
      </c>
      <c r="C936" s="138">
        <f t="shared" si="28"/>
        <v>1.1272197904099057E-2</v>
      </c>
      <c r="D936" s="138">
        <f t="shared" si="29"/>
        <v>1.0112721979040991</v>
      </c>
    </row>
    <row r="937" spans="1:4" x14ac:dyDescent="0.2">
      <c r="A937" s="137">
        <v>43990</v>
      </c>
      <c r="B937" s="136">
        <v>10167.450000000001</v>
      </c>
      <c r="C937" s="138">
        <f t="shared" si="28"/>
        <v>2.4945401123037669E-3</v>
      </c>
      <c r="D937" s="138">
        <f t="shared" si="29"/>
        <v>1.0024945401123038</v>
      </c>
    </row>
    <row r="938" spans="1:4" x14ac:dyDescent="0.2">
      <c r="A938" s="137">
        <v>43991</v>
      </c>
      <c r="B938" s="136">
        <v>10046.65</v>
      </c>
      <c r="C938" s="138">
        <f t="shared" si="28"/>
        <v>-1.1881051787813179E-2</v>
      </c>
      <c r="D938" s="138">
        <f t="shared" si="29"/>
        <v>0.98811894821218682</v>
      </c>
    </row>
    <row r="939" spans="1:4" x14ac:dyDescent="0.2">
      <c r="A939" s="137">
        <v>43992</v>
      </c>
      <c r="B939" s="136">
        <v>10116.15</v>
      </c>
      <c r="C939" s="138">
        <f t="shared" si="28"/>
        <v>6.9177287951704969E-3</v>
      </c>
      <c r="D939" s="138">
        <f t="shared" si="29"/>
        <v>1.0069177287951705</v>
      </c>
    </row>
    <row r="940" spans="1:4" x14ac:dyDescent="0.2">
      <c r="A940" s="137">
        <v>43993</v>
      </c>
      <c r="B940" s="136">
        <v>9902</v>
      </c>
      <c r="C940" s="138">
        <f t="shared" si="28"/>
        <v>-2.1169120663493524E-2</v>
      </c>
      <c r="D940" s="138">
        <f t="shared" si="29"/>
        <v>0.97883087933650648</v>
      </c>
    </row>
    <row r="941" spans="1:4" x14ac:dyDescent="0.2">
      <c r="A941" s="137">
        <v>43994</v>
      </c>
      <c r="B941" s="136">
        <v>9972.9</v>
      </c>
      <c r="C941" s="138">
        <f t="shared" si="28"/>
        <v>7.1601696626943934E-3</v>
      </c>
      <c r="D941" s="138">
        <f t="shared" si="29"/>
        <v>1.0071601696626944</v>
      </c>
    </row>
    <row r="942" spans="1:4" x14ac:dyDescent="0.2">
      <c r="A942" s="137">
        <v>43997</v>
      </c>
      <c r="B942" s="136">
        <v>9813.7000000000007</v>
      </c>
      <c r="C942" s="138">
        <f t="shared" si="28"/>
        <v>-1.596326043578089E-2</v>
      </c>
      <c r="D942" s="138">
        <f t="shared" si="29"/>
        <v>0.98403673956421911</v>
      </c>
    </row>
    <row r="943" spans="1:4" x14ac:dyDescent="0.2">
      <c r="A943" s="137">
        <v>43998</v>
      </c>
      <c r="B943" s="136">
        <v>9914</v>
      </c>
      <c r="C943" s="138">
        <f t="shared" si="28"/>
        <v>1.0220406166889129E-2</v>
      </c>
      <c r="D943" s="138">
        <f t="shared" si="29"/>
        <v>1.0102204061668891</v>
      </c>
    </row>
    <row r="944" spans="1:4" x14ac:dyDescent="0.2">
      <c r="A944" s="137">
        <v>43999</v>
      </c>
      <c r="B944" s="136">
        <v>9881.15</v>
      </c>
      <c r="C944" s="138">
        <f t="shared" si="28"/>
        <v>-3.3134960661690416E-3</v>
      </c>
      <c r="D944" s="138">
        <f t="shared" si="29"/>
        <v>0.99668650393383096</v>
      </c>
    </row>
    <row r="945" spans="1:4" x14ac:dyDescent="0.2">
      <c r="A945" s="137">
        <v>44000</v>
      </c>
      <c r="B945" s="136">
        <v>10091.65</v>
      </c>
      <c r="C945" s="138">
        <f t="shared" si="28"/>
        <v>2.1303188394063532E-2</v>
      </c>
      <c r="D945" s="138">
        <f t="shared" si="29"/>
        <v>1.0213031883940635</v>
      </c>
    </row>
    <row r="946" spans="1:4" x14ac:dyDescent="0.2">
      <c r="A946" s="137">
        <v>44001</v>
      </c>
      <c r="B946" s="136">
        <v>10244.4</v>
      </c>
      <c r="C946" s="138">
        <f t="shared" si="28"/>
        <v>1.5136276030183415E-2</v>
      </c>
      <c r="D946" s="138">
        <f t="shared" si="29"/>
        <v>1.0151362760301834</v>
      </c>
    </row>
    <row r="947" spans="1:4" x14ac:dyDescent="0.2">
      <c r="A947" s="137">
        <v>44004</v>
      </c>
      <c r="B947" s="136">
        <v>10311.200000000001</v>
      </c>
      <c r="C947" s="138">
        <f t="shared" si="28"/>
        <v>6.5206356643630059E-3</v>
      </c>
      <c r="D947" s="138">
        <f t="shared" si="29"/>
        <v>1.006520635664363</v>
      </c>
    </row>
    <row r="948" spans="1:4" x14ac:dyDescent="0.2">
      <c r="A948" s="137">
        <v>44005</v>
      </c>
      <c r="B948" s="136">
        <v>10471</v>
      </c>
      <c r="C948" s="138">
        <f t="shared" si="28"/>
        <v>1.5497711226627242E-2</v>
      </c>
      <c r="D948" s="138">
        <f t="shared" si="29"/>
        <v>1.0154977112266272</v>
      </c>
    </row>
    <row r="949" spans="1:4" x14ac:dyDescent="0.2">
      <c r="A949" s="137">
        <v>44006</v>
      </c>
      <c r="B949" s="136">
        <v>10305.299999999999</v>
      </c>
      <c r="C949" s="138">
        <f t="shared" si="28"/>
        <v>-1.5824658580842366E-2</v>
      </c>
      <c r="D949" s="138">
        <f t="shared" si="29"/>
        <v>0.98417534141915763</v>
      </c>
    </row>
    <row r="950" spans="1:4" x14ac:dyDescent="0.2">
      <c r="A950" s="137">
        <v>44007</v>
      </c>
      <c r="B950" s="136">
        <v>10288.9</v>
      </c>
      <c r="C950" s="138">
        <f t="shared" si="28"/>
        <v>-1.5914141267114879E-3</v>
      </c>
      <c r="D950" s="138">
        <f t="shared" si="29"/>
        <v>0.99840858587328851</v>
      </c>
    </row>
    <row r="951" spans="1:4" x14ac:dyDescent="0.2">
      <c r="A951" s="137">
        <v>44008</v>
      </c>
      <c r="B951" s="136">
        <v>10383</v>
      </c>
      <c r="C951" s="138">
        <f t="shared" si="28"/>
        <v>9.1457784602824166E-3</v>
      </c>
      <c r="D951" s="138">
        <f t="shared" si="29"/>
        <v>1.0091457784602824</v>
      </c>
    </row>
    <row r="952" spans="1:4" x14ac:dyDescent="0.2">
      <c r="A952" s="137">
        <v>44011</v>
      </c>
      <c r="B952" s="136">
        <v>10312.4</v>
      </c>
      <c r="C952" s="138">
        <f t="shared" si="28"/>
        <v>-6.7995762303766361E-3</v>
      </c>
      <c r="D952" s="138">
        <f t="shared" si="29"/>
        <v>0.99320042376962336</v>
      </c>
    </row>
    <row r="953" spans="1:4" x14ac:dyDescent="0.2">
      <c r="A953" s="137">
        <v>44012</v>
      </c>
      <c r="B953" s="136">
        <v>10302.1</v>
      </c>
      <c r="C953" s="138">
        <f t="shared" si="28"/>
        <v>-9.9879756409748666E-4</v>
      </c>
      <c r="D953" s="138">
        <f t="shared" si="29"/>
        <v>0.99900120243590251</v>
      </c>
    </row>
    <row r="954" spans="1:4" x14ac:dyDescent="0.2">
      <c r="A954" s="137">
        <v>44013</v>
      </c>
      <c r="B954" s="136">
        <v>10430.049999999999</v>
      </c>
      <c r="C954" s="138">
        <f t="shared" si="28"/>
        <v>1.241979790528136E-2</v>
      </c>
      <c r="D954" s="138">
        <f t="shared" si="29"/>
        <v>1.0124197979052814</v>
      </c>
    </row>
    <row r="955" spans="1:4" x14ac:dyDescent="0.2">
      <c r="A955" s="137">
        <v>44014</v>
      </c>
      <c r="B955" s="136">
        <v>10551.7</v>
      </c>
      <c r="C955" s="138">
        <f t="shared" si="28"/>
        <v>1.1663414844607756E-2</v>
      </c>
      <c r="D955" s="138">
        <f t="shared" si="29"/>
        <v>1.0116634148446078</v>
      </c>
    </row>
    <row r="956" spans="1:4" x14ac:dyDescent="0.2">
      <c r="A956" s="137">
        <v>44015</v>
      </c>
      <c r="B956" s="136">
        <v>10607.35</v>
      </c>
      <c r="C956" s="138">
        <f t="shared" si="28"/>
        <v>5.2740316726214154E-3</v>
      </c>
      <c r="D956" s="138">
        <f t="shared" si="29"/>
        <v>1.0052740316726214</v>
      </c>
    </row>
    <row r="957" spans="1:4" x14ac:dyDescent="0.2">
      <c r="A957" s="137">
        <v>44018</v>
      </c>
      <c r="B957" s="136">
        <v>10763.65</v>
      </c>
      <c r="C957" s="138">
        <f t="shared" si="28"/>
        <v>1.4735065779860168E-2</v>
      </c>
      <c r="D957" s="138">
        <f t="shared" si="29"/>
        <v>1.0147350657798602</v>
      </c>
    </row>
    <row r="958" spans="1:4" x14ac:dyDescent="0.2">
      <c r="A958" s="137">
        <v>44019</v>
      </c>
      <c r="B958" s="136">
        <v>10799.65</v>
      </c>
      <c r="C958" s="138">
        <f t="shared" si="28"/>
        <v>3.3445903573601221E-3</v>
      </c>
      <c r="D958" s="138">
        <f t="shared" si="29"/>
        <v>1.0033445903573601</v>
      </c>
    </row>
    <row r="959" spans="1:4" x14ac:dyDescent="0.2">
      <c r="A959" s="137">
        <v>44020</v>
      </c>
      <c r="B959" s="136">
        <v>10705.75</v>
      </c>
      <c r="C959" s="138">
        <f t="shared" si="28"/>
        <v>-8.6947262179792872E-3</v>
      </c>
      <c r="D959" s="138">
        <f t="shared" si="29"/>
        <v>0.99130527378202071</v>
      </c>
    </row>
    <row r="960" spans="1:4" x14ac:dyDescent="0.2">
      <c r="A960" s="137">
        <v>44021</v>
      </c>
      <c r="B960" s="136">
        <v>10813.45</v>
      </c>
      <c r="C960" s="138">
        <f t="shared" si="28"/>
        <v>1.006001447820104E-2</v>
      </c>
      <c r="D960" s="138">
        <f t="shared" si="29"/>
        <v>1.010060014478201</v>
      </c>
    </row>
    <row r="961" spans="1:4" x14ac:dyDescent="0.2">
      <c r="A961" s="137">
        <v>44022</v>
      </c>
      <c r="B961" s="136">
        <v>10768.05</v>
      </c>
      <c r="C961" s="138">
        <f t="shared" si="28"/>
        <v>-4.1984750472792154E-3</v>
      </c>
      <c r="D961" s="138">
        <f t="shared" si="29"/>
        <v>0.99580152495272078</v>
      </c>
    </row>
    <row r="962" spans="1:4" x14ac:dyDescent="0.2">
      <c r="A962" s="137">
        <v>44025</v>
      </c>
      <c r="B962" s="136">
        <v>10802.7</v>
      </c>
      <c r="C962" s="138">
        <f t="shared" si="28"/>
        <v>3.2178528145765384E-3</v>
      </c>
      <c r="D962" s="138">
        <f t="shared" si="29"/>
        <v>1.0032178528145765</v>
      </c>
    </row>
    <row r="963" spans="1:4" x14ac:dyDescent="0.2">
      <c r="A963" s="137">
        <v>44026</v>
      </c>
      <c r="B963" s="136">
        <v>10607.35</v>
      </c>
      <c r="C963" s="138">
        <f t="shared" ref="C963:C988" si="30">B963/B962-1</f>
        <v>-1.8083442102437397E-2</v>
      </c>
      <c r="D963" s="138">
        <f t="shared" ref="D963:D988" si="31">1+C963</f>
        <v>0.9819165578975626</v>
      </c>
    </row>
    <row r="964" spans="1:4" x14ac:dyDescent="0.2">
      <c r="A964" s="137">
        <v>44027</v>
      </c>
      <c r="B964" s="136">
        <v>10618.2</v>
      </c>
      <c r="C964" s="138">
        <f t="shared" si="30"/>
        <v>1.0228756475463285E-3</v>
      </c>
      <c r="D964" s="138">
        <f t="shared" si="31"/>
        <v>1.0010228756475463</v>
      </c>
    </row>
    <row r="965" spans="1:4" x14ac:dyDescent="0.2">
      <c r="A965" s="137">
        <v>44028</v>
      </c>
      <c r="B965" s="136">
        <v>10739.95</v>
      </c>
      <c r="C965" s="138">
        <f t="shared" si="30"/>
        <v>1.1466161873010527E-2</v>
      </c>
      <c r="D965" s="138">
        <f t="shared" si="31"/>
        <v>1.0114661618730105</v>
      </c>
    </row>
    <row r="966" spans="1:4" x14ac:dyDescent="0.2">
      <c r="A966" s="137">
        <v>44029</v>
      </c>
      <c r="B966" s="136">
        <v>10901.7</v>
      </c>
      <c r="C966" s="138">
        <f t="shared" si="30"/>
        <v>1.5060591529755696E-2</v>
      </c>
      <c r="D966" s="138">
        <f t="shared" si="31"/>
        <v>1.0150605915297557</v>
      </c>
    </row>
    <row r="967" spans="1:4" x14ac:dyDescent="0.2">
      <c r="A967" s="137">
        <v>44032</v>
      </c>
      <c r="B967" s="136">
        <v>11022.2</v>
      </c>
      <c r="C967" s="138">
        <f t="shared" si="30"/>
        <v>1.1053321958960582E-2</v>
      </c>
      <c r="D967" s="138">
        <f t="shared" si="31"/>
        <v>1.0110533219589606</v>
      </c>
    </row>
    <row r="968" spans="1:4" x14ac:dyDescent="0.2">
      <c r="A968" s="137">
        <v>44033</v>
      </c>
      <c r="B968" s="136">
        <v>11162.25</v>
      </c>
      <c r="C968" s="138">
        <f t="shared" si="30"/>
        <v>1.2706174810836135E-2</v>
      </c>
      <c r="D968" s="138">
        <f t="shared" si="31"/>
        <v>1.0127061748108361</v>
      </c>
    </row>
    <row r="969" spans="1:4" x14ac:dyDescent="0.2">
      <c r="A969" s="137">
        <v>44034</v>
      </c>
      <c r="B969" s="136">
        <v>11132.6</v>
      </c>
      <c r="C969" s="138">
        <f t="shared" si="30"/>
        <v>-2.6562744966291962E-3</v>
      </c>
      <c r="D969" s="138">
        <f t="shared" si="31"/>
        <v>0.9973437255033708</v>
      </c>
    </row>
    <row r="970" spans="1:4" x14ac:dyDescent="0.2">
      <c r="A970" s="137">
        <v>44035</v>
      </c>
      <c r="B970" s="136">
        <v>11215.45</v>
      </c>
      <c r="C970" s="138">
        <f t="shared" si="30"/>
        <v>7.4421069651293692E-3</v>
      </c>
      <c r="D970" s="138">
        <f t="shared" si="31"/>
        <v>1.0074421069651294</v>
      </c>
    </row>
    <row r="971" spans="1:4" x14ac:dyDescent="0.2">
      <c r="A971" s="137">
        <v>44036</v>
      </c>
      <c r="B971" s="136">
        <v>11194.15</v>
      </c>
      <c r="C971" s="138">
        <f t="shared" si="30"/>
        <v>-1.8991658827778313E-3</v>
      </c>
      <c r="D971" s="138">
        <f t="shared" si="31"/>
        <v>0.99810083411722217</v>
      </c>
    </row>
    <row r="972" spans="1:4" x14ac:dyDescent="0.2">
      <c r="A972" s="137">
        <v>44039</v>
      </c>
      <c r="B972" s="136">
        <v>11131.8</v>
      </c>
      <c r="C972" s="138">
        <f t="shared" si="30"/>
        <v>-5.5698735500239183E-3</v>
      </c>
      <c r="D972" s="138">
        <f t="shared" si="31"/>
        <v>0.99443012644997608</v>
      </c>
    </row>
    <row r="973" spans="1:4" x14ac:dyDescent="0.2">
      <c r="A973" s="137">
        <v>44040</v>
      </c>
      <c r="B973" s="136">
        <v>11300.55</v>
      </c>
      <c r="C973" s="138">
        <f t="shared" si="30"/>
        <v>1.5159273432868048E-2</v>
      </c>
      <c r="D973" s="138">
        <f t="shared" si="31"/>
        <v>1.015159273432868</v>
      </c>
    </row>
    <row r="974" spans="1:4" x14ac:dyDescent="0.2">
      <c r="A974" s="137">
        <v>44041</v>
      </c>
      <c r="B974" s="136">
        <v>11202.85</v>
      </c>
      <c r="C974" s="138">
        <f t="shared" si="30"/>
        <v>-8.6455968957261931E-3</v>
      </c>
      <c r="D974" s="138">
        <f t="shared" si="31"/>
        <v>0.99135440310427381</v>
      </c>
    </row>
    <row r="975" spans="1:4" x14ac:dyDescent="0.2">
      <c r="A975" s="137">
        <v>44042</v>
      </c>
      <c r="B975" s="136">
        <v>11102.15</v>
      </c>
      <c r="C975" s="138">
        <f t="shared" si="30"/>
        <v>-8.9887841040450223E-3</v>
      </c>
      <c r="D975" s="138">
        <f t="shared" si="31"/>
        <v>0.99101121589595498</v>
      </c>
    </row>
    <row r="976" spans="1:4" x14ac:dyDescent="0.2">
      <c r="A976" s="137">
        <v>44043</v>
      </c>
      <c r="B976" s="136">
        <v>11073.45</v>
      </c>
      <c r="C976" s="138">
        <f t="shared" si="30"/>
        <v>-2.5850848709483287E-3</v>
      </c>
      <c r="D976" s="138">
        <f t="shared" si="31"/>
        <v>0.99741491512905167</v>
      </c>
    </row>
    <row r="977" spans="1:4" x14ac:dyDescent="0.2">
      <c r="A977" s="137">
        <v>44046</v>
      </c>
      <c r="B977" s="136">
        <v>10891.6</v>
      </c>
      <c r="C977" s="138">
        <f t="shared" si="30"/>
        <v>-1.6422162921221561E-2</v>
      </c>
      <c r="D977" s="138">
        <f t="shared" si="31"/>
        <v>0.98357783707877844</v>
      </c>
    </row>
    <row r="978" spans="1:4" x14ac:dyDescent="0.2">
      <c r="A978" s="137">
        <v>44047</v>
      </c>
      <c r="B978" s="136">
        <v>11095.25</v>
      </c>
      <c r="C978" s="138">
        <f t="shared" si="30"/>
        <v>1.8697895625986893E-2</v>
      </c>
      <c r="D978" s="138">
        <f t="shared" si="31"/>
        <v>1.0186978956259869</v>
      </c>
    </row>
    <row r="979" spans="1:4" x14ac:dyDescent="0.2">
      <c r="A979" s="137">
        <v>44048</v>
      </c>
      <c r="B979" s="136">
        <v>11101.65</v>
      </c>
      <c r="C979" s="138">
        <f t="shared" si="30"/>
        <v>5.7682341542553139E-4</v>
      </c>
      <c r="D979" s="138">
        <f t="shared" si="31"/>
        <v>1.0005768234154255</v>
      </c>
    </row>
    <row r="980" spans="1:4" x14ac:dyDescent="0.2">
      <c r="A980" s="137">
        <v>44049</v>
      </c>
      <c r="B980" s="136">
        <v>11200.15</v>
      </c>
      <c r="C980" s="138">
        <f t="shared" si="30"/>
        <v>8.8725549805659387E-3</v>
      </c>
      <c r="D980" s="138">
        <f t="shared" si="31"/>
        <v>1.0088725549805659</v>
      </c>
    </row>
    <row r="981" spans="1:4" x14ac:dyDescent="0.2">
      <c r="A981" s="137">
        <v>44050</v>
      </c>
      <c r="B981" s="136">
        <v>11214.05</v>
      </c>
      <c r="C981" s="138">
        <f t="shared" si="30"/>
        <v>1.2410548073016336E-3</v>
      </c>
      <c r="D981" s="138">
        <f t="shared" si="31"/>
        <v>1.0012410548073016</v>
      </c>
    </row>
    <row r="982" spans="1:4" x14ac:dyDescent="0.2">
      <c r="A982" s="137">
        <v>44053</v>
      </c>
      <c r="B982" s="136">
        <v>11270.15</v>
      </c>
      <c r="C982" s="138">
        <f t="shared" si="30"/>
        <v>5.0026529220041915E-3</v>
      </c>
      <c r="D982" s="138">
        <f t="shared" si="31"/>
        <v>1.0050026529220042</v>
      </c>
    </row>
    <row r="983" spans="1:4" x14ac:dyDescent="0.2">
      <c r="A983" s="137">
        <v>44054</v>
      </c>
      <c r="B983" s="136">
        <v>11322.5</v>
      </c>
      <c r="C983" s="138">
        <f t="shared" si="30"/>
        <v>4.6450135978670648E-3</v>
      </c>
      <c r="D983" s="138">
        <f t="shared" si="31"/>
        <v>1.0046450135978671</v>
      </c>
    </row>
    <row r="984" spans="1:4" x14ac:dyDescent="0.2">
      <c r="A984" s="137">
        <v>44055</v>
      </c>
      <c r="B984" s="136">
        <v>11308.4</v>
      </c>
      <c r="C984" s="138">
        <f t="shared" si="30"/>
        <v>-1.2453080150144347E-3</v>
      </c>
      <c r="D984" s="138">
        <f t="shared" si="31"/>
        <v>0.99875469198498557</v>
      </c>
    </row>
    <row r="985" spans="1:4" x14ac:dyDescent="0.2">
      <c r="A985" s="137">
        <v>44056</v>
      </c>
      <c r="B985" s="136">
        <v>11300.45</v>
      </c>
      <c r="C985" s="138">
        <f t="shared" si="30"/>
        <v>-7.0301722613264062E-4</v>
      </c>
      <c r="D985" s="138">
        <f t="shared" si="31"/>
        <v>0.99929698277386736</v>
      </c>
    </row>
    <row r="986" spans="1:4" x14ac:dyDescent="0.2">
      <c r="A986" s="137">
        <v>44057</v>
      </c>
      <c r="B986" s="136">
        <v>11178.4</v>
      </c>
      <c r="C986" s="138">
        <f t="shared" si="30"/>
        <v>-1.0800454849143271E-2</v>
      </c>
      <c r="D986" s="138">
        <f t="shared" si="31"/>
        <v>0.98919954515085673</v>
      </c>
    </row>
    <row r="987" spans="1:4" x14ac:dyDescent="0.2">
      <c r="A987" s="137">
        <v>44060</v>
      </c>
      <c r="B987" s="136">
        <v>11247.1</v>
      </c>
      <c r="C987" s="138">
        <f t="shared" si="30"/>
        <v>6.1457811493594861E-3</v>
      </c>
      <c r="D987" s="138">
        <f t="shared" si="31"/>
        <v>1.0061457811493595</v>
      </c>
    </row>
    <row r="988" spans="1:4" x14ac:dyDescent="0.2">
      <c r="A988" s="137">
        <v>44062</v>
      </c>
      <c r="B988" s="136">
        <v>11408.4</v>
      </c>
      <c r="C988" s="138">
        <f t="shared" si="30"/>
        <v>1.4341474691253575E-2</v>
      </c>
      <c r="D988" s="138">
        <f t="shared" si="31"/>
        <v>1.0143414746912536</v>
      </c>
    </row>
    <row r="990" spans="1:4" x14ac:dyDescent="0.2">
      <c r="A990" s="458"/>
      <c r="B990" s="138">
        <f>RATE(COUNT(A2:A988)/365,0,-B2,B988)</f>
        <v>0.10877045455427255</v>
      </c>
      <c r="C990" s="138">
        <f>((B988/B2)^(365/COUNT(B2:B988)))-1</f>
        <v>0.10877045455427248</v>
      </c>
      <c r="D990" s="138">
        <f>PRODUCT(D3:D988)^(365/COUNT(D3:D988))-1</f>
        <v>0.10888656858246537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2:R33"/>
  <sheetViews>
    <sheetView topLeftCell="A13" zoomScale="90" zoomScaleNormal="90" workbookViewId="0">
      <pane xSplit="1" topLeftCell="B1" activePane="topRight" state="frozen"/>
      <selection pane="topRight" activeCell="H26" sqref="H26"/>
    </sheetView>
  </sheetViews>
  <sheetFormatPr defaultRowHeight="15" x14ac:dyDescent="0.25"/>
  <cols>
    <col min="1" max="1" width="23" bestFit="1" customWidth="1"/>
    <col min="2" max="2" width="21.140625" style="39" bestFit="1" customWidth="1"/>
    <col min="3" max="3" width="19" style="39" bestFit="1" customWidth="1"/>
    <col min="4" max="4" width="19.140625" style="39" bestFit="1" customWidth="1"/>
    <col min="5" max="6" width="21.140625" style="39" bestFit="1" customWidth="1"/>
    <col min="7" max="7" width="19.140625" style="39" bestFit="1" customWidth="1"/>
    <col min="8" max="8" width="21.140625" style="39" bestFit="1" customWidth="1"/>
    <col min="9" max="9" width="19" bestFit="1" customWidth="1"/>
    <col min="10" max="10" width="23" bestFit="1" customWidth="1"/>
    <col min="11" max="11" width="21.140625" bestFit="1" customWidth="1"/>
    <col min="12" max="12" width="19" bestFit="1" customWidth="1"/>
    <col min="13" max="13" width="19.140625" bestFit="1" customWidth="1"/>
    <col min="14" max="14" width="21.140625" bestFit="1" customWidth="1"/>
    <col min="15" max="15" width="19" bestFit="1" customWidth="1"/>
    <col min="16" max="16" width="19.140625" bestFit="1" customWidth="1"/>
    <col min="17" max="17" width="21.140625" bestFit="1" customWidth="1"/>
    <col min="19" max="19" width="15.140625" bestFit="1" customWidth="1"/>
    <col min="20" max="20" width="21.140625" bestFit="1" customWidth="1"/>
    <col min="21" max="21" width="7.85546875" bestFit="1" customWidth="1"/>
    <col min="22" max="22" width="19.140625" bestFit="1" customWidth="1"/>
    <col min="23" max="23" width="19" bestFit="1" customWidth="1"/>
    <col min="24" max="24" width="21.140625" bestFit="1" customWidth="1"/>
    <col min="25" max="25" width="7.85546875" bestFit="1" customWidth="1"/>
    <col min="26" max="26" width="19.140625" bestFit="1" customWidth="1"/>
    <col min="27" max="27" width="19" bestFit="1" customWidth="1"/>
    <col min="28" max="28" width="21.140625" bestFit="1" customWidth="1"/>
  </cols>
  <sheetData>
    <row r="2" spans="1:18" x14ac:dyDescent="0.25">
      <c r="A2" s="51" t="s">
        <v>119</v>
      </c>
    </row>
    <row r="3" spans="1:18" ht="15.75" thickBot="1" x14ac:dyDescent="0.3">
      <c r="A3" s="52"/>
      <c r="B3" s="57" t="s">
        <v>124</v>
      </c>
      <c r="C3" s="54" t="s">
        <v>114</v>
      </c>
      <c r="D3" s="54" t="s">
        <v>120</v>
      </c>
      <c r="E3" s="57" t="s">
        <v>121</v>
      </c>
      <c r="F3" s="54" t="s">
        <v>114</v>
      </c>
      <c r="G3" s="54" t="s">
        <v>120</v>
      </c>
      <c r="H3" s="57" t="s">
        <v>122</v>
      </c>
      <c r="I3" s="43"/>
      <c r="R3" s="43"/>
    </row>
    <row r="4" spans="1:18" x14ac:dyDescent="0.25">
      <c r="A4" s="53" t="s">
        <v>115</v>
      </c>
      <c r="B4" s="58">
        <v>19039</v>
      </c>
      <c r="C4" s="55">
        <v>12364</v>
      </c>
      <c r="D4" s="55">
        <v>0</v>
      </c>
      <c r="E4" s="58">
        <f t="shared" ref="E4:E11" si="0">SUM(B4:D4)</f>
        <v>31403</v>
      </c>
      <c r="F4" s="55">
        <v>8382</v>
      </c>
      <c r="G4" s="55">
        <v>-1366</v>
      </c>
      <c r="H4" s="58">
        <f t="shared" ref="H4:H11" si="1">SUM(E4:G4)</f>
        <v>38419</v>
      </c>
      <c r="I4" s="38"/>
      <c r="R4" s="38"/>
    </row>
    <row r="5" spans="1:18" x14ac:dyDescent="0.25">
      <c r="A5" s="53" t="s">
        <v>116</v>
      </c>
      <c r="B5" s="58">
        <v>525</v>
      </c>
      <c r="C5" s="55">
        <v>0</v>
      </c>
      <c r="D5" s="55">
        <v>0</v>
      </c>
      <c r="E5" s="58">
        <f t="shared" si="0"/>
        <v>525</v>
      </c>
      <c r="F5" s="55">
        <v>0</v>
      </c>
      <c r="G5" s="55">
        <v>0</v>
      </c>
      <c r="H5" s="58">
        <f t="shared" si="1"/>
        <v>525</v>
      </c>
      <c r="I5" s="38"/>
      <c r="R5" s="38"/>
    </row>
    <row r="6" spans="1:18" x14ac:dyDescent="0.25">
      <c r="A6" s="53" t="s">
        <v>112</v>
      </c>
      <c r="B6" s="58">
        <v>18280</v>
      </c>
      <c r="C6" s="55">
        <v>1491</v>
      </c>
      <c r="D6" s="55">
        <v>-7</v>
      </c>
      <c r="E6" s="58">
        <f t="shared" si="0"/>
        <v>19764</v>
      </c>
      <c r="F6" s="55">
        <v>3516</v>
      </c>
      <c r="G6" s="55">
        <v>-25</v>
      </c>
      <c r="H6" s="58">
        <f t="shared" si="1"/>
        <v>23255</v>
      </c>
      <c r="I6" s="38"/>
      <c r="R6" s="38"/>
    </row>
    <row r="7" spans="1:18" x14ac:dyDescent="0.25">
      <c r="A7" s="53" t="s">
        <v>117</v>
      </c>
      <c r="B7" s="58">
        <v>138833</v>
      </c>
      <c r="C7" s="55">
        <v>12949</v>
      </c>
      <c r="D7" s="55">
        <v>-1013</v>
      </c>
      <c r="E7" s="58">
        <f t="shared" si="0"/>
        <v>150769</v>
      </c>
      <c r="F7" s="55">
        <v>36707</v>
      </c>
      <c r="G7" s="55">
        <v>-2040</v>
      </c>
      <c r="H7" s="58">
        <f t="shared" si="1"/>
        <v>185436</v>
      </c>
      <c r="I7" s="38"/>
      <c r="R7" s="38"/>
    </row>
    <row r="8" spans="1:18" x14ac:dyDescent="0.25">
      <c r="A8" s="53" t="s">
        <v>111</v>
      </c>
      <c r="B8" s="58">
        <v>1344</v>
      </c>
      <c r="C8" s="55">
        <v>382</v>
      </c>
      <c r="D8" s="55">
        <v>-9</v>
      </c>
      <c r="E8" s="58">
        <f t="shared" si="0"/>
        <v>1717</v>
      </c>
      <c r="F8" s="55">
        <v>396</v>
      </c>
      <c r="G8" s="55">
        <v>-40</v>
      </c>
      <c r="H8" s="58">
        <f t="shared" si="1"/>
        <v>2073</v>
      </c>
      <c r="I8" s="38"/>
      <c r="R8" s="38"/>
    </row>
    <row r="9" spans="1:18" x14ac:dyDescent="0.25">
      <c r="A9" s="53" t="s">
        <v>118</v>
      </c>
      <c r="B9" s="58">
        <v>1391</v>
      </c>
      <c r="C9" s="55">
        <v>664</v>
      </c>
      <c r="D9" s="55">
        <v>-2</v>
      </c>
      <c r="E9" s="58">
        <f t="shared" si="0"/>
        <v>2053</v>
      </c>
      <c r="F9" s="55">
        <v>500</v>
      </c>
      <c r="G9" s="55">
        <v>134</v>
      </c>
      <c r="H9" s="58">
        <f t="shared" si="1"/>
        <v>2687</v>
      </c>
      <c r="I9" s="38"/>
      <c r="R9" s="38"/>
    </row>
    <row r="10" spans="1:18" x14ac:dyDescent="0.25">
      <c r="A10" s="53" t="s">
        <v>113</v>
      </c>
      <c r="B10" s="58">
        <v>1295</v>
      </c>
      <c r="C10" s="55">
        <v>692</v>
      </c>
      <c r="D10" s="55">
        <v>-377</v>
      </c>
      <c r="E10" s="58">
        <f t="shared" si="0"/>
        <v>1610</v>
      </c>
      <c r="F10" s="55">
        <v>736</v>
      </c>
      <c r="G10" s="55">
        <v>-518</v>
      </c>
      <c r="H10" s="58">
        <f t="shared" si="1"/>
        <v>1828</v>
      </c>
      <c r="I10" s="38"/>
      <c r="R10" s="38"/>
    </row>
    <row r="11" spans="1:18" ht="15.75" thickBot="1" x14ac:dyDescent="0.3">
      <c r="A11" s="53" t="s">
        <v>12</v>
      </c>
      <c r="B11" s="59">
        <v>180707</v>
      </c>
      <c r="C11" s="56">
        <v>28542</v>
      </c>
      <c r="D11" s="56">
        <v>-1408</v>
      </c>
      <c r="E11" s="59">
        <f t="shared" si="0"/>
        <v>207841</v>
      </c>
      <c r="F11" s="56">
        <v>50237</v>
      </c>
      <c r="G11" s="56">
        <v>-3855</v>
      </c>
      <c r="H11" s="59">
        <f t="shared" si="1"/>
        <v>254223</v>
      </c>
      <c r="I11" s="38"/>
      <c r="R11" s="38"/>
    </row>
    <row r="12" spans="1:18" x14ac:dyDescent="0.25">
      <c r="A12" s="52"/>
      <c r="B12" s="60"/>
      <c r="E12" s="60"/>
      <c r="H12" s="60"/>
    </row>
    <row r="13" spans="1:18" x14ac:dyDescent="0.25">
      <c r="A13" s="51" t="s">
        <v>123</v>
      </c>
      <c r="B13" s="60"/>
      <c r="E13" s="60"/>
      <c r="H13" s="60"/>
    </row>
    <row r="14" spans="1:18" ht="15.75" thickBot="1" x14ac:dyDescent="0.3">
      <c r="A14" s="52"/>
      <c r="B14" s="57" t="s">
        <v>124</v>
      </c>
      <c r="C14" s="54" t="s">
        <v>125</v>
      </c>
      <c r="D14" s="54" t="s">
        <v>120</v>
      </c>
      <c r="E14" s="57" t="s">
        <v>121</v>
      </c>
      <c r="F14" s="54" t="s">
        <v>125</v>
      </c>
      <c r="G14" s="54" t="s">
        <v>120</v>
      </c>
      <c r="H14" s="57" t="s">
        <v>122</v>
      </c>
    </row>
    <row r="15" spans="1:18" x14ac:dyDescent="0.25">
      <c r="A15" s="53" t="s">
        <v>115</v>
      </c>
      <c r="B15" s="58">
        <v>0</v>
      </c>
      <c r="C15" s="55">
        <v>0</v>
      </c>
      <c r="D15" s="55">
        <v>0</v>
      </c>
      <c r="E15" s="58">
        <f t="shared" ref="E15:E22" si="2">SUM(B15:D15)</f>
        <v>0</v>
      </c>
      <c r="F15" s="55">
        <v>0</v>
      </c>
      <c r="G15" s="55">
        <v>0</v>
      </c>
      <c r="H15" s="58">
        <f t="shared" ref="H15:H22" si="3">SUM(E15:G15)</f>
        <v>0</v>
      </c>
    </row>
    <row r="16" spans="1:18" x14ac:dyDescent="0.25">
      <c r="A16" s="53" t="s">
        <v>116</v>
      </c>
      <c r="B16" s="58">
        <v>0</v>
      </c>
      <c r="C16" s="55">
        <v>0</v>
      </c>
      <c r="D16" s="55">
        <v>0</v>
      </c>
      <c r="E16" s="58">
        <f t="shared" si="2"/>
        <v>0</v>
      </c>
      <c r="F16" s="55">
        <v>0</v>
      </c>
      <c r="G16" s="55">
        <v>0</v>
      </c>
      <c r="H16" s="58">
        <f t="shared" si="3"/>
        <v>0</v>
      </c>
    </row>
    <row r="17" spans="1:8" x14ac:dyDescent="0.25">
      <c r="A17" s="53" t="s">
        <v>112</v>
      </c>
      <c r="B17" s="58">
        <v>1671</v>
      </c>
      <c r="C17" s="55">
        <v>1194</v>
      </c>
      <c r="D17" s="55">
        <v>-1</v>
      </c>
      <c r="E17" s="58">
        <f t="shared" si="2"/>
        <v>2864</v>
      </c>
      <c r="F17" s="55">
        <v>1580</v>
      </c>
      <c r="G17" s="55">
        <v>-15</v>
      </c>
      <c r="H17" s="58">
        <f t="shared" si="3"/>
        <v>4429</v>
      </c>
    </row>
    <row r="18" spans="1:8" x14ac:dyDescent="0.25">
      <c r="A18" s="53" t="s">
        <v>117</v>
      </c>
      <c r="B18" s="58">
        <v>48444</v>
      </c>
      <c r="C18" s="55">
        <v>24384</v>
      </c>
      <c r="D18" s="55">
        <v>-498</v>
      </c>
      <c r="E18" s="58">
        <f t="shared" si="2"/>
        <v>72330</v>
      </c>
      <c r="F18" s="55">
        <v>26258</v>
      </c>
      <c r="G18" s="55">
        <v>-1448</v>
      </c>
      <c r="H18" s="58">
        <f t="shared" si="3"/>
        <v>97140</v>
      </c>
    </row>
    <row r="19" spans="1:8" x14ac:dyDescent="0.25">
      <c r="A19" s="53" t="s">
        <v>111</v>
      </c>
      <c r="B19" s="58">
        <v>736</v>
      </c>
      <c r="C19" s="55">
        <v>423</v>
      </c>
      <c r="D19" s="55">
        <v>-12</v>
      </c>
      <c r="E19" s="58">
        <f t="shared" si="2"/>
        <v>1147</v>
      </c>
      <c r="F19" s="55">
        <v>446</v>
      </c>
      <c r="G19" s="55">
        <v>-39</v>
      </c>
      <c r="H19" s="58">
        <f t="shared" si="3"/>
        <v>1554</v>
      </c>
    </row>
    <row r="20" spans="1:8" x14ac:dyDescent="0.25">
      <c r="A20" s="53" t="s">
        <v>118</v>
      </c>
      <c r="B20" s="58">
        <v>416</v>
      </c>
      <c r="C20" s="55">
        <v>259</v>
      </c>
      <c r="D20" s="55">
        <v>-9</v>
      </c>
      <c r="E20" s="58">
        <f t="shared" si="2"/>
        <v>666</v>
      </c>
      <c r="F20" s="55">
        <v>405</v>
      </c>
      <c r="G20" s="55">
        <v>21</v>
      </c>
      <c r="H20" s="58">
        <f t="shared" si="3"/>
        <v>1092</v>
      </c>
    </row>
    <row r="21" spans="1:8" x14ac:dyDescent="0.25">
      <c r="A21" s="53" t="s">
        <v>113</v>
      </c>
      <c r="B21" s="58">
        <v>243</v>
      </c>
      <c r="C21" s="55">
        <v>196</v>
      </c>
      <c r="D21" s="55">
        <v>-78</v>
      </c>
      <c r="E21" s="58">
        <f t="shared" si="2"/>
        <v>361</v>
      </c>
      <c r="F21" s="55">
        <v>222</v>
      </c>
      <c r="G21" s="55">
        <v>-142</v>
      </c>
      <c r="H21" s="58">
        <f t="shared" si="3"/>
        <v>441</v>
      </c>
    </row>
    <row r="22" spans="1:8" ht="15.75" thickBot="1" x14ac:dyDescent="0.3">
      <c r="A22" s="53" t="s">
        <v>12</v>
      </c>
      <c r="B22" s="59">
        <v>51510</v>
      </c>
      <c r="C22" s="56">
        <v>26456</v>
      </c>
      <c r="D22" s="56">
        <v>-598</v>
      </c>
      <c r="E22" s="59">
        <f t="shared" si="2"/>
        <v>77368</v>
      </c>
      <c r="F22" s="56">
        <v>28911</v>
      </c>
      <c r="G22" s="56">
        <v>-1623</v>
      </c>
      <c r="H22" s="59">
        <f t="shared" si="3"/>
        <v>104656</v>
      </c>
    </row>
    <row r="23" spans="1:8" x14ac:dyDescent="0.25">
      <c r="A23" s="52"/>
      <c r="B23" s="60"/>
      <c r="E23" s="60"/>
      <c r="H23" s="60"/>
    </row>
    <row r="24" spans="1:8" x14ac:dyDescent="0.25">
      <c r="A24" s="51" t="s">
        <v>126</v>
      </c>
      <c r="B24" s="60"/>
      <c r="E24" s="60"/>
      <c r="H24" s="60"/>
    </row>
    <row r="25" spans="1:8" ht="15.75" thickBot="1" x14ac:dyDescent="0.3">
      <c r="A25" s="52"/>
      <c r="B25" s="57" t="s">
        <v>124</v>
      </c>
      <c r="C25" s="54" t="s">
        <v>114</v>
      </c>
      <c r="D25" s="54" t="s">
        <v>120</v>
      </c>
      <c r="E25" s="57" t="s">
        <v>121</v>
      </c>
      <c r="F25" s="54" t="s">
        <v>114</v>
      </c>
      <c r="G25" s="54" t="s">
        <v>120</v>
      </c>
      <c r="H25" s="57" t="s">
        <v>122</v>
      </c>
    </row>
    <row r="26" spans="1:8" x14ac:dyDescent="0.25">
      <c r="A26" s="53" t="s">
        <v>115</v>
      </c>
      <c r="B26" s="58">
        <f t="shared" ref="B26:B33" si="4">B4-B15</f>
        <v>19039</v>
      </c>
      <c r="C26" s="55">
        <f t="shared" ref="C26:C33" si="5">C4</f>
        <v>12364</v>
      </c>
      <c r="D26" s="55">
        <f t="shared" ref="D26:D33" si="6">D4-D15</f>
        <v>0</v>
      </c>
      <c r="E26" s="58">
        <f t="shared" ref="E26:E33" si="7">SUM(B26:D26)-C15</f>
        <v>31403</v>
      </c>
      <c r="F26" s="55">
        <f t="shared" ref="F26:F33" si="8">F4</f>
        <v>8382</v>
      </c>
      <c r="G26" s="55">
        <f t="shared" ref="G26:G33" si="9">G4-G15</f>
        <v>-1366</v>
      </c>
      <c r="H26" s="58">
        <f t="shared" ref="H26:H33" si="10">SUM(E26:G26)-F15</f>
        <v>38419</v>
      </c>
    </row>
    <row r="27" spans="1:8" x14ac:dyDescent="0.25">
      <c r="A27" s="53" t="s">
        <v>116</v>
      </c>
      <c r="B27" s="58">
        <f t="shared" si="4"/>
        <v>525</v>
      </c>
      <c r="C27" s="55">
        <f t="shared" si="5"/>
        <v>0</v>
      </c>
      <c r="D27" s="55">
        <f t="shared" si="6"/>
        <v>0</v>
      </c>
      <c r="E27" s="58">
        <f t="shared" si="7"/>
        <v>525</v>
      </c>
      <c r="F27" s="55">
        <f t="shared" si="8"/>
        <v>0</v>
      </c>
      <c r="G27" s="55">
        <f t="shared" si="9"/>
        <v>0</v>
      </c>
      <c r="H27" s="58">
        <f t="shared" si="10"/>
        <v>525</v>
      </c>
    </row>
    <row r="28" spans="1:8" x14ac:dyDescent="0.25">
      <c r="A28" s="53" t="s">
        <v>112</v>
      </c>
      <c r="B28" s="58">
        <f t="shared" si="4"/>
        <v>16609</v>
      </c>
      <c r="C28" s="55">
        <f t="shared" si="5"/>
        <v>1491</v>
      </c>
      <c r="D28" s="55">
        <f t="shared" si="6"/>
        <v>-6</v>
      </c>
      <c r="E28" s="58">
        <f t="shared" si="7"/>
        <v>16900</v>
      </c>
      <c r="F28" s="55">
        <f t="shared" si="8"/>
        <v>3516</v>
      </c>
      <c r="G28" s="55">
        <f t="shared" si="9"/>
        <v>-10</v>
      </c>
      <c r="H28" s="58">
        <f t="shared" si="10"/>
        <v>18826</v>
      </c>
    </row>
    <row r="29" spans="1:8" x14ac:dyDescent="0.25">
      <c r="A29" s="53" t="s">
        <v>117</v>
      </c>
      <c r="B29" s="58">
        <f t="shared" si="4"/>
        <v>90389</v>
      </c>
      <c r="C29" s="55">
        <f t="shared" si="5"/>
        <v>12949</v>
      </c>
      <c r="D29" s="55">
        <f t="shared" si="6"/>
        <v>-515</v>
      </c>
      <c r="E29" s="58">
        <f t="shared" si="7"/>
        <v>78439</v>
      </c>
      <c r="F29" s="55">
        <f t="shared" si="8"/>
        <v>36707</v>
      </c>
      <c r="G29" s="55">
        <f t="shared" si="9"/>
        <v>-592</v>
      </c>
      <c r="H29" s="58">
        <f t="shared" si="10"/>
        <v>88296</v>
      </c>
    </row>
    <row r="30" spans="1:8" x14ac:dyDescent="0.25">
      <c r="A30" s="53" t="s">
        <v>111</v>
      </c>
      <c r="B30" s="58">
        <f t="shared" si="4"/>
        <v>608</v>
      </c>
      <c r="C30" s="55">
        <f t="shared" si="5"/>
        <v>382</v>
      </c>
      <c r="D30" s="55">
        <f t="shared" si="6"/>
        <v>3</v>
      </c>
      <c r="E30" s="58">
        <f t="shared" si="7"/>
        <v>570</v>
      </c>
      <c r="F30" s="55">
        <f t="shared" si="8"/>
        <v>396</v>
      </c>
      <c r="G30" s="55">
        <f t="shared" si="9"/>
        <v>-1</v>
      </c>
      <c r="H30" s="58">
        <f t="shared" si="10"/>
        <v>519</v>
      </c>
    </row>
    <row r="31" spans="1:8" x14ac:dyDescent="0.25">
      <c r="A31" s="53" t="s">
        <v>118</v>
      </c>
      <c r="B31" s="58">
        <f t="shared" si="4"/>
        <v>975</v>
      </c>
      <c r="C31" s="55">
        <f t="shared" si="5"/>
        <v>664</v>
      </c>
      <c r="D31" s="55">
        <f t="shared" si="6"/>
        <v>7</v>
      </c>
      <c r="E31" s="58">
        <f t="shared" si="7"/>
        <v>1387</v>
      </c>
      <c r="F31" s="55">
        <f t="shared" si="8"/>
        <v>500</v>
      </c>
      <c r="G31" s="55">
        <f t="shared" si="9"/>
        <v>113</v>
      </c>
      <c r="H31" s="58">
        <f t="shared" si="10"/>
        <v>1595</v>
      </c>
    </row>
    <row r="32" spans="1:8" x14ac:dyDescent="0.25">
      <c r="A32" s="53" t="s">
        <v>113</v>
      </c>
      <c r="B32" s="58">
        <f t="shared" si="4"/>
        <v>1052</v>
      </c>
      <c r="C32" s="55">
        <f t="shared" si="5"/>
        <v>692</v>
      </c>
      <c r="D32" s="55">
        <f t="shared" si="6"/>
        <v>-299</v>
      </c>
      <c r="E32" s="58">
        <f t="shared" si="7"/>
        <v>1249</v>
      </c>
      <c r="F32" s="55">
        <f t="shared" si="8"/>
        <v>736</v>
      </c>
      <c r="G32" s="55">
        <f t="shared" si="9"/>
        <v>-376</v>
      </c>
      <c r="H32" s="58">
        <f t="shared" si="10"/>
        <v>1387</v>
      </c>
    </row>
    <row r="33" spans="1:8" ht="15.75" thickBot="1" x14ac:dyDescent="0.3">
      <c r="A33" s="53" t="s">
        <v>12</v>
      </c>
      <c r="B33" s="59">
        <f t="shared" si="4"/>
        <v>129197</v>
      </c>
      <c r="C33" s="56">
        <f t="shared" si="5"/>
        <v>28542</v>
      </c>
      <c r="D33" s="56">
        <f t="shared" si="6"/>
        <v>-810</v>
      </c>
      <c r="E33" s="59">
        <f t="shared" si="7"/>
        <v>130473</v>
      </c>
      <c r="F33" s="56">
        <f t="shared" si="8"/>
        <v>50237</v>
      </c>
      <c r="G33" s="56">
        <f t="shared" si="9"/>
        <v>-2232</v>
      </c>
      <c r="H33" s="59">
        <f t="shared" si="10"/>
        <v>149567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7" tint="0.59999389629810485"/>
  </sheetPr>
  <dimension ref="B2:L20"/>
  <sheetViews>
    <sheetView showGridLines="0" workbookViewId="0"/>
  </sheetViews>
  <sheetFormatPr defaultColWidth="9.140625" defaultRowHeight="12" x14ac:dyDescent="0.2"/>
  <cols>
    <col min="1" max="1" width="2" style="441" customWidth="1"/>
    <col min="2" max="2" width="25.85546875" style="441" customWidth="1"/>
    <col min="3" max="3" width="9.85546875" style="441" customWidth="1"/>
    <col min="4" max="16" width="11.140625" style="441" bestFit="1" customWidth="1"/>
    <col min="17" max="16384" width="9.140625" style="441"/>
  </cols>
  <sheetData>
    <row r="2" spans="2:12" ht="15.75" x14ac:dyDescent="0.2">
      <c r="B2" s="235" t="s">
        <v>285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</row>
    <row r="3" spans="2:12" ht="12.75" x14ac:dyDescent="0.2">
      <c r="B3" s="66"/>
      <c r="C3" s="168">
        <v>5</v>
      </c>
      <c r="D3" s="168">
        <f t="shared" ref="D3:L3" si="0">C3+1</f>
        <v>6</v>
      </c>
      <c r="E3" s="168">
        <f t="shared" si="0"/>
        <v>7</v>
      </c>
      <c r="F3" s="168">
        <f t="shared" si="0"/>
        <v>8</v>
      </c>
      <c r="G3" s="168">
        <f t="shared" si="0"/>
        <v>9</v>
      </c>
      <c r="H3" s="168">
        <f t="shared" si="0"/>
        <v>10</v>
      </c>
      <c r="I3" s="168">
        <f t="shared" si="0"/>
        <v>11</v>
      </c>
      <c r="J3" s="168">
        <f t="shared" si="0"/>
        <v>12</v>
      </c>
      <c r="K3" s="168">
        <f t="shared" si="0"/>
        <v>13</v>
      </c>
      <c r="L3" s="168">
        <f t="shared" si="0"/>
        <v>14</v>
      </c>
    </row>
    <row r="4" spans="2:12" ht="13.5" thickBot="1" x14ac:dyDescent="0.25">
      <c r="B4" s="279" t="s">
        <v>231</v>
      </c>
      <c r="C4" s="281" t="s">
        <v>97</v>
      </c>
      <c r="D4" s="282" t="s">
        <v>98</v>
      </c>
      <c r="E4" s="282" t="s">
        <v>98</v>
      </c>
      <c r="F4" s="282" t="s">
        <v>98</v>
      </c>
      <c r="G4" s="282" t="s">
        <v>98</v>
      </c>
      <c r="H4" s="282" t="s">
        <v>98</v>
      </c>
      <c r="I4" s="282" t="s">
        <v>98</v>
      </c>
      <c r="J4" s="282" t="s">
        <v>98</v>
      </c>
      <c r="K4" s="282" t="s">
        <v>98</v>
      </c>
      <c r="L4" s="282" t="s">
        <v>98</v>
      </c>
    </row>
    <row r="5" spans="2:12" ht="12.75" x14ac:dyDescent="0.2">
      <c r="B5" s="89"/>
      <c r="C5" s="213"/>
      <c r="D5" s="213"/>
      <c r="E5" s="213"/>
      <c r="F5" s="213"/>
      <c r="G5" s="213"/>
      <c r="H5" s="213"/>
      <c r="I5" s="213"/>
      <c r="J5" s="213"/>
      <c r="K5" s="213"/>
      <c r="L5" s="213"/>
    </row>
    <row r="6" spans="2:12" ht="12.75" x14ac:dyDescent="0.2">
      <c r="B6" s="443" t="s">
        <v>227</v>
      </c>
      <c r="C6" s="445">
        <f>'DCF Valuation'!C11</f>
        <v>83872.099418334867</v>
      </c>
      <c r="D6" s="445">
        <f>'DCF Valuation'!D11</f>
        <v>131121.14098986381</v>
      </c>
      <c r="E6" s="445">
        <f>'DCF Valuation'!E11</f>
        <v>140132.37068281049</v>
      </c>
      <c r="F6" s="445">
        <f>'DCF Valuation'!F11</f>
        <v>140746.98245565611</v>
      </c>
      <c r="G6" s="445">
        <f>'DCF Valuation'!G11</f>
        <v>167477.01362062999</v>
      </c>
      <c r="H6" s="445">
        <f>'DCF Valuation'!H11</f>
        <v>189850.84545069528</v>
      </c>
      <c r="I6" s="445">
        <f>'DCF Valuation'!I11</f>
        <v>218136.8000953153</v>
      </c>
      <c r="J6" s="445">
        <f>'DCF Valuation'!J11</f>
        <v>249750.6318286591</v>
      </c>
      <c r="K6" s="445">
        <f>'DCF Valuation'!K11</f>
        <v>286289.21796362638</v>
      </c>
      <c r="L6" s="445">
        <f>'DCF Valuation'!L11</f>
        <v>328138.32842975913</v>
      </c>
    </row>
    <row r="7" spans="2:12" ht="12.75" x14ac:dyDescent="0.2">
      <c r="B7" s="444" t="s">
        <v>303</v>
      </c>
      <c r="C7" s="446">
        <f t="shared" ref="C7:L7" si="1">IF(C$6&lt;0,-C$6*$C17,0)</f>
        <v>0</v>
      </c>
      <c r="D7" s="446">
        <f t="shared" si="1"/>
        <v>0</v>
      </c>
      <c r="E7" s="446">
        <f t="shared" si="1"/>
        <v>0</v>
      </c>
      <c r="F7" s="446">
        <f t="shared" si="1"/>
        <v>0</v>
      </c>
      <c r="G7" s="446">
        <f t="shared" si="1"/>
        <v>0</v>
      </c>
      <c r="H7" s="446">
        <f t="shared" si="1"/>
        <v>0</v>
      </c>
      <c r="I7" s="446">
        <f t="shared" si="1"/>
        <v>0</v>
      </c>
      <c r="J7" s="446">
        <f t="shared" si="1"/>
        <v>0</v>
      </c>
      <c r="K7" s="446">
        <f t="shared" si="1"/>
        <v>0</v>
      </c>
      <c r="L7" s="446">
        <f t="shared" si="1"/>
        <v>0</v>
      </c>
    </row>
    <row r="8" spans="2:12" ht="12.75" x14ac:dyDescent="0.2">
      <c r="B8" s="444" t="s">
        <v>172</v>
      </c>
      <c r="C8" s="446">
        <f t="shared" ref="C8:L8" si="2">IF(C$6&lt;0,-C$6*$C18,0)</f>
        <v>0</v>
      </c>
      <c r="D8" s="446">
        <f t="shared" si="2"/>
        <v>0</v>
      </c>
      <c r="E8" s="446">
        <f t="shared" si="2"/>
        <v>0</v>
      </c>
      <c r="F8" s="446">
        <f t="shared" si="2"/>
        <v>0</v>
      </c>
      <c r="G8" s="446">
        <f t="shared" si="2"/>
        <v>0</v>
      </c>
      <c r="H8" s="446">
        <f t="shared" si="2"/>
        <v>0</v>
      </c>
      <c r="I8" s="446">
        <f t="shared" si="2"/>
        <v>0</v>
      </c>
      <c r="J8" s="446">
        <f t="shared" si="2"/>
        <v>0</v>
      </c>
      <c r="K8" s="446">
        <f t="shared" si="2"/>
        <v>0</v>
      </c>
      <c r="L8" s="446">
        <f t="shared" si="2"/>
        <v>0</v>
      </c>
    </row>
    <row r="9" spans="2:12" ht="12.75" x14ac:dyDescent="0.2">
      <c r="B9" s="89"/>
      <c r="C9" s="213"/>
      <c r="D9" s="213"/>
      <c r="E9" s="213"/>
      <c r="F9" s="213"/>
      <c r="G9" s="213"/>
      <c r="H9" s="213"/>
      <c r="I9" s="213"/>
      <c r="J9" s="213"/>
      <c r="K9" s="213"/>
      <c r="L9" s="213"/>
    </row>
    <row r="10" spans="2:12" ht="12.75" x14ac:dyDescent="0.2">
      <c r="B10" s="89" t="s">
        <v>305</v>
      </c>
      <c r="C10" s="442">
        <f>-C7*$C$14</f>
        <v>0</v>
      </c>
      <c r="D10" s="442">
        <f t="shared" ref="D10:L10" si="3">-D7*$C$14</f>
        <v>0</v>
      </c>
      <c r="E10" s="442">
        <f t="shared" si="3"/>
        <v>0</v>
      </c>
      <c r="F10" s="442">
        <f t="shared" si="3"/>
        <v>0</v>
      </c>
      <c r="G10" s="442">
        <f t="shared" si="3"/>
        <v>0</v>
      </c>
      <c r="H10" s="442">
        <f t="shared" si="3"/>
        <v>0</v>
      </c>
      <c r="I10" s="442">
        <f t="shared" si="3"/>
        <v>0</v>
      </c>
      <c r="J10" s="442">
        <f t="shared" si="3"/>
        <v>0</v>
      </c>
      <c r="K10" s="442">
        <f t="shared" si="3"/>
        <v>0</v>
      </c>
      <c r="L10" s="442">
        <f t="shared" si="3"/>
        <v>0</v>
      </c>
    </row>
    <row r="11" spans="2:12" ht="12.75" x14ac:dyDescent="0.2">
      <c r="B11" s="89"/>
      <c r="C11" s="213"/>
      <c r="D11" s="213"/>
      <c r="E11" s="213"/>
      <c r="F11" s="213"/>
      <c r="G11" s="213"/>
      <c r="H11" s="213"/>
      <c r="I11" s="213"/>
      <c r="J11" s="213"/>
      <c r="K11" s="213"/>
      <c r="L11" s="213"/>
    </row>
    <row r="13" spans="2:12" ht="12.75" x14ac:dyDescent="0.2">
      <c r="B13" s="370" t="s">
        <v>280</v>
      </c>
      <c r="C13" s="371"/>
    </row>
    <row r="14" spans="2:12" ht="12.75" x14ac:dyDescent="0.2">
      <c r="B14" s="127" t="s">
        <v>282</v>
      </c>
      <c r="C14" s="218">
        <f>Assumptions!D16</f>
        <v>0.11</v>
      </c>
    </row>
    <row r="15" spans="2:12" ht="12.75" x14ac:dyDescent="0.2">
      <c r="B15" s="89"/>
      <c r="C15" s="89"/>
    </row>
    <row r="16" spans="2:12" ht="15" x14ac:dyDescent="0.35">
      <c r="B16" s="373" t="s">
        <v>283</v>
      </c>
      <c r="C16" s="89"/>
    </row>
    <row r="17" spans="2:3" ht="12.75" x14ac:dyDescent="0.2">
      <c r="B17" s="89" t="s">
        <v>284</v>
      </c>
      <c r="C17" s="218">
        <v>0.5</v>
      </c>
    </row>
    <row r="18" spans="2:3" ht="12.75" x14ac:dyDescent="0.2">
      <c r="B18" s="89" t="s">
        <v>172</v>
      </c>
      <c r="C18" s="218">
        <v>0.5</v>
      </c>
    </row>
    <row r="19" spans="2:3" ht="12.75" x14ac:dyDescent="0.2">
      <c r="B19" s="89"/>
      <c r="C19" s="89"/>
    </row>
    <row r="20" spans="2:3" x14ac:dyDescent="0.2">
      <c r="B20" s="293"/>
      <c r="C20" s="293"/>
    </row>
  </sheetData>
  <conditionalFormatting sqref="C17:C18">
    <cfRule type="expression" dxfId="0" priority="3">
      <formula>SUM(#REF!)&gt;100%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7" tint="0.59999389629810485"/>
  </sheetPr>
  <dimension ref="A2:AE16"/>
  <sheetViews>
    <sheetView showGridLines="0" zoomScale="85" zoomScaleNormal="85" workbookViewId="0">
      <selection activeCell="R21" sqref="R21"/>
    </sheetView>
  </sheetViews>
  <sheetFormatPr defaultRowHeight="15" x14ac:dyDescent="0.25"/>
  <cols>
    <col min="1" max="16" width="8.85546875" style="61"/>
    <col min="17" max="17" width="13.5703125" customWidth="1"/>
    <col min="18" max="31" width="11" bestFit="1" customWidth="1"/>
  </cols>
  <sheetData>
    <row r="2" spans="17:31" x14ac:dyDescent="0.25">
      <c r="Q2" s="74" t="s">
        <v>142</v>
      </c>
      <c r="R2" s="33">
        <v>1</v>
      </c>
      <c r="S2" s="33">
        <f>R2+1</f>
        <v>2</v>
      </c>
      <c r="T2" s="33">
        <f t="shared" ref="T2:AE2" si="0">S2+1</f>
        <v>3</v>
      </c>
      <c r="U2" s="33">
        <f t="shared" si="0"/>
        <v>4</v>
      </c>
      <c r="V2" s="168">
        <f t="shared" si="0"/>
        <v>5</v>
      </c>
      <c r="W2" s="168">
        <f t="shared" si="0"/>
        <v>6</v>
      </c>
      <c r="X2" s="168">
        <f t="shared" si="0"/>
        <v>7</v>
      </c>
      <c r="Y2" s="168">
        <f t="shared" si="0"/>
        <v>8</v>
      </c>
      <c r="Z2" s="168">
        <f t="shared" si="0"/>
        <v>9</v>
      </c>
      <c r="AA2" s="168">
        <f t="shared" si="0"/>
        <v>10</v>
      </c>
      <c r="AB2" s="168">
        <f t="shared" si="0"/>
        <v>11</v>
      </c>
      <c r="AC2" s="168">
        <f t="shared" si="0"/>
        <v>12</v>
      </c>
      <c r="AD2" s="168">
        <f t="shared" si="0"/>
        <v>13</v>
      </c>
      <c r="AE2" s="168">
        <f t="shared" si="0"/>
        <v>14</v>
      </c>
    </row>
    <row r="3" spans="17:31" x14ac:dyDescent="0.25">
      <c r="Q3" s="78" t="s">
        <v>57</v>
      </c>
      <c r="R3" s="198">
        <v>1170702</v>
      </c>
      <c r="S3" s="198">
        <v>1305351</v>
      </c>
      <c r="T3" s="198">
        <v>1414541</v>
      </c>
      <c r="U3" s="198">
        <v>1653500</v>
      </c>
      <c r="V3" s="174">
        <v>1683941.785667191</v>
      </c>
      <c r="W3" s="174">
        <v>1825674.0041528419</v>
      </c>
      <c r="X3" s="174">
        <v>1979708.1320308743</v>
      </c>
      <c r="Y3" s="174">
        <v>2147143.4912618026</v>
      </c>
      <c r="Z3" s="174">
        <v>2329180.3977731601</v>
      </c>
      <c r="AA3" s="174">
        <v>2527129.6877273316</v>
      </c>
      <c r="AB3" s="174">
        <v>2742423.1653062282</v>
      </c>
      <c r="AC3" s="174">
        <v>2976625.063336188</v>
      </c>
      <c r="AD3" s="174">
        <v>3231444.6173393321</v>
      </c>
      <c r="AE3" s="174">
        <v>3508749.8638212569</v>
      </c>
    </row>
    <row r="4" spans="17:31" x14ac:dyDescent="0.25">
      <c r="Q4" s="78" t="s">
        <v>58</v>
      </c>
      <c r="R4" s="198">
        <v>121713</v>
      </c>
      <c r="S4" s="198">
        <v>123897</v>
      </c>
      <c r="T4" s="198">
        <v>124062</v>
      </c>
      <c r="U4" s="198">
        <v>126074</v>
      </c>
      <c r="V4" s="174">
        <v>128395.08720060808</v>
      </c>
      <c r="W4" s="174">
        <v>139201.7081339978</v>
      </c>
      <c r="X4" s="174">
        <v>150946.30966898121</v>
      </c>
      <c r="Y4" s="174">
        <v>163712.71153150318</v>
      </c>
      <c r="Z4" s="174">
        <v>177592.43390919466</v>
      </c>
      <c r="AA4" s="174">
        <v>192685.42379832818</v>
      </c>
      <c r="AB4" s="174">
        <v>209100.85161343659</v>
      </c>
      <c r="AC4" s="174">
        <v>226957.98502270729</v>
      </c>
      <c r="AD4" s="174">
        <v>246387.14767852367</v>
      </c>
      <c r="AE4" s="174">
        <v>267530.77129204787</v>
      </c>
    </row>
    <row r="5" spans="17:31" ht="15.75" thickBot="1" x14ac:dyDescent="0.3">
      <c r="Q5" s="188" t="s">
        <v>12</v>
      </c>
      <c r="R5" s="190">
        <v>1292415</v>
      </c>
      <c r="S5" s="190">
        <v>1429248</v>
      </c>
      <c r="T5" s="190">
        <v>1538603</v>
      </c>
      <c r="U5" s="190">
        <v>1779574</v>
      </c>
      <c r="V5" s="191">
        <v>1812336.8728677991</v>
      </c>
      <c r="W5" s="191">
        <v>1964875.7122868397</v>
      </c>
      <c r="X5" s="191">
        <v>2130654.4416998555</v>
      </c>
      <c r="Y5" s="191">
        <v>2310856.2027933057</v>
      </c>
      <c r="Z5" s="191">
        <v>2506772.8316823547</v>
      </c>
      <c r="AA5" s="191">
        <v>2719815.1115256599</v>
      </c>
      <c r="AB5" s="191">
        <v>2951524.0169196646</v>
      </c>
      <c r="AC5" s="191">
        <v>3203583.0483588949</v>
      </c>
      <c r="AD5" s="191">
        <v>3477831.7650178554</v>
      </c>
      <c r="AE5" s="191">
        <v>3776280.6351133045</v>
      </c>
    </row>
    <row r="7" spans="17:31" x14ac:dyDescent="0.25">
      <c r="Q7" s="74" t="s">
        <v>62</v>
      </c>
      <c r="R7" s="33">
        <v>1</v>
      </c>
      <c r="S7" s="33">
        <f>R7+1</f>
        <v>2</v>
      </c>
      <c r="T7" s="33">
        <f t="shared" ref="T7" si="1">S7+1</f>
        <v>3</v>
      </c>
      <c r="U7" s="33">
        <f t="shared" ref="U7" si="2">T7+1</f>
        <v>4</v>
      </c>
      <c r="V7" s="168">
        <f t="shared" ref="V7" si="3">U7+1</f>
        <v>5</v>
      </c>
      <c r="W7" s="168">
        <f t="shared" ref="W7" si="4">V7+1</f>
        <v>6</v>
      </c>
      <c r="X7" s="168">
        <f t="shared" ref="X7" si="5">W7+1</f>
        <v>7</v>
      </c>
      <c r="Y7" s="168">
        <f t="shared" ref="Y7" si="6">X7+1</f>
        <v>8</v>
      </c>
      <c r="Z7" s="168">
        <f t="shared" ref="Z7" si="7">Y7+1</f>
        <v>9</v>
      </c>
      <c r="AA7" s="168">
        <f t="shared" ref="AA7" si="8">Z7+1</f>
        <v>10</v>
      </c>
      <c r="AB7" s="168">
        <f t="shared" ref="AB7" si="9">AA7+1</f>
        <v>11</v>
      </c>
      <c r="AC7" s="168">
        <f t="shared" ref="AC7" si="10">AB7+1</f>
        <v>12</v>
      </c>
      <c r="AD7" s="168">
        <f t="shared" ref="AD7" si="11">AC7+1</f>
        <v>13</v>
      </c>
      <c r="AE7" s="168">
        <f t="shared" ref="AE7" si="12">AD7+1</f>
        <v>14</v>
      </c>
    </row>
    <row r="8" spans="17:31" x14ac:dyDescent="0.25">
      <c r="Q8" s="78" t="s">
        <v>63</v>
      </c>
      <c r="R8" s="198">
        <v>2601236</v>
      </c>
      <c r="S8" s="198">
        <v>2789208</v>
      </c>
      <c r="T8" s="198">
        <v>3046727</v>
      </c>
      <c r="U8" s="198">
        <v>3288000</v>
      </c>
      <c r="V8" s="178">
        <v>3555183.2952591106</v>
      </c>
      <c r="W8" s="178">
        <v>3844800.1754439236</v>
      </c>
      <c r="X8" s="178">
        <v>4158793.2207009876</v>
      </c>
      <c r="Y8" s="178">
        <v>4499278.2052505678</v>
      </c>
      <c r="Z8" s="178">
        <v>4868559.9729109546</v>
      </c>
      <c r="AA8" s="178">
        <v>5269149.8067949172</v>
      </c>
      <c r="AB8" s="178">
        <v>5703784.4374048021</v>
      </c>
      <c r="AC8" s="178">
        <v>6175446.8476156518</v>
      </c>
      <c r="AD8" s="178">
        <v>6687389.048742149</v>
      </c>
      <c r="AE8" s="178">
        <v>7243157.0191847971</v>
      </c>
    </row>
    <row r="9" spans="17:31" x14ac:dyDescent="0.25">
      <c r="Q9" s="78" t="s">
        <v>58</v>
      </c>
      <c r="R9" s="198">
        <v>621341</v>
      </c>
      <c r="S9" s="198">
        <v>653053</v>
      </c>
      <c r="T9" s="198">
        <v>758830</v>
      </c>
      <c r="U9" s="198">
        <v>747000</v>
      </c>
      <c r="V9" s="178">
        <v>807701.31434262637</v>
      </c>
      <c r="W9" s="178">
        <v>873499.30993205926</v>
      </c>
      <c r="X9" s="178">
        <v>944835.3211264105</v>
      </c>
      <c r="Y9" s="178">
        <v>1022190.0302074738</v>
      </c>
      <c r="Z9" s="178">
        <v>1106087.0741376164</v>
      </c>
      <c r="AA9" s="178">
        <v>1197096.9907773123</v>
      </c>
      <c r="AB9" s="178">
        <v>1295841.5373301054</v>
      </c>
      <c r="AC9" s="178">
        <v>1402998.4170221689</v>
      </c>
      <c r="AD9" s="178">
        <v>1519306.4535919661</v>
      </c>
      <c r="AE9" s="178">
        <v>1645571.2570958158</v>
      </c>
    </row>
    <row r="10" spans="17:31" ht="15.75" thickBot="1" x14ac:dyDescent="0.3">
      <c r="Q10" s="188" t="s">
        <v>12</v>
      </c>
      <c r="R10" s="190">
        <v>3222577</v>
      </c>
      <c r="S10" s="190">
        <v>3442261</v>
      </c>
      <c r="T10" s="190">
        <v>3805557</v>
      </c>
      <c r="U10" s="190">
        <v>4035000</v>
      </c>
      <c r="V10" s="191">
        <v>4362884.609601737</v>
      </c>
      <c r="W10" s="191">
        <v>4718299.4853759827</v>
      </c>
      <c r="X10" s="191">
        <v>5103628.5418273984</v>
      </c>
      <c r="Y10" s="191">
        <v>5521468.2354580415</v>
      </c>
      <c r="Z10" s="191">
        <v>5974647.0470485715</v>
      </c>
      <c r="AA10" s="191">
        <v>6466246.79757223</v>
      </c>
      <c r="AB10" s="191">
        <v>6999625.974734908</v>
      </c>
      <c r="AC10" s="191">
        <v>7578445.2646378214</v>
      </c>
      <c r="AD10" s="191">
        <v>8206695.502334116</v>
      </c>
      <c r="AE10" s="191">
        <v>8888728.2762806136</v>
      </c>
    </row>
    <row r="11" spans="17:31" ht="25.5" x14ac:dyDescent="0.25">
      <c r="Q11" s="158" t="s">
        <v>146</v>
      </c>
      <c r="R11" s="67" t="s">
        <v>140</v>
      </c>
      <c r="S11" s="160">
        <v>7.2262570562609429E-2</v>
      </c>
      <c r="T11" s="160">
        <v>9.2326925779647739E-2</v>
      </c>
      <c r="U11" s="160">
        <v>7.919088254379214E-2</v>
      </c>
      <c r="V11" s="180">
        <v>8.1260126295349774E-2</v>
      </c>
      <c r="W11" s="180">
        <v>8.146327661108814E-2</v>
      </c>
      <c r="X11" s="180">
        <v>8.1666934802615859E-2</v>
      </c>
      <c r="Y11" s="180">
        <v>8.1871102139622398E-2</v>
      </c>
      <c r="Z11" s="180">
        <v>8.2075779894971446E-2</v>
      </c>
      <c r="AA11" s="180">
        <v>8.2280969344708868E-2</v>
      </c>
      <c r="AB11" s="180">
        <v>8.2486671768070632E-2</v>
      </c>
      <c r="AC11" s="180">
        <v>8.26928884474908E-2</v>
      </c>
      <c r="AD11" s="180">
        <v>8.2899620668609522E-2</v>
      </c>
      <c r="AE11" s="180">
        <v>8.3106869720281043E-2</v>
      </c>
    </row>
    <row r="12" spans="17:31" x14ac:dyDescent="0.25">
      <c r="R12" s="33">
        <v>1</v>
      </c>
      <c r="S12" s="33">
        <f>R12+1</f>
        <v>2</v>
      </c>
      <c r="T12" s="33">
        <f t="shared" ref="T12" si="13">S12+1</f>
        <v>3</v>
      </c>
      <c r="U12" s="33">
        <f t="shared" ref="U12" si="14">T12+1</f>
        <v>4</v>
      </c>
      <c r="V12" s="168">
        <f t="shared" ref="V12" si="15">U12+1</f>
        <v>5</v>
      </c>
      <c r="W12" s="168">
        <f t="shared" ref="W12" si="16">V12+1</f>
        <v>6</v>
      </c>
      <c r="X12" s="168">
        <f t="shared" ref="X12" si="17">W12+1</f>
        <v>7</v>
      </c>
      <c r="Y12" s="168">
        <f t="shared" ref="Y12" si="18">X12+1</f>
        <v>8</v>
      </c>
      <c r="Z12" s="168">
        <f t="shared" ref="Z12" si="19">Y12+1</f>
        <v>9</v>
      </c>
      <c r="AA12" s="168">
        <f t="shared" ref="AA12" si="20">Z12+1</f>
        <v>10</v>
      </c>
      <c r="AB12" s="168">
        <f t="shared" ref="AB12" si="21">AA12+1</f>
        <v>11</v>
      </c>
      <c r="AC12" s="168">
        <f t="shared" ref="AC12" si="22">AB12+1</f>
        <v>12</v>
      </c>
      <c r="AD12" s="168">
        <f t="shared" ref="AD12" si="23">AC12+1</f>
        <v>13</v>
      </c>
      <c r="AE12" s="168">
        <f t="shared" ref="AE12" si="24">AD12+1</f>
        <v>14</v>
      </c>
    </row>
    <row r="13" spans="17:31" ht="15.75" thickBot="1" x14ac:dyDescent="0.3">
      <c r="Q13" s="188" t="s">
        <v>143</v>
      </c>
      <c r="R13" s="195">
        <v>575890</v>
      </c>
      <c r="S13" s="195">
        <v>680850</v>
      </c>
      <c r="T13" s="195">
        <v>797627</v>
      </c>
      <c r="U13" s="195">
        <v>860203</v>
      </c>
      <c r="V13" s="196">
        <v>902245.74104647909</v>
      </c>
      <c r="W13" s="196">
        <v>1007519.6992605433</v>
      </c>
      <c r="X13" s="196">
        <v>1125370.7946932942</v>
      </c>
      <c r="Y13" s="196">
        <v>1257336.1095105258</v>
      </c>
      <c r="Z13" s="196">
        <v>1405144.7224453748</v>
      </c>
      <c r="AA13" s="196">
        <v>1570742.2010942148</v>
      </c>
      <c r="AB13" s="196">
        <v>1756318.2827497972</v>
      </c>
      <c r="AC13" s="196">
        <v>1964338.1671124075</v>
      </c>
      <c r="AD13" s="196">
        <v>2197577.9015069664</v>
      </c>
      <c r="AE13" s="196">
        <v>2459164.4044178631</v>
      </c>
    </row>
    <row r="14" spans="17:31" x14ac:dyDescent="0.25">
      <c r="Q14" s="158" t="s">
        <v>72</v>
      </c>
      <c r="R14" s="161" t="s">
        <v>140</v>
      </c>
      <c r="S14" s="162">
        <v>0.18225702825192314</v>
      </c>
      <c r="T14" s="162">
        <v>0.17151648674451048</v>
      </c>
      <c r="U14" s="162">
        <v>7.8452710352081789E-2</v>
      </c>
      <c r="V14" s="181">
        <v>4.8875371332672835E-2</v>
      </c>
      <c r="W14" s="181">
        <v>0.11667991703896674</v>
      </c>
      <c r="X14" s="181">
        <v>0.11697150489389552</v>
      </c>
      <c r="Y14" s="181">
        <v>0.11726385244713677</v>
      </c>
      <c r="Z14" s="181">
        <v>0.11755696175177066</v>
      </c>
      <c r="AA14" s="181">
        <v>0.11785083486678194</v>
      </c>
      <c r="AB14" s="181">
        <v>0.11814547385707597</v>
      </c>
      <c r="AC14" s="181">
        <v>0.11844088079349824</v>
      </c>
      <c r="AD14" s="181">
        <v>0.11873705775285281</v>
      </c>
      <c r="AE14" s="181">
        <v>0.11903400681792276</v>
      </c>
    </row>
    <row r="15" spans="17:31" ht="25.5" x14ac:dyDescent="0.25">
      <c r="Q15" s="79" t="s">
        <v>66</v>
      </c>
      <c r="R15" s="163">
        <v>445592.16660283267</v>
      </c>
      <c r="S15" s="163">
        <v>476369.39145620633</v>
      </c>
      <c r="T15" s="163">
        <v>518409.88221133064</v>
      </c>
      <c r="U15" s="163">
        <v>483375.79667943006</v>
      </c>
      <c r="V15" s="182">
        <v>497835.5594668152</v>
      </c>
      <c r="W15" s="182">
        <v>512765.10415405955</v>
      </c>
      <c r="X15" s="182">
        <v>528180.8127438362</v>
      </c>
      <c r="Y15" s="182">
        <v>544099.67525919143</v>
      </c>
      <c r="Z15" s="182">
        <v>560539.31360918283</v>
      </c>
      <c r="AA15" s="182">
        <v>577518.00644019467</v>
      </c>
      <c r="AB15" s="182">
        <v>595054.71501558891</v>
      </c>
      <c r="AC15" s="182">
        <v>613169.11016827938</v>
      </c>
      <c r="AD15" s="182">
        <v>631881.60037283576</v>
      </c>
      <c r="AE15" s="182">
        <v>651213.36098583625</v>
      </c>
    </row>
    <row r="16" spans="17:31" x14ac:dyDescent="0.25">
      <c r="Q16" s="158" t="s">
        <v>52</v>
      </c>
      <c r="R16" s="164" t="s">
        <v>140</v>
      </c>
      <c r="S16" s="165">
        <v>6.9070390280909333E-2</v>
      </c>
      <c r="T16" s="165">
        <v>8.8251872410633592E-2</v>
      </c>
      <c r="U16" s="165">
        <v>-6.757989524130803E-2</v>
      </c>
      <c r="V16" s="183">
        <v>2.9914122483411631E-2</v>
      </c>
      <c r="W16" s="183">
        <v>2.998890778962016E-2</v>
      </c>
      <c r="X16" s="183">
        <v>3.006388005909421E-2</v>
      </c>
      <c r="Y16" s="183">
        <v>3.0139039759241943E-2</v>
      </c>
      <c r="Z16" s="183">
        <v>3.0214387358640047E-2</v>
      </c>
      <c r="AA16" s="183">
        <v>3.0289923327036644E-2</v>
      </c>
      <c r="AB16" s="183">
        <v>3.0365648135354233E-2</v>
      </c>
      <c r="AC16" s="183">
        <v>3.0441562255692618E-2</v>
      </c>
      <c r="AD16" s="183">
        <v>3.051766616133185E-2</v>
      </c>
      <c r="AE16" s="183">
        <v>3.0593960326735177E-2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00000000-0003-0000-0D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Charts!R12:AE12</xm:f>
              <xm:sqref>AF12</xm:sqref>
            </x14:sparkline>
            <x14:sparkline>
              <xm:f>Charts!R13:AE13</xm:f>
              <xm:sqref>AF13</xm:sqref>
            </x14:sparkline>
            <x14:sparkline>
              <xm:f>Charts!R14:AE14</xm:f>
              <xm:sqref>AF14</xm:sqref>
            </x14:sparkline>
            <x14:sparkline>
              <xm:f>Charts!R15:AE15</xm:f>
              <xm:sqref>AF15</xm:sqref>
            </x14:sparkline>
            <x14:sparkline>
              <xm:f>Charts!R16:AE16</xm:f>
              <xm:sqref>AF16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9" tint="0.59999389629810485"/>
  </sheetPr>
  <dimension ref="A1:P21"/>
  <sheetViews>
    <sheetView showGridLines="0"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2.75" x14ac:dyDescent="0.2"/>
  <cols>
    <col min="1" max="1" width="2" style="219" customWidth="1"/>
    <col min="2" max="2" width="22.42578125" style="219" bestFit="1" customWidth="1"/>
    <col min="3" max="11" width="9.85546875" style="219" customWidth="1"/>
    <col min="12" max="14" width="10.85546875" style="219" bestFit="1" customWidth="1"/>
    <col min="15" max="15" width="11.85546875" style="219" bestFit="1" customWidth="1"/>
    <col min="16" max="16" width="12" style="219" bestFit="1" customWidth="1"/>
    <col min="17" max="16384" width="9.140625" style="219"/>
  </cols>
  <sheetData>
    <row r="1" spans="1:16" x14ac:dyDescent="0.2">
      <c r="B1" s="233"/>
      <c r="C1" s="233"/>
    </row>
    <row r="2" spans="1:16" ht="15.75" x14ac:dyDescent="0.2">
      <c r="B2" s="235" t="s">
        <v>154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1:16" x14ac:dyDescent="0.2">
      <c r="A3" s="79"/>
      <c r="B3" s="66"/>
      <c r="C3" s="33">
        <v>1</v>
      </c>
      <c r="D3" s="33">
        <f>C3+1</f>
        <v>2</v>
      </c>
      <c r="E3" s="33">
        <f t="shared" ref="E3:P3" si="0">D3+1</f>
        <v>3</v>
      </c>
      <c r="F3" s="33">
        <f t="shared" si="0"/>
        <v>4</v>
      </c>
      <c r="G3" s="168">
        <f t="shared" si="0"/>
        <v>5</v>
      </c>
      <c r="H3" s="168">
        <f t="shared" si="0"/>
        <v>6</v>
      </c>
      <c r="I3" s="168">
        <f t="shared" si="0"/>
        <v>7</v>
      </c>
      <c r="J3" s="168">
        <f t="shared" si="0"/>
        <v>8</v>
      </c>
      <c r="K3" s="168">
        <f t="shared" si="0"/>
        <v>9</v>
      </c>
      <c r="L3" s="168">
        <f t="shared" si="0"/>
        <v>10</v>
      </c>
      <c r="M3" s="168">
        <f t="shared" si="0"/>
        <v>11</v>
      </c>
      <c r="N3" s="168">
        <f t="shared" si="0"/>
        <v>12</v>
      </c>
      <c r="O3" s="168">
        <f t="shared" si="0"/>
        <v>13</v>
      </c>
      <c r="P3" s="168">
        <f t="shared" si="0"/>
        <v>14</v>
      </c>
    </row>
    <row r="4" spans="1:16" ht="13.5" thickBot="1" x14ac:dyDescent="0.25">
      <c r="A4" s="79"/>
      <c r="B4" s="279" t="s">
        <v>231</v>
      </c>
      <c r="C4" s="280" t="s">
        <v>96</v>
      </c>
      <c r="D4" s="280" t="s">
        <v>96</v>
      </c>
      <c r="E4" s="280" t="s">
        <v>96</v>
      </c>
      <c r="F4" s="280" t="s">
        <v>96</v>
      </c>
      <c r="G4" s="281" t="s">
        <v>97</v>
      </c>
      <c r="H4" s="282" t="s">
        <v>98</v>
      </c>
      <c r="I4" s="282" t="s">
        <v>98</v>
      </c>
      <c r="J4" s="282" t="s">
        <v>98</v>
      </c>
      <c r="K4" s="282" t="s">
        <v>98</v>
      </c>
      <c r="L4" s="282" t="s">
        <v>98</v>
      </c>
      <c r="M4" s="282" t="s">
        <v>98</v>
      </c>
      <c r="N4" s="282" t="s">
        <v>98</v>
      </c>
      <c r="O4" s="282" t="s">
        <v>98</v>
      </c>
      <c r="P4" s="282" t="s">
        <v>98</v>
      </c>
    </row>
    <row r="5" spans="1:16" x14ac:dyDescent="0.2">
      <c r="A5" s="79"/>
      <c r="B5" s="234"/>
      <c r="C5" s="103"/>
      <c r="D5" s="103"/>
      <c r="E5" s="103"/>
      <c r="F5" s="103"/>
      <c r="G5" s="169"/>
      <c r="H5" s="170"/>
      <c r="I5" s="170"/>
      <c r="J5" s="170"/>
      <c r="K5" s="170"/>
      <c r="L5" s="170"/>
      <c r="M5" s="170"/>
      <c r="N5" s="170"/>
      <c r="O5" s="170"/>
      <c r="P5" s="170"/>
    </row>
    <row r="6" spans="1:16" x14ac:dyDescent="0.2">
      <c r="B6" s="222" t="s">
        <v>219</v>
      </c>
      <c r="C6" s="223">
        <f>'P&amp;L Input'!C6</f>
        <v>575890</v>
      </c>
      <c r="D6" s="223">
        <f>'P&amp;L Input'!D6</f>
        <v>680850</v>
      </c>
      <c r="E6" s="223">
        <f>'P&amp;L Input'!E6</f>
        <v>798094</v>
      </c>
      <c r="F6" s="223">
        <f>'P&amp;L Input'!F6</f>
        <v>860685</v>
      </c>
      <c r="G6" s="224">
        <f>'Revenue Build up'!H45</f>
        <v>977866.96690716466</v>
      </c>
      <c r="H6" s="224">
        <f>'Revenue Build up'!I45</f>
        <v>1113888.1262070334</v>
      </c>
      <c r="I6" s="224">
        <f>'Revenue Build up'!J45</f>
        <v>1269220.5945420125</v>
      </c>
      <c r="J6" s="224">
        <f>'Revenue Build up'!K45</f>
        <v>1446660.7351810592</v>
      </c>
      <c r="K6" s="224">
        <f>'Revenue Build up'!L45</f>
        <v>1649417.648623907</v>
      </c>
      <c r="L6" s="224">
        <f>'Revenue Build up'!M45</f>
        <v>1881175.2300772297</v>
      </c>
      <c r="M6" s="224">
        <f>'Revenue Build up'!N45</f>
        <v>2146163.726754196</v>
      </c>
      <c r="N6" s="224">
        <f>'Revenue Build up'!O45</f>
        <v>2449242.2748375363</v>
      </c>
      <c r="O6" s="224">
        <f>'Revenue Build up'!P45</f>
        <v>2795994.1304141795</v>
      </c>
      <c r="P6" s="224">
        <f>'Revenue Build up'!Q45</f>
        <v>3192836.5809256211</v>
      </c>
    </row>
    <row r="7" spans="1:16" x14ac:dyDescent="0.2">
      <c r="B7" s="222" t="s">
        <v>220</v>
      </c>
      <c r="C7" s="223">
        <f>-SUM('P&amp;L Input'!C12:C14)</f>
        <v>-387060</v>
      </c>
      <c r="D7" s="223">
        <f>-SUM('P&amp;L Input'!D12:D14)</f>
        <v>-467422</v>
      </c>
      <c r="E7" s="223">
        <f>-SUM('P&amp;L Input'!E12:E14)</f>
        <v>-549861</v>
      </c>
      <c r="F7" s="223">
        <f>-SUM('P&amp;L Input'!F12:F14)</f>
        <v>-602639</v>
      </c>
      <c r="G7" s="224">
        <f>-'Cost Build up'!H11</f>
        <v>-671742.70324359462</v>
      </c>
      <c r="H7" s="224">
        <f>-'Cost Build up'!I11</f>
        <v>-765182.01997950382</v>
      </c>
      <c r="I7" s="224">
        <f>-'Cost Build up'!J11</f>
        <v>-871887.18102084717</v>
      </c>
      <c r="J7" s="224">
        <f>-'Cost Build up'!K11</f>
        <v>-993779.13950860407</v>
      </c>
      <c r="K7" s="224">
        <f>-'Cost Build up'!L11</f>
        <v>-1133062.3771541156</v>
      </c>
      <c r="L7" s="224">
        <f>-'Cost Build up'!M11</f>
        <v>-1292267.5344313348</v>
      </c>
      <c r="M7" s="224">
        <f>-'Cost Build up'!N11</f>
        <v>-1474300.5666435179</v>
      </c>
      <c r="N7" s="224">
        <f>-'Cost Build up'!O11</f>
        <v>-1682499.4424359701</v>
      </c>
      <c r="O7" s="224">
        <f>-'Cost Build up'!P11</f>
        <v>-1920699.5623934942</v>
      </c>
      <c r="P7" s="224">
        <f>-'Cost Build up'!Q11</f>
        <v>-2193309.2623729352</v>
      </c>
    </row>
    <row r="8" spans="1:16" x14ac:dyDescent="0.2">
      <c r="B8" s="225" t="s">
        <v>221</v>
      </c>
      <c r="C8" s="226">
        <f>SUM(C6:C7)</f>
        <v>188830</v>
      </c>
      <c r="D8" s="226">
        <f t="shared" ref="D8:F8" si="1">SUM(D6:D7)</f>
        <v>213428</v>
      </c>
      <c r="E8" s="226">
        <f t="shared" si="1"/>
        <v>248233</v>
      </c>
      <c r="F8" s="226">
        <f t="shared" si="1"/>
        <v>258046</v>
      </c>
      <c r="G8" s="227">
        <f t="shared" ref="G8" si="2">SUM(G6:G7)</f>
        <v>306124.26366357005</v>
      </c>
      <c r="H8" s="227">
        <f t="shared" ref="H8:P8" si="3">SUM(H6:H7)</f>
        <v>348706.10622752958</v>
      </c>
      <c r="I8" s="227">
        <f t="shared" si="3"/>
        <v>397333.41352116538</v>
      </c>
      <c r="J8" s="227">
        <f t="shared" si="3"/>
        <v>452881.59567245515</v>
      </c>
      <c r="K8" s="227">
        <f t="shared" si="3"/>
        <v>516355.27146979142</v>
      </c>
      <c r="L8" s="227">
        <f t="shared" si="3"/>
        <v>588907.69564589486</v>
      </c>
      <c r="M8" s="227">
        <f t="shared" si="3"/>
        <v>671863.16011067806</v>
      </c>
      <c r="N8" s="227">
        <f t="shared" si="3"/>
        <v>766742.83240156621</v>
      </c>
      <c r="O8" s="227">
        <f t="shared" si="3"/>
        <v>875294.56802068534</v>
      </c>
      <c r="P8" s="227">
        <f t="shared" si="3"/>
        <v>999527.3185526859</v>
      </c>
    </row>
    <row r="9" spans="1:16" x14ac:dyDescent="0.2">
      <c r="B9" s="222" t="s">
        <v>222</v>
      </c>
      <c r="C9" s="223">
        <f>-SUM('P&amp;L Input'!C15:C17)</f>
        <v>-99943</v>
      </c>
      <c r="D9" s="223">
        <f>-SUM('P&amp;L Input'!D15:D17)</f>
        <v>-109847</v>
      </c>
      <c r="E9" s="223">
        <f>-SUM('P&amp;L Input'!E15:E17)</f>
        <v>-127599</v>
      </c>
      <c r="F9" s="223">
        <f>-SUM('P&amp;L Input'!F15:F17)</f>
        <v>-148014</v>
      </c>
      <c r="G9" s="224">
        <f>-'Cost Build up'!H13</f>
        <v>-162994.61032517499</v>
      </c>
      <c r="H9" s="224">
        <f>-'Cost Build up'!I13</f>
        <v>-185667.1379862566</v>
      </c>
      <c r="I9" s="224">
        <f>-'Cost Build up'!J13</f>
        <v>-211558.54858087498</v>
      </c>
      <c r="J9" s="224">
        <f>-'Cost Build up'!K13</f>
        <v>-241134.9506460563</v>
      </c>
      <c r="K9" s="224">
        <f>-'Cost Build up'!L13</f>
        <v>-274931.24934083538</v>
      </c>
      <c r="L9" s="224">
        <f>-'Cost Build up'!M13</f>
        <v>-313561.4904240027</v>
      </c>
      <c r="M9" s="224">
        <f>-'Cost Build up'!N13</f>
        <v>-357730.78769878886</v>
      </c>
      <c r="N9" s="224">
        <f>-'Cost Build up'!O13</f>
        <v>-408249.08058990532</v>
      </c>
      <c r="O9" s="224">
        <f>-'Cost Build up'!P13</f>
        <v>-466047.00760037161</v>
      </c>
      <c r="P9" s="224">
        <f>-'Cost Build up'!Q13</f>
        <v>-532194.2267729165</v>
      </c>
    </row>
    <row r="10" spans="1:16" x14ac:dyDescent="0.2">
      <c r="B10" s="225" t="s">
        <v>189</v>
      </c>
      <c r="C10" s="226">
        <f>SUM(C8:C9)</f>
        <v>88887</v>
      </c>
      <c r="D10" s="226">
        <f t="shared" ref="D10:F10" si="4">SUM(D8:D9)</f>
        <v>103581</v>
      </c>
      <c r="E10" s="226">
        <f t="shared" si="4"/>
        <v>120634</v>
      </c>
      <c r="F10" s="226">
        <f t="shared" si="4"/>
        <v>110032</v>
      </c>
      <c r="G10" s="227">
        <f>SUM(G6:G7)</f>
        <v>306124.26366357005</v>
      </c>
      <c r="H10" s="227">
        <f t="shared" ref="H10:P10" si="5">SUM(H6:H7)</f>
        <v>348706.10622752958</v>
      </c>
      <c r="I10" s="227">
        <f t="shared" si="5"/>
        <v>397333.41352116538</v>
      </c>
      <c r="J10" s="227">
        <f t="shared" si="5"/>
        <v>452881.59567245515</v>
      </c>
      <c r="K10" s="227">
        <f t="shared" si="5"/>
        <v>516355.27146979142</v>
      </c>
      <c r="L10" s="227">
        <f t="shared" si="5"/>
        <v>588907.69564589486</v>
      </c>
      <c r="M10" s="227">
        <f t="shared" si="5"/>
        <v>671863.16011067806</v>
      </c>
      <c r="N10" s="227">
        <f t="shared" si="5"/>
        <v>766742.83240156621</v>
      </c>
      <c r="O10" s="227">
        <f t="shared" si="5"/>
        <v>875294.56802068534</v>
      </c>
      <c r="P10" s="227">
        <f t="shared" si="5"/>
        <v>999527.3185526859</v>
      </c>
    </row>
    <row r="11" spans="1:16" x14ac:dyDescent="0.2">
      <c r="B11" s="222" t="s">
        <v>230</v>
      </c>
      <c r="C11" s="223">
        <f>-'P&amp;L Input'!C23</f>
        <v>-28218</v>
      </c>
      <c r="D11" s="223">
        <f>-'P&amp;L Input'!D23</f>
        <v>-26039</v>
      </c>
      <c r="E11" s="223">
        <f>-'P&amp;L Input'!E23</f>
        <v>-27598</v>
      </c>
      <c r="F11" s="223">
        <f>-'P&amp;L Input'!F23</f>
        <v>-30208</v>
      </c>
      <c r="G11" s="224">
        <f>-'Fixed Assets Schedule'!G76</f>
        <v>-34285.675087549047</v>
      </c>
      <c r="H11" s="224">
        <f>-'Fixed Assets Schedule'!H76</f>
        <v>-40281.563827738231</v>
      </c>
      <c r="I11" s="224">
        <f>-'Fixed Assets Schedule'!I76</f>
        <v>-37969.342878006464</v>
      </c>
      <c r="J11" s="224">
        <f>-'Fixed Assets Schedule'!J76</f>
        <v>-38435.042340299093</v>
      </c>
      <c r="K11" s="224">
        <f>-'Fixed Assets Schedule'!K76</f>
        <v>-45008.854372876893</v>
      </c>
      <c r="L11" s="224">
        <f>-'Fixed Assets Schedule'!L76</f>
        <v>-50288.96914179578</v>
      </c>
      <c r="M11" s="224">
        <f>-'Fixed Assets Schedule'!M76</f>
        <v>-56687.748505783631</v>
      </c>
      <c r="N11" s="224">
        <f>-'Fixed Assets Schedule'!N76</f>
        <v>-63510.590185378693</v>
      </c>
      <c r="O11" s="224">
        <f>-'Fixed Assets Schedule'!O76</f>
        <v>-71057.984428829746</v>
      </c>
      <c r="P11" s="224">
        <f>-'Fixed Assets Schedule'!P76</f>
        <v>-79323.210362360973</v>
      </c>
    </row>
    <row r="12" spans="1:16" x14ac:dyDescent="0.2">
      <c r="B12" s="225" t="s">
        <v>44</v>
      </c>
      <c r="C12" s="226">
        <f>SUM(C10:C11)</f>
        <v>60669</v>
      </c>
      <c r="D12" s="226">
        <f t="shared" ref="D12:F12" si="6">SUM(D10:D11)</f>
        <v>77542</v>
      </c>
      <c r="E12" s="226">
        <f t="shared" si="6"/>
        <v>93036</v>
      </c>
      <c r="F12" s="226">
        <f t="shared" si="6"/>
        <v>79824</v>
      </c>
      <c r="G12" s="227">
        <f>SUM(G8:G9)</f>
        <v>143129.65333839506</v>
      </c>
      <c r="H12" s="227">
        <f t="shared" ref="H12:P12" si="7">SUM(H8:H9)</f>
        <v>163038.96824127299</v>
      </c>
      <c r="I12" s="227">
        <f t="shared" si="7"/>
        <v>185774.8649402904</v>
      </c>
      <c r="J12" s="227">
        <f t="shared" si="7"/>
        <v>211746.64502639885</v>
      </c>
      <c r="K12" s="227">
        <f t="shared" si="7"/>
        <v>241424.02212895604</v>
      </c>
      <c r="L12" s="227">
        <f t="shared" si="7"/>
        <v>275346.20522189216</v>
      </c>
      <c r="M12" s="227">
        <f t="shared" si="7"/>
        <v>314132.3724118892</v>
      </c>
      <c r="N12" s="227">
        <f t="shared" si="7"/>
        <v>358493.75181166088</v>
      </c>
      <c r="O12" s="227">
        <f t="shared" si="7"/>
        <v>409247.56042031373</v>
      </c>
      <c r="P12" s="227">
        <f t="shared" si="7"/>
        <v>467333.0917797694</v>
      </c>
    </row>
    <row r="13" spans="1:16" x14ac:dyDescent="0.2">
      <c r="B13" s="222" t="s">
        <v>228</v>
      </c>
      <c r="C13" s="223">
        <f>-'P&amp;L Input'!C27</f>
        <v>-817</v>
      </c>
      <c r="D13" s="223">
        <f>-'P&amp;L Input'!D27</f>
        <v>-894</v>
      </c>
      <c r="E13" s="223">
        <f>-'P&amp;L Input'!E27</f>
        <v>-3458</v>
      </c>
      <c r="F13" s="223">
        <f>-'P&amp;L Input'!F27</f>
        <v>-759</v>
      </c>
      <c r="G13" s="224">
        <f>-'Cost Build up'!H17+Financing!C10</f>
        <v>-1482</v>
      </c>
      <c r="H13" s="224">
        <f>-'Cost Build up'!I17+Financing!D10</f>
        <v>-1482</v>
      </c>
      <c r="I13" s="224">
        <f>-'Cost Build up'!J17+Financing!E10</f>
        <v>-1482</v>
      </c>
      <c r="J13" s="224">
        <f>-'Cost Build up'!K17+Financing!F10</f>
        <v>-1482</v>
      </c>
      <c r="K13" s="224">
        <f>-'Cost Build up'!L17+Financing!G10</f>
        <v>-1482</v>
      </c>
      <c r="L13" s="224">
        <f>-'Cost Build up'!M17+Financing!H10</f>
        <v>-1482</v>
      </c>
      <c r="M13" s="224">
        <f>-'Cost Build up'!N17+Financing!I10</f>
        <v>-1482</v>
      </c>
      <c r="N13" s="224">
        <f>-'Cost Build up'!O17+Financing!J10</f>
        <v>-1482</v>
      </c>
      <c r="O13" s="224">
        <f>-'Cost Build up'!P17+Financing!K10</f>
        <v>-1482</v>
      </c>
      <c r="P13" s="224">
        <f>-'Cost Build up'!Q17+Financing!L10</f>
        <v>-1482</v>
      </c>
    </row>
    <row r="14" spans="1:16" x14ac:dyDescent="0.2">
      <c r="B14" s="222" t="s">
        <v>0</v>
      </c>
      <c r="C14" s="223">
        <f>'P&amp;L Input'!C7</f>
        <v>14806</v>
      </c>
      <c r="D14" s="223">
        <f>'P&amp;L Input'!D7</f>
        <v>22896</v>
      </c>
      <c r="E14" s="223">
        <f>'P&amp;L Input'!E7</f>
        <v>20458</v>
      </c>
      <c r="F14" s="223">
        <f>'P&amp;L Input'!F7</f>
        <v>25616</v>
      </c>
      <c r="G14" s="224">
        <f>G6*'Revenue Build up'!H55</f>
        <v>28048.704828297174</v>
      </c>
      <c r="H14" s="224">
        <f>H6*'Revenue Build up'!I55</f>
        <v>31950.275774774404</v>
      </c>
      <c r="I14" s="224">
        <f>I6*'Revenue Build up'!J55</f>
        <v>36405.763793107551</v>
      </c>
      <c r="J14" s="224">
        <f>J6*'Revenue Build up'!K55</f>
        <v>41495.378534075331</v>
      </c>
      <c r="K14" s="224">
        <f>K6*'Revenue Build up'!L55</f>
        <v>47311.168421162241</v>
      </c>
      <c r="L14" s="224">
        <f>L6*'Revenue Build up'!M55</f>
        <v>53958.800679836771</v>
      </c>
      <c r="M14" s="224">
        <f>M6*'Revenue Build up'!N55</f>
        <v>61559.613855574258</v>
      </c>
      <c r="N14" s="224">
        <f>N6*'Revenue Build up'!O55</f>
        <v>70252.985267705764</v>
      </c>
      <c r="O14" s="224">
        <f>O6*'Revenue Build up'!P55</f>
        <v>80199.062571549221</v>
      </c>
      <c r="P14" s="224">
        <f>P6*'Revenue Build up'!Q55</f>
        <v>91581.916409979662</v>
      </c>
    </row>
    <row r="15" spans="1:16" x14ac:dyDescent="0.2">
      <c r="B15" s="225" t="s">
        <v>223</v>
      </c>
      <c r="C15" s="228">
        <f>SUM(C12:C14)</f>
        <v>74658</v>
      </c>
      <c r="D15" s="228">
        <f t="shared" ref="D15:F15" si="8">SUM(D12:D14)</f>
        <v>99544</v>
      </c>
      <c r="E15" s="228">
        <f t="shared" si="8"/>
        <v>110036</v>
      </c>
      <c r="F15" s="228">
        <f t="shared" si="8"/>
        <v>104681</v>
      </c>
      <c r="G15" s="229">
        <f t="shared" ref="G15" si="9">SUM(G12:G13)</f>
        <v>141647.65333839506</v>
      </c>
      <c r="H15" s="229">
        <f t="shared" ref="H15:P15" si="10">SUM(H12:H13)</f>
        <v>161556.96824127299</v>
      </c>
      <c r="I15" s="229">
        <f t="shared" si="10"/>
        <v>184292.8649402904</v>
      </c>
      <c r="J15" s="229">
        <f t="shared" si="10"/>
        <v>210264.64502639885</v>
      </c>
      <c r="K15" s="229">
        <f t="shared" si="10"/>
        <v>239942.02212895604</v>
      </c>
      <c r="L15" s="229">
        <f t="shared" si="10"/>
        <v>273864.20522189216</v>
      </c>
      <c r="M15" s="229">
        <f t="shared" si="10"/>
        <v>312650.3724118892</v>
      </c>
      <c r="N15" s="229">
        <f t="shared" si="10"/>
        <v>357011.75181166088</v>
      </c>
      <c r="O15" s="229">
        <f t="shared" si="10"/>
        <v>407765.56042031373</v>
      </c>
      <c r="P15" s="229">
        <f t="shared" si="10"/>
        <v>465851.0917797694</v>
      </c>
    </row>
    <row r="16" spans="1:16" x14ac:dyDescent="0.2">
      <c r="B16" s="222" t="s">
        <v>4</v>
      </c>
      <c r="C16" s="223">
        <f>-'P&amp;L Input'!C35</f>
        <v>-20875</v>
      </c>
      <c r="D16" s="223">
        <f>-'P&amp;L Input'!D35</f>
        <v>-26162</v>
      </c>
      <c r="E16" s="223">
        <f>-'P&amp;L Input'!E35</f>
        <v>-32862</v>
      </c>
      <c r="F16" s="223">
        <f>-'P&amp;L Input'!F35</f>
        <v>-29732</v>
      </c>
      <c r="G16" s="230">
        <f>-G15*'Cost Build up'!H19</f>
        <v>-39841.919399622093</v>
      </c>
      <c r="H16" s="230">
        <f>-H15*'Cost Build up'!I19</f>
        <v>-45441.908534402522</v>
      </c>
      <c r="I16" s="230">
        <f>-I15*'Cost Build up'!J19</f>
        <v>-51836.943979122087</v>
      </c>
      <c r="J16" s="230">
        <f>-J15*'Cost Build up'!K19</f>
        <v>-59142.15196857883</v>
      </c>
      <c r="K16" s="230">
        <f>-K15*'Cost Build up'!L19</f>
        <v>-67489.651123312593</v>
      </c>
      <c r="L16" s="230">
        <f>-L15*'Cost Build up'!M19</f>
        <v>-77031.107354989101</v>
      </c>
      <c r="M16" s="230">
        <f>-M15*'Cost Build up'!N19</f>
        <v>-87940.679879373842</v>
      </c>
      <c r="N16" s="230">
        <f>-N15*'Cost Build up'!O19</f>
        <v>-100418.41926189192</v>
      </c>
      <c r="O16" s="230">
        <f>-O15*'Cost Build up'!P19</f>
        <v>-114694.18807381105</v>
      </c>
      <c r="P16" s="230">
        <f>-P15*'Cost Build up'!Q19</f>
        <v>-131032.18594504267</v>
      </c>
    </row>
    <row r="17" spans="2:16" ht="13.5" thickBot="1" x14ac:dyDescent="0.25">
      <c r="B17" s="231" t="s">
        <v>224</v>
      </c>
      <c r="C17" s="232">
        <f>SUM(C15:C16)</f>
        <v>53783</v>
      </c>
      <c r="D17" s="232">
        <f t="shared" ref="D17:F17" si="11">SUM(D15:D16)</f>
        <v>73382</v>
      </c>
      <c r="E17" s="232">
        <f t="shared" si="11"/>
        <v>77174</v>
      </c>
      <c r="F17" s="232">
        <f t="shared" si="11"/>
        <v>74949</v>
      </c>
      <c r="G17" s="232">
        <f>SUM(G15:G16)</f>
        <v>101805.73393877296</v>
      </c>
      <c r="H17" s="232">
        <f t="shared" ref="H17:P17" si="12">SUM(H15:H16)</f>
        <v>116115.05970687047</v>
      </c>
      <c r="I17" s="232">
        <f t="shared" si="12"/>
        <v>132455.9209611683</v>
      </c>
      <c r="J17" s="232">
        <f t="shared" si="12"/>
        <v>151122.49305782001</v>
      </c>
      <c r="K17" s="232">
        <f t="shared" si="12"/>
        <v>172452.37100564345</v>
      </c>
      <c r="L17" s="232">
        <f t="shared" si="12"/>
        <v>196833.09786690306</v>
      </c>
      <c r="M17" s="232">
        <f t="shared" si="12"/>
        <v>224709.69253251536</v>
      </c>
      <c r="N17" s="232">
        <f t="shared" si="12"/>
        <v>256593.33254976897</v>
      </c>
      <c r="O17" s="232">
        <f t="shared" si="12"/>
        <v>293071.37234650267</v>
      </c>
      <c r="P17" s="232">
        <f t="shared" si="12"/>
        <v>334818.90583472676</v>
      </c>
    </row>
    <row r="18" spans="2:16" x14ac:dyDescent="0.2">
      <c r="B18" s="236" t="s">
        <v>177</v>
      </c>
      <c r="C18" s="223">
        <f>'P&amp;L Input'!C42</f>
        <v>15583.88</v>
      </c>
      <c r="D18" s="223">
        <f>'P&amp;L Input'!D42</f>
        <v>21262.79</v>
      </c>
      <c r="E18" s="223">
        <f>'P&amp;L Input'!E42</f>
        <v>22374</v>
      </c>
      <c r="F18" s="223">
        <f>'P&amp;L Input'!F42</f>
        <v>39185</v>
      </c>
      <c r="G18" s="223">
        <f>E18/E17*G17</f>
        <v>29515.140994973775</v>
      </c>
      <c r="H18" s="223">
        <f t="shared" ref="H18:P18" si="13">G18/G17*H17</f>
        <v>33663.647677734989</v>
      </c>
      <c r="I18" s="223">
        <f t="shared" si="13"/>
        <v>38401.129597859122</v>
      </c>
      <c r="J18" s="223">
        <f t="shared" si="13"/>
        <v>43812.872984109483</v>
      </c>
      <c r="K18" s="223">
        <f t="shared" si="13"/>
        <v>49996.752129995424</v>
      </c>
      <c r="L18" s="223">
        <f t="shared" si="13"/>
        <v>57065.122083526694</v>
      </c>
      <c r="M18" s="223">
        <f t="shared" si="13"/>
        <v>65147.00107189596</v>
      </c>
      <c r="N18" s="223">
        <f t="shared" si="13"/>
        <v>74390.587794704581</v>
      </c>
      <c r="O18" s="223">
        <f t="shared" si="13"/>
        <v>84966.165870379293</v>
      </c>
      <c r="P18" s="223">
        <f t="shared" si="13"/>
        <v>97069.456023352119</v>
      </c>
    </row>
    <row r="19" spans="2:16" x14ac:dyDescent="0.2">
      <c r="B19" s="237" t="s">
        <v>20</v>
      </c>
      <c r="C19" s="421"/>
      <c r="D19" s="421"/>
      <c r="E19" s="421"/>
      <c r="F19" s="421"/>
      <c r="G19" s="238"/>
      <c r="H19" s="238"/>
      <c r="I19" s="238"/>
      <c r="J19" s="238"/>
      <c r="K19" s="238"/>
      <c r="L19" s="238"/>
      <c r="M19" s="238"/>
      <c r="N19" s="238"/>
      <c r="O19" s="238"/>
      <c r="P19" s="238"/>
    </row>
    <row r="20" spans="2:16" x14ac:dyDescent="0.2">
      <c r="B20" s="238" t="s">
        <v>225</v>
      </c>
      <c r="C20" s="239">
        <f>'P&amp;L Input'!C41</f>
        <v>54972</v>
      </c>
      <c r="D20" s="239">
        <f>'P&amp;L Input'!D41</f>
        <v>75110</v>
      </c>
      <c r="E20" s="239">
        <f>'P&amp;L Input'!E41</f>
        <v>78807</v>
      </c>
      <c r="F20" s="239">
        <f>'P&amp;L Input'!F41</f>
        <v>76506</v>
      </c>
      <c r="G20" s="239"/>
      <c r="H20" s="238"/>
      <c r="I20" s="238"/>
      <c r="J20" s="238"/>
      <c r="K20" s="238"/>
      <c r="L20" s="238"/>
      <c r="M20" s="238"/>
      <c r="N20" s="238"/>
      <c r="O20" s="238"/>
      <c r="P20" s="238"/>
    </row>
    <row r="21" spans="2:16" x14ac:dyDescent="0.2">
      <c r="B21" s="238" t="s">
        <v>226</v>
      </c>
      <c r="C21" s="240">
        <f>C17-C20</f>
        <v>-1189</v>
      </c>
      <c r="D21" s="240">
        <f>D17-D20</f>
        <v>-1728</v>
      </c>
      <c r="E21" s="240">
        <f>E17-E20</f>
        <v>-1633</v>
      </c>
      <c r="F21" s="240">
        <f>F17-F20</f>
        <v>-1557</v>
      </c>
      <c r="G21" s="240"/>
      <c r="H21" s="238"/>
      <c r="I21" s="238"/>
      <c r="J21" s="238"/>
      <c r="K21" s="238"/>
      <c r="L21" s="238"/>
      <c r="M21" s="238"/>
      <c r="N21" s="238"/>
      <c r="O21" s="238"/>
      <c r="P21" s="238"/>
    </row>
  </sheetData>
  <pageMargins left="0.7" right="0.7" top="0.75" bottom="0.75" header="0.3" footer="0.3"/>
  <pageSetup paperSize="9" orientation="portrait" r:id="rId1"/>
  <ignoredErrors>
    <ignoredError sqref="C7:F8 C10:F10" formulaRange="1"/>
    <ignoredError sqref="C9:F9 C11:F11" formula="1" formulaRange="1"/>
    <ignoredError sqref="G11:P11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9" tint="0.59999389629810485"/>
  </sheetPr>
  <dimension ref="A2:S50"/>
  <sheetViews>
    <sheetView showGridLines="0" zoomScaleNormal="100" workbookViewId="0">
      <pane xSplit="2" ySplit="4" topLeftCell="C5" activePane="bottomRight" state="frozen"/>
      <selection activeCell="G13" sqref="G13"/>
      <selection pane="topRight" activeCell="G13" sqref="G13"/>
      <selection pane="bottomLeft" activeCell="G13" sqref="G13"/>
      <selection pane="bottomRight" activeCell="C5" sqref="C5"/>
    </sheetView>
  </sheetViews>
  <sheetFormatPr defaultColWidth="9.140625" defaultRowHeight="12" x14ac:dyDescent="0.25"/>
  <cols>
    <col min="1" max="1" width="2" style="247" customWidth="1"/>
    <col min="2" max="2" width="25.5703125" style="247" customWidth="1"/>
    <col min="3" max="3" width="9.42578125" style="247" bestFit="1" customWidth="1"/>
    <col min="4" max="9" width="10.140625" style="247" customWidth="1"/>
    <col min="10" max="13" width="10.140625" style="247" bestFit="1" customWidth="1"/>
    <col min="14" max="16" width="10.5703125" style="247" bestFit="1" customWidth="1"/>
    <col min="17" max="17" width="1.140625" style="247" customWidth="1"/>
    <col min="18" max="18" width="11.85546875" style="247" customWidth="1"/>
    <col min="19" max="16384" width="9.140625" style="247"/>
  </cols>
  <sheetData>
    <row r="2" spans="1:19" ht="14.25" x14ac:dyDescent="0.25">
      <c r="B2" s="185" t="s">
        <v>153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</row>
    <row r="3" spans="1:19" x14ac:dyDescent="0.2">
      <c r="B3" s="241"/>
      <c r="C3" s="242">
        <v>1</v>
      </c>
      <c r="D3" s="242">
        <f>C3+1</f>
        <v>2</v>
      </c>
      <c r="E3" s="242">
        <f t="shared" ref="E3:P3" si="0">D3+1</f>
        <v>3</v>
      </c>
      <c r="F3" s="242">
        <f t="shared" si="0"/>
        <v>4</v>
      </c>
      <c r="G3" s="243">
        <f t="shared" si="0"/>
        <v>5</v>
      </c>
      <c r="H3" s="243">
        <f t="shared" si="0"/>
        <v>6</v>
      </c>
      <c r="I3" s="243">
        <f t="shared" si="0"/>
        <v>7</v>
      </c>
      <c r="J3" s="243">
        <f t="shared" si="0"/>
        <v>8</v>
      </c>
      <c r="K3" s="243">
        <f t="shared" si="0"/>
        <v>9</v>
      </c>
      <c r="L3" s="243">
        <f t="shared" si="0"/>
        <v>10</v>
      </c>
      <c r="M3" s="243">
        <f t="shared" si="0"/>
        <v>11</v>
      </c>
      <c r="N3" s="243">
        <f t="shared" si="0"/>
        <v>12</v>
      </c>
      <c r="O3" s="243">
        <f t="shared" si="0"/>
        <v>13</v>
      </c>
      <c r="P3" s="243">
        <f t="shared" si="0"/>
        <v>14</v>
      </c>
    </row>
    <row r="4" spans="1:19" ht="12.75" thickBot="1" x14ac:dyDescent="0.25">
      <c r="B4" s="220" t="s">
        <v>231</v>
      </c>
      <c r="C4" s="244" t="s">
        <v>96</v>
      </c>
      <c r="D4" s="244" t="s">
        <v>96</v>
      </c>
      <c r="E4" s="244" t="s">
        <v>96</v>
      </c>
      <c r="F4" s="244" t="s">
        <v>96</v>
      </c>
      <c r="G4" s="245" t="s">
        <v>97</v>
      </c>
      <c r="H4" s="246" t="s">
        <v>98</v>
      </c>
      <c r="I4" s="246" t="s">
        <v>98</v>
      </c>
      <c r="J4" s="246" t="s">
        <v>98</v>
      </c>
      <c r="K4" s="246" t="s">
        <v>98</v>
      </c>
      <c r="L4" s="246" t="s">
        <v>98</v>
      </c>
      <c r="M4" s="246" t="s">
        <v>98</v>
      </c>
      <c r="N4" s="246" t="s">
        <v>98</v>
      </c>
      <c r="O4" s="246" t="s">
        <v>98</v>
      </c>
      <c r="P4" s="246" t="s">
        <v>98</v>
      </c>
    </row>
    <row r="5" spans="1:19" x14ac:dyDescent="0.2">
      <c r="A5" s="257"/>
      <c r="B5" s="258"/>
      <c r="C5" s="255"/>
      <c r="D5" s="255"/>
      <c r="E5" s="254"/>
      <c r="F5" s="254"/>
      <c r="G5" s="271"/>
      <c r="H5" s="256"/>
      <c r="I5" s="256"/>
      <c r="J5" s="256"/>
      <c r="K5" s="256"/>
      <c r="L5" s="256"/>
      <c r="M5" s="256"/>
      <c r="N5" s="256"/>
      <c r="O5" s="256"/>
      <c r="P5" s="256"/>
    </row>
    <row r="6" spans="1:19" ht="15" x14ac:dyDescent="0.35">
      <c r="A6" s="257"/>
      <c r="B6" s="263" t="s">
        <v>236</v>
      </c>
      <c r="C6" s="255"/>
      <c r="D6" s="259"/>
      <c r="E6" s="254"/>
      <c r="F6" s="254"/>
      <c r="G6" s="271"/>
      <c r="H6" s="256"/>
      <c r="I6" s="256"/>
      <c r="J6" s="256"/>
      <c r="K6" s="256"/>
      <c r="L6" s="256"/>
      <c r="M6" s="256"/>
      <c r="N6" s="256"/>
      <c r="O6" s="256"/>
      <c r="P6" s="256"/>
      <c r="S6" s="247" t="s">
        <v>246</v>
      </c>
    </row>
    <row r="7" spans="1:19" x14ac:dyDescent="0.2">
      <c r="A7" s="257"/>
      <c r="B7" s="258" t="s">
        <v>7</v>
      </c>
      <c r="C7" s="260">
        <f>'BS Input'!C8</f>
        <v>1510</v>
      </c>
      <c r="D7" s="260">
        <f>'BS Input'!D8</f>
        <v>1510</v>
      </c>
      <c r="E7" s="260">
        <f>'BS Input'!E8</f>
        <v>1510</v>
      </c>
      <c r="F7" s="260">
        <f>'BS Input'!F8</f>
        <v>1510</v>
      </c>
      <c r="G7" s="274">
        <f>F7+Financing!C8</f>
        <v>1510</v>
      </c>
      <c r="H7" s="274">
        <f>G7+Financing!D8</f>
        <v>1510</v>
      </c>
      <c r="I7" s="274">
        <f>H7+Financing!E8</f>
        <v>1510</v>
      </c>
      <c r="J7" s="274">
        <f>I7+Financing!F8</f>
        <v>1510</v>
      </c>
      <c r="K7" s="274">
        <f>J7+Financing!G8</f>
        <v>1510</v>
      </c>
      <c r="L7" s="274">
        <f>K7+Financing!H8</f>
        <v>1510</v>
      </c>
      <c r="M7" s="274">
        <f>L7+Financing!I8</f>
        <v>1510</v>
      </c>
      <c r="N7" s="274">
        <f>M7+Financing!J8</f>
        <v>1510</v>
      </c>
      <c r="O7" s="274">
        <f>N7+Financing!K8</f>
        <v>1510</v>
      </c>
      <c r="P7" s="274">
        <f>O7+Financing!L8</f>
        <v>1510</v>
      </c>
      <c r="S7" s="247" t="s">
        <v>247</v>
      </c>
    </row>
    <row r="8" spans="1:19" x14ac:dyDescent="0.2">
      <c r="A8" s="257"/>
      <c r="B8" s="258" t="s">
        <v>253</v>
      </c>
      <c r="C8" s="260">
        <f>'BS Input'!C9</f>
        <v>304650</v>
      </c>
      <c r="D8" s="260">
        <f>'BS Input'!D9</f>
        <v>369241</v>
      </c>
      <c r="E8" s="260">
        <f>'BS Input'!E9</f>
        <v>424084</v>
      </c>
      <c r="F8" s="260">
        <f>'BS Input'!F9</f>
        <v>469411</v>
      </c>
      <c r="G8" s="274">
        <f>F8+'Income Statement'!G17-'Income Statement'!G18</f>
        <v>541701.5929437991</v>
      </c>
      <c r="H8" s="274">
        <f>G8+'Income Statement'!H17-'Income Statement'!H18</f>
        <v>624153.00497293461</v>
      </c>
      <c r="I8" s="274">
        <f>H8+'Income Statement'!I17-'Income Statement'!I18</f>
        <v>718207.79633624374</v>
      </c>
      <c r="J8" s="274">
        <f>I8+'Income Statement'!J17-'Income Statement'!J18</f>
        <v>825517.41640995431</v>
      </c>
      <c r="K8" s="274">
        <f>J8+'Income Statement'!K17-'Income Statement'!K18</f>
        <v>947973.03528560244</v>
      </c>
      <c r="L8" s="274">
        <f>K8+'Income Statement'!L17-'Income Statement'!L18</f>
        <v>1087741.0110689786</v>
      </c>
      <c r="M8" s="274">
        <f>L8+'Income Statement'!M17-'Income Statement'!M18</f>
        <v>1247303.702529598</v>
      </c>
      <c r="N8" s="274">
        <f>M8+'Income Statement'!N17-'Income Statement'!N18</f>
        <v>1429506.4472846624</v>
      </c>
      <c r="O8" s="274">
        <f>N8+'Income Statement'!O17-'Income Statement'!O18</f>
        <v>1637611.6537607859</v>
      </c>
      <c r="P8" s="274">
        <f>O8+'Income Statement'!P17-'Income Statement'!P18</f>
        <v>1875361.1035721605</v>
      </c>
      <c r="S8" s="247" t="s">
        <v>248</v>
      </c>
    </row>
    <row r="9" spans="1:19" x14ac:dyDescent="0.2">
      <c r="A9" s="257"/>
      <c r="B9" s="258" t="s">
        <v>35</v>
      </c>
      <c r="C9" s="260">
        <f>'BS Input'!C12</f>
        <v>144</v>
      </c>
      <c r="D9" s="260">
        <f>'BS Input'!D12</f>
        <v>154</v>
      </c>
      <c r="E9" s="260">
        <f>'BS Input'!E12</f>
        <v>161</v>
      </c>
      <c r="F9" s="260">
        <f>'BS Input'!F12</f>
        <v>176</v>
      </c>
      <c r="G9" s="274">
        <f>F9</f>
        <v>176</v>
      </c>
      <c r="H9" s="274">
        <f t="shared" ref="H9:P9" si="1">G9</f>
        <v>176</v>
      </c>
      <c r="I9" s="274">
        <f t="shared" si="1"/>
        <v>176</v>
      </c>
      <c r="J9" s="274">
        <f t="shared" si="1"/>
        <v>176</v>
      </c>
      <c r="K9" s="274">
        <f t="shared" si="1"/>
        <v>176</v>
      </c>
      <c r="L9" s="274">
        <f t="shared" si="1"/>
        <v>176</v>
      </c>
      <c r="M9" s="274">
        <f t="shared" si="1"/>
        <v>176</v>
      </c>
      <c r="N9" s="274">
        <f t="shared" si="1"/>
        <v>176</v>
      </c>
      <c r="O9" s="274">
        <f t="shared" si="1"/>
        <v>176</v>
      </c>
      <c r="P9" s="274">
        <f t="shared" si="1"/>
        <v>176</v>
      </c>
    </row>
    <row r="10" spans="1:19" ht="12.75" thickBot="1" x14ac:dyDescent="0.25">
      <c r="A10" s="257"/>
      <c r="B10" s="258"/>
      <c r="C10" s="265">
        <f>SUM(C7:C9)</f>
        <v>306304</v>
      </c>
      <c r="D10" s="265">
        <f t="shared" ref="D10:G10" si="2">SUM(D7:D9)</f>
        <v>370905</v>
      </c>
      <c r="E10" s="265">
        <f t="shared" si="2"/>
        <v>425755</v>
      </c>
      <c r="F10" s="265">
        <f t="shared" si="2"/>
        <v>471097</v>
      </c>
      <c r="G10" s="265">
        <f t="shared" si="2"/>
        <v>543387.5929437991</v>
      </c>
      <c r="H10" s="265">
        <f t="shared" ref="H10:P10" si="3">SUM(H7:H9)</f>
        <v>625839.00497293461</v>
      </c>
      <c r="I10" s="265">
        <f t="shared" si="3"/>
        <v>719893.79633624374</v>
      </c>
      <c r="J10" s="265">
        <f t="shared" si="3"/>
        <v>827203.41640995431</v>
      </c>
      <c r="K10" s="265">
        <f t="shared" si="3"/>
        <v>949659.03528560244</v>
      </c>
      <c r="L10" s="265">
        <f t="shared" si="3"/>
        <v>1089427.0110689786</v>
      </c>
      <c r="M10" s="265">
        <f t="shared" si="3"/>
        <v>1248989.702529598</v>
      </c>
      <c r="N10" s="265">
        <f t="shared" si="3"/>
        <v>1431192.4472846624</v>
      </c>
      <c r="O10" s="265">
        <f t="shared" si="3"/>
        <v>1639297.6537607859</v>
      </c>
      <c r="P10" s="265">
        <f t="shared" si="3"/>
        <v>1877047.1035721605</v>
      </c>
    </row>
    <row r="11" spans="1:19" x14ac:dyDescent="0.2">
      <c r="A11" s="257"/>
      <c r="B11" s="258"/>
      <c r="C11" s="260"/>
      <c r="D11" s="260"/>
      <c r="E11" s="261"/>
      <c r="F11" s="259"/>
      <c r="G11" s="272"/>
      <c r="H11" s="272"/>
      <c r="I11" s="272"/>
      <c r="J11" s="272"/>
      <c r="K11" s="272"/>
      <c r="L11" s="272"/>
      <c r="M11" s="272"/>
      <c r="N11" s="272"/>
      <c r="O11" s="272"/>
      <c r="P11" s="272"/>
    </row>
    <row r="12" spans="1:19" ht="15" x14ac:dyDescent="0.35">
      <c r="A12" s="257"/>
      <c r="B12" s="263" t="s">
        <v>235</v>
      </c>
      <c r="C12" s="260"/>
      <c r="D12" s="260"/>
      <c r="E12" s="261"/>
      <c r="F12" s="259"/>
      <c r="G12" s="272"/>
      <c r="H12" s="272"/>
      <c r="I12" s="272"/>
      <c r="J12" s="272"/>
      <c r="K12" s="272"/>
      <c r="L12" s="272"/>
      <c r="M12" s="272"/>
      <c r="N12" s="272"/>
      <c r="O12" s="272"/>
      <c r="P12" s="272"/>
    </row>
    <row r="13" spans="1:19" x14ac:dyDescent="0.2">
      <c r="A13" s="257"/>
      <c r="B13" s="258" t="s">
        <v>10</v>
      </c>
      <c r="C13" s="260">
        <f>'BS Input'!C16</f>
        <v>0</v>
      </c>
      <c r="D13" s="260">
        <f>'BS Input'!D16</f>
        <v>0</v>
      </c>
      <c r="E13" s="260">
        <f>'BS Input'!E16</f>
        <v>100</v>
      </c>
      <c r="F13" s="260">
        <f>'BS Input'!F16</f>
        <v>80</v>
      </c>
      <c r="G13" s="272">
        <f>F13+Financing!C7</f>
        <v>80</v>
      </c>
      <c r="H13" s="272">
        <f>G13+Financing!D7</f>
        <v>80</v>
      </c>
      <c r="I13" s="272">
        <f>H13+Financing!E7</f>
        <v>80</v>
      </c>
      <c r="J13" s="272">
        <f>I13+Financing!F7</f>
        <v>80</v>
      </c>
      <c r="K13" s="272">
        <f>J13+Financing!G7</f>
        <v>80</v>
      </c>
      <c r="L13" s="272">
        <f>K13+Financing!H7</f>
        <v>80</v>
      </c>
      <c r="M13" s="272">
        <f>L13+Financing!I7</f>
        <v>80</v>
      </c>
      <c r="N13" s="272">
        <f>M13+Financing!J7</f>
        <v>80</v>
      </c>
      <c r="O13" s="272">
        <f>N13+Financing!K7</f>
        <v>80</v>
      </c>
      <c r="P13" s="272">
        <f>O13+Financing!L7</f>
        <v>80</v>
      </c>
    </row>
    <row r="14" spans="1:19" x14ac:dyDescent="0.2">
      <c r="A14" s="257"/>
      <c r="B14" s="258" t="s">
        <v>37</v>
      </c>
      <c r="C14" s="260">
        <f>'BS Input'!C17</f>
        <v>8075</v>
      </c>
      <c r="D14" s="260">
        <f>'BS Input'!D17</f>
        <v>11055</v>
      </c>
      <c r="E14" s="260">
        <f>'BS Input'!E17</f>
        <v>15859</v>
      </c>
      <c r="F14" s="260">
        <f>'BS Input'!F17</f>
        <v>20371</v>
      </c>
      <c r="G14" s="272">
        <f>G15*'Income Statement'!G6</f>
        <v>11597.673140596833</v>
      </c>
      <c r="H14" s="272">
        <f>H15*'Income Statement'!H6</f>
        <v>13210.907863878672</v>
      </c>
      <c r="I14" s="272">
        <f>I15*'Income Statement'!I6</f>
        <v>15053.178087576927</v>
      </c>
      <c r="J14" s="272">
        <f>J15*'Income Statement'!J6</f>
        <v>17157.64916881406</v>
      </c>
      <c r="K14" s="272">
        <f>K15*'Income Statement'!K6</f>
        <v>19562.381600408386</v>
      </c>
      <c r="L14" s="272">
        <f>L15*'Income Statement'!L6</f>
        <v>22311.067023387866</v>
      </c>
      <c r="M14" s="272">
        <f>M15*'Income Statement'!M6</f>
        <v>25453.876909069739</v>
      </c>
      <c r="N14" s="272">
        <f>N15*'Income Statement'!N6</f>
        <v>29048.441461868406</v>
      </c>
      <c r="O14" s="272">
        <f>O15*'Income Statement'!O6</f>
        <v>33160.979074824849</v>
      </c>
      <c r="P14" s="272">
        <f>P15*'Income Statement'!P6</f>
        <v>37867.599898618479</v>
      </c>
    </row>
    <row r="15" spans="1:19" ht="12.75" x14ac:dyDescent="0.2">
      <c r="A15" s="257"/>
      <c r="B15" s="262" t="s">
        <v>296</v>
      </c>
      <c r="C15" s="301">
        <f>C14/'Income Statement'!D6</f>
        <v>1.1860174781523096E-2</v>
      </c>
      <c r="D15" s="301">
        <f>D14/'Income Statement'!E6</f>
        <v>1.3851751798660309E-2</v>
      </c>
      <c r="E15" s="301">
        <f>E14/'Income Statement'!F6</f>
        <v>1.8426021134329052E-2</v>
      </c>
      <c r="F15" s="301">
        <f>F14/'Income Statement'!G6</f>
        <v>2.08320770507569E-2</v>
      </c>
      <c r="G15" s="302">
        <f>C15</f>
        <v>1.1860174781523096E-2</v>
      </c>
      <c r="H15" s="302">
        <f>G15</f>
        <v>1.1860174781523096E-2</v>
      </c>
      <c r="I15" s="302">
        <f t="shared" ref="I15:P15" si="4">H15</f>
        <v>1.1860174781523096E-2</v>
      </c>
      <c r="J15" s="302">
        <f t="shared" si="4"/>
        <v>1.1860174781523096E-2</v>
      </c>
      <c r="K15" s="302">
        <f t="shared" si="4"/>
        <v>1.1860174781523096E-2</v>
      </c>
      <c r="L15" s="302">
        <f t="shared" si="4"/>
        <v>1.1860174781523096E-2</v>
      </c>
      <c r="M15" s="302">
        <f t="shared" si="4"/>
        <v>1.1860174781523096E-2</v>
      </c>
      <c r="N15" s="302">
        <f t="shared" si="4"/>
        <v>1.1860174781523096E-2</v>
      </c>
      <c r="O15" s="302">
        <f t="shared" si="4"/>
        <v>1.1860174781523096E-2</v>
      </c>
      <c r="P15" s="302">
        <f t="shared" si="4"/>
        <v>1.1860174781523096E-2</v>
      </c>
    </row>
    <row r="16" spans="1:19" x14ac:dyDescent="0.2">
      <c r="A16" s="257"/>
      <c r="B16" s="258" t="s">
        <v>22</v>
      </c>
      <c r="C16" s="260">
        <f>'BS Input'!C18</f>
        <v>148</v>
      </c>
      <c r="D16" s="260">
        <f>'BS Input'!D18</f>
        <v>219</v>
      </c>
      <c r="E16" s="260">
        <f>'BS Input'!E18</f>
        <v>265</v>
      </c>
      <c r="F16" s="260">
        <f>'BS Input'!F18</f>
        <v>395</v>
      </c>
      <c r="G16" s="272">
        <f>F16</f>
        <v>395</v>
      </c>
      <c r="H16" s="272">
        <f t="shared" ref="H16:P16" si="5">G16</f>
        <v>395</v>
      </c>
      <c r="I16" s="272">
        <f t="shared" si="5"/>
        <v>395</v>
      </c>
      <c r="J16" s="272">
        <f t="shared" si="5"/>
        <v>395</v>
      </c>
      <c r="K16" s="272">
        <f t="shared" si="5"/>
        <v>395</v>
      </c>
      <c r="L16" s="272">
        <f t="shared" si="5"/>
        <v>395</v>
      </c>
      <c r="M16" s="272">
        <f t="shared" si="5"/>
        <v>395</v>
      </c>
      <c r="N16" s="272">
        <f t="shared" si="5"/>
        <v>395</v>
      </c>
      <c r="O16" s="272">
        <f t="shared" si="5"/>
        <v>395</v>
      </c>
      <c r="P16" s="272">
        <f t="shared" si="5"/>
        <v>395</v>
      </c>
    </row>
    <row r="17" spans="1:16" x14ac:dyDescent="0.2">
      <c r="A17" s="257"/>
      <c r="B17" s="258" t="s">
        <v>50</v>
      </c>
      <c r="C17" s="260">
        <f>'BS Input'!C19</f>
        <v>2287</v>
      </c>
      <c r="D17" s="260">
        <f>'BS Input'!D19</f>
        <v>5058</v>
      </c>
      <c r="E17" s="260">
        <f>'BS Input'!E19</f>
        <v>6020</v>
      </c>
      <c r="F17" s="260">
        <f>'BS Input'!F19</f>
        <v>6139</v>
      </c>
      <c r="G17" s="272">
        <f>F17</f>
        <v>6139</v>
      </c>
      <c r="H17" s="272">
        <f t="shared" ref="H17:P17" si="6">G17</f>
        <v>6139</v>
      </c>
      <c r="I17" s="272">
        <f t="shared" si="6"/>
        <v>6139</v>
      </c>
      <c r="J17" s="272">
        <f t="shared" si="6"/>
        <v>6139</v>
      </c>
      <c r="K17" s="272">
        <f t="shared" si="6"/>
        <v>6139</v>
      </c>
      <c r="L17" s="272">
        <f t="shared" si="6"/>
        <v>6139</v>
      </c>
      <c r="M17" s="272">
        <f t="shared" si="6"/>
        <v>6139</v>
      </c>
      <c r="N17" s="272">
        <f t="shared" si="6"/>
        <v>6139</v>
      </c>
      <c r="O17" s="272">
        <f t="shared" si="6"/>
        <v>6139</v>
      </c>
      <c r="P17" s="272">
        <f t="shared" si="6"/>
        <v>6139</v>
      </c>
    </row>
    <row r="18" spans="1:16" ht="12.75" thickBot="1" x14ac:dyDescent="0.25">
      <c r="A18" s="257"/>
      <c r="B18" s="258"/>
      <c r="C18" s="265">
        <f>SUM(C13:C17)</f>
        <v>10510.011860174782</v>
      </c>
      <c r="D18" s="265">
        <f t="shared" ref="D18:G18" si="7">SUM(D13:D17)</f>
        <v>16332.013851751799</v>
      </c>
      <c r="E18" s="265">
        <f t="shared" si="7"/>
        <v>22244.018426021132</v>
      </c>
      <c r="F18" s="265">
        <f t="shared" si="7"/>
        <v>26985.020832077051</v>
      </c>
      <c r="G18" s="265">
        <f t="shared" si="7"/>
        <v>18211.685000771613</v>
      </c>
      <c r="H18" s="265">
        <f t="shared" ref="H18:P18" si="8">SUM(H13:H17)</f>
        <v>19824.919724053456</v>
      </c>
      <c r="I18" s="265">
        <f t="shared" si="8"/>
        <v>21667.189947751707</v>
      </c>
      <c r="J18" s="265">
        <f t="shared" si="8"/>
        <v>23771.661028988841</v>
      </c>
      <c r="K18" s="265">
        <f t="shared" si="8"/>
        <v>26176.393460583167</v>
      </c>
      <c r="L18" s="265">
        <f t="shared" si="8"/>
        <v>28925.078883562648</v>
      </c>
      <c r="M18" s="265">
        <f t="shared" si="8"/>
        <v>32067.888769244521</v>
      </c>
      <c r="N18" s="265">
        <f t="shared" si="8"/>
        <v>35662.453322043191</v>
      </c>
      <c r="O18" s="265">
        <f t="shared" si="8"/>
        <v>39774.990934999631</v>
      </c>
      <c r="P18" s="265">
        <f t="shared" si="8"/>
        <v>44481.61175879326</v>
      </c>
    </row>
    <row r="19" spans="1:16" x14ac:dyDescent="0.2">
      <c r="A19" s="258"/>
      <c r="B19" s="258"/>
      <c r="C19" s="260"/>
      <c r="D19" s="259"/>
      <c r="E19" s="261"/>
      <c r="F19" s="259"/>
      <c r="G19" s="272"/>
      <c r="H19" s="272"/>
      <c r="I19" s="272"/>
      <c r="J19" s="272"/>
      <c r="K19" s="272"/>
      <c r="L19" s="272"/>
      <c r="M19" s="272"/>
      <c r="N19" s="272"/>
      <c r="O19" s="272"/>
      <c r="P19" s="272"/>
    </row>
    <row r="20" spans="1:16" ht="15" x14ac:dyDescent="0.35">
      <c r="B20" s="263" t="s">
        <v>11</v>
      </c>
      <c r="C20" s="129"/>
      <c r="D20" s="3"/>
      <c r="E20" s="25"/>
      <c r="F20" s="3"/>
      <c r="G20" s="273"/>
      <c r="H20" s="273"/>
      <c r="I20" s="273"/>
      <c r="J20" s="273"/>
      <c r="K20" s="273"/>
      <c r="L20" s="273"/>
      <c r="M20" s="273"/>
      <c r="N20" s="273"/>
      <c r="O20" s="273"/>
      <c r="P20" s="273"/>
    </row>
    <row r="21" spans="1:16" ht="12.75" x14ac:dyDescent="0.2">
      <c r="A21" s="63"/>
      <c r="B21" s="62" t="s">
        <v>24</v>
      </c>
      <c r="C21" s="129">
        <f>'BS Input'!C24</f>
        <v>74089</v>
      </c>
      <c r="D21" s="129">
        <f>'BS Input'!D24</f>
        <v>83692</v>
      </c>
      <c r="E21" s="129">
        <f>'BS Input'!E24</f>
        <v>104993</v>
      </c>
      <c r="F21" s="129">
        <f>'BS Input'!F24</f>
        <v>96377</v>
      </c>
      <c r="G21" s="273">
        <f>'Working Capital'!G9</f>
        <v>107428.40491655523</v>
      </c>
      <c r="H21" s="273">
        <f>'Working Capital'!H9</f>
        <v>122371.68112180701</v>
      </c>
      <c r="I21" s="273">
        <f>'Working Capital'!I9</f>
        <v>139436.49655141169</v>
      </c>
      <c r="J21" s="273">
        <f>'Working Capital'!J9</f>
        <v>158930.05950232354</v>
      </c>
      <c r="K21" s="273">
        <f>'Working Capital'!K9</f>
        <v>181204.92155831636</v>
      </c>
      <c r="L21" s="273">
        <f>'Working Capital'!L9</f>
        <v>206665.79522050309</v>
      </c>
      <c r="M21" s="273">
        <f>'Working Capital'!M9</f>
        <v>235777.41518786925</v>
      </c>
      <c r="N21" s="273">
        <f>'Working Capital'!N9</f>
        <v>269073.60586296523</v>
      </c>
      <c r="O21" s="273">
        <f>'Working Capital'!O9</f>
        <v>307167.74341653596</v>
      </c>
      <c r="P21" s="273">
        <f>'Working Capital'!P9</f>
        <v>350764.8306527065</v>
      </c>
    </row>
    <row r="22" spans="1:16" ht="12.75" x14ac:dyDescent="0.2">
      <c r="A22" s="63"/>
      <c r="B22" s="62" t="s">
        <v>23</v>
      </c>
      <c r="C22" s="129">
        <f>'BS Input'!C23</f>
        <v>774</v>
      </c>
      <c r="D22" s="129">
        <f>'BS Input'!D23</f>
        <v>4836</v>
      </c>
      <c r="E22" s="129">
        <f>'BS Input'!E23</f>
        <v>1108</v>
      </c>
      <c r="F22" s="129">
        <f>'BS Input'!F23</f>
        <v>1496</v>
      </c>
      <c r="G22" s="273">
        <f>'Working Capital'!G20</f>
        <v>2829.2993697022512</v>
      </c>
      <c r="H22" s="273">
        <f>'Working Capital'!H20</f>
        <v>3222.8545191214912</v>
      </c>
      <c r="I22" s="273">
        <f>'Working Capital'!I20</f>
        <v>3672.2838071814631</v>
      </c>
      <c r="J22" s="273">
        <f>'Working Capital'!J20</f>
        <v>4185.6780571762019</v>
      </c>
      <c r="K22" s="273">
        <f>'Working Capital'!K20</f>
        <v>4772.3222805934392</v>
      </c>
      <c r="L22" s="273">
        <f>'Working Capital'!L20</f>
        <v>5442.8752303505144</v>
      </c>
      <c r="M22" s="273">
        <f>'Working Capital'!M20</f>
        <v>6209.5764402275272</v>
      </c>
      <c r="N22" s="273">
        <f>'Working Capital'!N20</f>
        <v>7086.48503217496</v>
      </c>
      <c r="O22" s="273">
        <f>'Working Capital'!O20</f>
        <v>8089.7552515679226</v>
      </c>
      <c r="P22" s="273">
        <f>'Working Capital'!P20</f>
        <v>9237.9544781501536</v>
      </c>
    </row>
    <row r="23" spans="1:16" ht="12.75" x14ac:dyDescent="0.2">
      <c r="A23" s="63"/>
      <c r="B23" s="62" t="s">
        <v>237</v>
      </c>
      <c r="C23" s="129">
        <f>'BS Input'!C22+'BS Input'!C25+'BS Input'!C26+'BS Input'!C27</f>
        <v>35578</v>
      </c>
      <c r="D23" s="129">
        <f>'BS Input'!D22+'BS Input'!D25+'BS Input'!D26+'BS Input'!D27</f>
        <v>43840</v>
      </c>
      <c r="E23" s="129">
        <f>'BS Input'!E22+'BS Input'!E25+'BS Input'!E26+'BS Input'!E27</f>
        <v>48384</v>
      </c>
      <c r="F23" s="129">
        <f>'BS Input'!F22+'BS Input'!F25+'BS Input'!F26+'BS Input'!F27</f>
        <v>43732</v>
      </c>
      <c r="G23" s="273">
        <f>'Working Capital'!G22</f>
        <v>58086.370806380983</v>
      </c>
      <c r="H23" s="273">
        <f>'Working Capital'!H22</f>
        <v>66166.176919062651</v>
      </c>
      <c r="I23" s="273">
        <f>'Working Capital'!I22</f>
        <v>75393.095977913137</v>
      </c>
      <c r="J23" s="273">
        <f>'Working Capital'!J22</f>
        <v>85933.235029439718</v>
      </c>
      <c r="K23" s="273">
        <f>'Working Capital'!K22</f>
        <v>97977.218164536927</v>
      </c>
      <c r="L23" s="273">
        <f>'Working Capital'!L22</f>
        <v>111743.8728006637</v>
      </c>
      <c r="M23" s="273">
        <f>'Working Capital'!M22</f>
        <v>127484.48026395375</v>
      </c>
      <c r="N23" s="273">
        <f>'Working Capital'!N22</f>
        <v>145487.67857538603</v>
      </c>
      <c r="O23" s="273">
        <f>'Working Capital'!O22</f>
        <v>166085.11927279507</v>
      </c>
      <c r="P23" s="273">
        <f>'Working Capital'!P22</f>
        <v>189657.99627162397</v>
      </c>
    </row>
    <row r="24" spans="1:16" ht="13.5" thickBot="1" x14ac:dyDescent="0.25">
      <c r="A24" s="63"/>
      <c r="B24" s="63"/>
      <c r="C24" s="264">
        <f t="shared" ref="C24:G24" si="9">SUM(C21:C23)</f>
        <v>110441</v>
      </c>
      <c r="D24" s="264">
        <f t="shared" si="9"/>
        <v>132368</v>
      </c>
      <c r="E24" s="264">
        <f t="shared" si="9"/>
        <v>154485</v>
      </c>
      <c r="F24" s="264">
        <f t="shared" si="9"/>
        <v>141605</v>
      </c>
      <c r="G24" s="264">
        <f t="shared" si="9"/>
        <v>168344.07509263846</v>
      </c>
      <c r="H24" s="264">
        <f t="shared" ref="H24" si="10">SUM(H21:H23)</f>
        <v>191760.71255999117</v>
      </c>
      <c r="I24" s="264">
        <f t="shared" ref="I24" si="11">SUM(I21:I23)</f>
        <v>218501.87633650628</v>
      </c>
      <c r="J24" s="264">
        <f t="shared" ref="J24" si="12">SUM(J21:J23)</f>
        <v>249048.97258893948</v>
      </c>
      <c r="K24" s="264">
        <f t="shared" ref="K24" si="13">SUM(K21:K23)</f>
        <v>283954.46200344677</v>
      </c>
      <c r="L24" s="264">
        <f t="shared" ref="L24" si="14">SUM(L21:L23)</f>
        <v>323852.54325151729</v>
      </c>
      <c r="M24" s="264">
        <f t="shared" ref="M24" si="15">SUM(M21:M23)</f>
        <v>369471.47189205053</v>
      </c>
      <c r="N24" s="264">
        <f t="shared" ref="N24" si="16">SUM(N21:N23)</f>
        <v>421647.76947052625</v>
      </c>
      <c r="O24" s="264">
        <f t="shared" ref="O24" si="17">SUM(O21:O23)</f>
        <v>481342.61794089898</v>
      </c>
      <c r="P24" s="264">
        <f t="shared" ref="P24" si="18">SUM(P21:P23)</f>
        <v>549660.78140248067</v>
      </c>
    </row>
    <row r="25" spans="1:16" ht="12.75" x14ac:dyDescent="0.2">
      <c r="A25" s="63"/>
      <c r="B25" s="63"/>
      <c r="C25" s="3"/>
      <c r="D25" s="87"/>
      <c r="E25" s="2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3.5" thickBot="1" x14ac:dyDescent="0.25">
      <c r="A26" s="63"/>
      <c r="B26" s="267" t="s">
        <v>239</v>
      </c>
      <c r="C26" s="268">
        <f>C10+C18+C24</f>
        <v>427255.01186017477</v>
      </c>
      <c r="D26" s="268">
        <f>D10+D18+D24</f>
        <v>519605.01385175181</v>
      </c>
      <c r="E26" s="268">
        <f>E10+E18+E24</f>
        <v>602484.0184260211</v>
      </c>
      <c r="F26" s="268">
        <f>F10+F18+F24</f>
        <v>639687.02083207713</v>
      </c>
      <c r="G26" s="268">
        <f>G10+G18+G24</f>
        <v>729943.35303720925</v>
      </c>
      <c r="H26" s="268">
        <f t="shared" ref="H26:P26" si="19">H10+H18+H24</f>
        <v>837424.63725697924</v>
      </c>
      <c r="I26" s="268">
        <f t="shared" si="19"/>
        <v>960062.86262050178</v>
      </c>
      <c r="J26" s="268">
        <f t="shared" si="19"/>
        <v>1100024.0500278827</v>
      </c>
      <c r="K26" s="268">
        <f t="shared" si="19"/>
        <v>1259789.8907496324</v>
      </c>
      <c r="L26" s="268">
        <f t="shared" si="19"/>
        <v>1442204.6332040585</v>
      </c>
      <c r="M26" s="268">
        <f t="shared" si="19"/>
        <v>1650529.063190893</v>
      </c>
      <c r="N26" s="268">
        <f t="shared" si="19"/>
        <v>1888502.6700772317</v>
      </c>
      <c r="O26" s="268">
        <f t="shared" si="19"/>
        <v>2160415.2626366848</v>
      </c>
      <c r="P26" s="268">
        <f t="shared" si="19"/>
        <v>2471189.4967334345</v>
      </c>
    </row>
    <row r="27" spans="1:16" ht="13.5" thickTop="1" x14ac:dyDescent="0.2">
      <c r="A27" s="63"/>
      <c r="B27" s="221"/>
      <c r="C27" s="266"/>
      <c r="D27" s="266"/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</row>
    <row r="28" spans="1:16" s="248" customFormat="1" ht="15" x14ac:dyDescent="0.35">
      <c r="B28" s="263" t="s">
        <v>238</v>
      </c>
      <c r="C28" s="223"/>
      <c r="D28" s="223"/>
      <c r="E28" s="223"/>
      <c r="F28" s="223"/>
      <c r="G28" s="249"/>
      <c r="H28" s="249"/>
      <c r="I28" s="249"/>
      <c r="J28" s="249"/>
      <c r="K28" s="249"/>
      <c r="L28" s="249"/>
      <c r="M28" s="249"/>
      <c r="N28" s="249"/>
      <c r="O28" s="249"/>
      <c r="P28" s="249"/>
    </row>
    <row r="29" spans="1:16" x14ac:dyDescent="0.2">
      <c r="B29" s="247" t="s">
        <v>295</v>
      </c>
      <c r="C29" s="223">
        <f>SUM('BS Input'!C33:C36)</f>
        <v>135365.01186</v>
      </c>
      <c r="D29" s="223">
        <f>SUM('BS Input'!D33:D36)</f>
        <v>145630.01386000001</v>
      </c>
      <c r="E29" s="223">
        <f>SUM('BS Input'!E33:E36)</f>
        <v>155209</v>
      </c>
      <c r="F29" s="223">
        <f>SUM('BS Input'!F33:F36)</f>
        <v>170442</v>
      </c>
      <c r="G29" s="249">
        <f>'Fixed Assets Schedule'!G85</f>
        <v>176347.32491245095</v>
      </c>
      <c r="H29" s="249">
        <f>'Fixed Assets Schedule'!H85</f>
        <v>170351.43617226178</v>
      </c>
      <c r="I29" s="249">
        <f>'Fixed Assets Schedule'!I85</f>
        <v>172813.15907411487</v>
      </c>
      <c r="J29" s="249">
        <f>'Fixed Assets Schedule'!J85</f>
        <v>194618.15890312276</v>
      </c>
      <c r="K29" s="249">
        <f>'Fixed Assets Schedule'!K85</f>
        <v>212501.76676198581</v>
      </c>
      <c r="L29" s="249">
        <f>'Fixed Assets Schedule'!L85</f>
        <v>234086.20846183991</v>
      </c>
      <c r="M29" s="249">
        <f>'Fixed Assets Schedule'!M85</f>
        <v>257202.31916043482</v>
      </c>
      <c r="N29" s="249">
        <f>'Fixed Assets Schedule'!N85</f>
        <v>282813.09090567951</v>
      </c>
      <c r="O29" s="249">
        <f>'Fixed Assets Schedule'!O85</f>
        <v>310914.28894850623</v>
      </c>
      <c r="P29" s="249">
        <f>'Fixed Assets Schedule'!P85</f>
        <v>341839.71857532405</v>
      </c>
    </row>
    <row r="30" spans="1:16" x14ac:dyDescent="0.2">
      <c r="B30" s="258" t="s">
        <v>39</v>
      </c>
      <c r="C30" s="223">
        <f>'BS Input'!C38</f>
        <v>195345</v>
      </c>
      <c r="D30" s="223">
        <f>'BS Input'!D38</f>
        <v>269718</v>
      </c>
      <c r="E30" s="223">
        <f>'BS Input'!E38</f>
        <v>349058</v>
      </c>
      <c r="F30" s="223">
        <f>'BS Input'!F38</f>
        <v>324581</v>
      </c>
      <c r="G30" s="224">
        <f>G31*'Income Statement'!G$6</f>
        <v>378883.90564783249</v>
      </c>
      <c r="H30" s="224">
        <f>H31*'Income Statement'!H$6</f>
        <v>431586.60430763185</v>
      </c>
      <c r="I30" s="224">
        <f>I31*'Income Statement'!I$6</f>
        <v>491771.65428719867</v>
      </c>
      <c r="J30" s="224">
        <f>J31*'Income Statement'!J$6</f>
        <v>560522.53327092982</v>
      </c>
      <c r="K30" s="224">
        <f>K31*'Income Statement'!K$6</f>
        <v>639082.63792943885</v>
      </c>
      <c r="L30" s="224">
        <f>L31*'Income Statement'!L$6</f>
        <v>728879.32868202345</v>
      </c>
      <c r="M30" s="224">
        <f>M31*'Income Statement'!M$6</f>
        <v>831551.65525653213</v>
      </c>
      <c r="N30" s="224">
        <f>N31*'Income Statement'!N$6</f>
        <v>948982.33642483479</v>
      </c>
      <c r="O30" s="224">
        <f>O31*'Income Statement'!O$6</f>
        <v>1083334.6581389441</v>
      </c>
      <c r="P30" s="224">
        <f>P31*'Income Statement'!P$6</f>
        <v>1237095.0597733171</v>
      </c>
    </row>
    <row r="31" spans="1:16" ht="12.75" x14ac:dyDescent="0.2">
      <c r="B31" s="262" t="s">
        <v>296</v>
      </c>
      <c r="C31" s="301">
        <f>C30/'Income Statement'!C$6</f>
        <v>0.33920540380975533</v>
      </c>
      <c r="D31" s="301">
        <f>D30/'Income Statement'!D$6</f>
        <v>0.39614893148270547</v>
      </c>
      <c r="E31" s="301">
        <f>E30/'Income Statement'!E$6</f>
        <v>0.43736452097121392</v>
      </c>
      <c r="F31" s="301">
        <f>F30/'Income Statement'!F$6</f>
        <v>0.37711938746463575</v>
      </c>
      <c r="G31" s="302">
        <f>AVERAGE(C31:F31)</f>
        <v>0.38745956093207762</v>
      </c>
      <c r="H31" s="302">
        <f>G31</f>
        <v>0.38745956093207762</v>
      </c>
      <c r="I31" s="302">
        <f t="shared" ref="I31:P31" si="20">H31</f>
        <v>0.38745956093207762</v>
      </c>
      <c r="J31" s="302">
        <f t="shared" si="20"/>
        <v>0.38745956093207762</v>
      </c>
      <c r="K31" s="302">
        <f t="shared" si="20"/>
        <v>0.38745956093207762</v>
      </c>
      <c r="L31" s="302">
        <f t="shared" si="20"/>
        <v>0.38745956093207762</v>
      </c>
      <c r="M31" s="302">
        <f t="shared" si="20"/>
        <v>0.38745956093207762</v>
      </c>
      <c r="N31" s="302">
        <f t="shared" si="20"/>
        <v>0.38745956093207762</v>
      </c>
      <c r="O31" s="302">
        <f t="shared" si="20"/>
        <v>0.38745956093207762</v>
      </c>
      <c r="P31" s="302">
        <f t="shared" si="20"/>
        <v>0.38745956093207762</v>
      </c>
    </row>
    <row r="32" spans="1:16" x14ac:dyDescent="0.2">
      <c r="B32" s="247" t="s">
        <v>237</v>
      </c>
      <c r="C32" s="223">
        <f>SUM('BS Input'!C39:C41)</f>
        <v>17034</v>
      </c>
      <c r="D32" s="223">
        <f>SUM('BS Input'!D39:D41)</f>
        <v>16277</v>
      </c>
      <c r="E32" s="223">
        <f>SUM('BS Input'!E39:E41)</f>
        <v>18917</v>
      </c>
      <c r="F32" s="223">
        <f>SUM('BS Input'!F39:F41)</f>
        <v>20937</v>
      </c>
      <c r="G32" s="224">
        <f>G33*'Income Statement'!G$6</f>
        <v>28923.901985269138</v>
      </c>
      <c r="H32" s="224">
        <f>H33*'Income Statement'!H$6</f>
        <v>32947.212734742061</v>
      </c>
      <c r="I32" s="224">
        <f>I33*'Income Statement'!I$6</f>
        <v>37541.724300523783</v>
      </c>
      <c r="J32" s="224">
        <f>J33*'Income Statement'!J$6</f>
        <v>42790.149096310342</v>
      </c>
      <c r="K32" s="224">
        <f>K33*'Income Statement'!K$6</f>
        <v>48787.407710951105</v>
      </c>
      <c r="L32" s="224">
        <f>L33*'Income Statement'!L$6</f>
        <v>55642.464479562987</v>
      </c>
      <c r="M32" s="224">
        <f>M33*'Income Statement'!M$6</f>
        <v>63480.444045791686</v>
      </c>
      <c r="N32" s="224">
        <f>N33*'Income Statement'!N$6</f>
        <v>72445.072686767598</v>
      </c>
      <c r="O32" s="224">
        <f>O33*'Income Statement'!O$6</f>
        <v>82701.495107529452</v>
      </c>
      <c r="P32" s="224">
        <f>P33*'Income Statement'!P$6</f>
        <v>94439.525464041799</v>
      </c>
    </row>
    <row r="33" spans="2:16" ht="12.75" x14ac:dyDescent="0.2">
      <c r="B33" s="262" t="s">
        <v>296</v>
      </c>
      <c r="C33" s="301">
        <f>C32/'Income Statement'!C$6</f>
        <v>2.9578565351021897E-2</v>
      </c>
      <c r="D33" s="301">
        <f>D32/'Income Statement'!D$6</f>
        <v>2.3906881104501725E-2</v>
      </c>
      <c r="E33" s="301">
        <f>E32/'Income Statement'!E$6</f>
        <v>2.3702721734532525E-2</v>
      </c>
      <c r="F33" s="301">
        <f>F32/'Income Statement'!F$6</f>
        <v>2.4325972916920825E-2</v>
      </c>
      <c r="G33" s="302">
        <f>C33</f>
        <v>2.9578565351021897E-2</v>
      </c>
      <c r="H33" s="302">
        <f>G33</f>
        <v>2.9578565351021897E-2</v>
      </c>
      <c r="I33" s="302">
        <f t="shared" ref="I33:P33" si="21">H33</f>
        <v>2.9578565351021897E-2</v>
      </c>
      <c r="J33" s="302">
        <f t="shared" si="21"/>
        <v>2.9578565351021897E-2</v>
      </c>
      <c r="K33" s="302">
        <f t="shared" si="21"/>
        <v>2.9578565351021897E-2</v>
      </c>
      <c r="L33" s="302">
        <f t="shared" si="21"/>
        <v>2.9578565351021897E-2</v>
      </c>
      <c r="M33" s="302">
        <f t="shared" si="21"/>
        <v>2.9578565351021897E-2</v>
      </c>
      <c r="N33" s="302">
        <f t="shared" si="21"/>
        <v>2.9578565351021897E-2</v>
      </c>
      <c r="O33" s="302">
        <f t="shared" si="21"/>
        <v>2.9578565351021897E-2</v>
      </c>
      <c r="P33" s="302">
        <f t="shared" si="21"/>
        <v>2.9578565351021897E-2</v>
      </c>
    </row>
    <row r="34" spans="2:16" ht="13.5" thickBot="1" x14ac:dyDescent="0.25">
      <c r="C34" s="264">
        <f t="shared" ref="C34:P34" si="22">SUM(C29:C30)+C32</f>
        <v>347744.01185999997</v>
      </c>
      <c r="D34" s="264">
        <f t="shared" si="22"/>
        <v>431625.01386000001</v>
      </c>
      <c r="E34" s="264">
        <f t="shared" si="22"/>
        <v>523184</v>
      </c>
      <c r="F34" s="264">
        <f t="shared" si="22"/>
        <v>515960</v>
      </c>
      <c r="G34" s="264">
        <f t="shared" si="22"/>
        <v>584155.13254555257</v>
      </c>
      <c r="H34" s="264">
        <f t="shared" si="22"/>
        <v>634885.25321463565</v>
      </c>
      <c r="I34" s="264">
        <f t="shared" si="22"/>
        <v>702126.5376618373</v>
      </c>
      <c r="J34" s="264">
        <f t="shared" si="22"/>
        <v>797930.84127036296</v>
      </c>
      <c r="K34" s="264">
        <f t="shared" si="22"/>
        <v>900371.81240237574</v>
      </c>
      <c r="L34" s="264">
        <f t="shared" si="22"/>
        <v>1018608.0016234263</v>
      </c>
      <c r="M34" s="264">
        <f t="shared" si="22"/>
        <v>1152234.4184627587</v>
      </c>
      <c r="N34" s="264">
        <f t="shared" si="22"/>
        <v>1304240.5000172821</v>
      </c>
      <c r="O34" s="264">
        <f t="shared" si="22"/>
        <v>1476950.4421949799</v>
      </c>
      <c r="P34" s="264">
        <f t="shared" si="22"/>
        <v>1673374.3038126829</v>
      </c>
    </row>
    <row r="35" spans="2:16" x14ac:dyDescent="0.2">
      <c r="C35" s="223"/>
      <c r="D35" s="223"/>
      <c r="E35" s="223"/>
      <c r="F35" s="223"/>
      <c r="G35" s="224"/>
      <c r="H35" s="224"/>
      <c r="I35" s="224"/>
      <c r="J35" s="224"/>
      <c r="K35" s="224"/>
      <c r="L35" s="224"/>
      <c r="M35" s="224"/>
      <c r="N35" s="224"/>
      <c r="O35" s="224"/>
      <c r="P35" s="224"/>
    </row>
    <row r="36" spans="2:16" ht="15" x14ac:dyDescent="0.35">
      <c r="B36" s="263" t="s">
        <v>15</v>
      </c>
      <c r="C36" s="223"/>
      <c r="D36" s="223"/>
      <c r="E36" s="223"/>
      <c r="F36" s="223"/>
      <c r="G36" s="224"/>
      <c r="H36" s="224"/>
      <c r="I36" s="224"/>
      <c r="J36" s="224"/>
      <c r="K36" s="224"/>
      <c r="L36" s="224"/>
      <c r="M36" s="224"/>
      <c r="N36" s="224"/>
      <c r="O36" s="224"/>
      <c r="P36" s="224"/>
    </row>
    <row r="37" spans="2:16" ht="12.75" x14ac:dyDescent="0.2">
      <c r="B37" s="90" t="s">
        <v>31</v>
      </c>
      <c r="C37" s="223">
        <f>'BS Input'!C45</f>
        <v>31326</v>
      </c>
      <c r="D37" s="223">
        <f>'BS Input'!D45</f>
        <v>32637</v>
      </c>
      <c r="E37" s="223">
        <f>'BS Input'!E45</f>
        <v>31602</v>
      </c>
      <c r="F37" s="223">
        <f>'BS Input'!F45</f>
        <v>33226</v>
      </c>
      <c r="G37" s="224">
        <f>'Working Capital'!G7</f>
        <v>54366.278927837666</v>
      </c>
      <c r="H37" s="224">
        <f>'Working Capital'!H7</f>
        <v>61928.620776825126</v>
      </c>
      <c r="I37" s="224">
        <f>'Working Capital'!I7</f>
        <v>70564.609705624607</v>
      </c>
      <c r="J37" s="224">
        <f>'Working Capital'!J7</f>
        <v>80429.714577188381</v>
      </c>
      <c r="K37" s="224">
        <f>'Working Capital'!K7</f>
        <v>91702.351125742323</v>
      </c>
      <c r="L37" s="224">
        <f>'Working Capital'!L7</f>
        <v>104587.33215417762</v>
      </c>
      <c r="M37" s="224">
        <f>'Working Capital'!M7</f>
        <v>119319.84589126967</v>
      </c>
      <c r="N37" s="224">
        <f>'Working Capital'!N7</f>
        <v>136170.04478310648</v>
      </c>
      <c r="O37" s="224">
        <f>'Working Capital'!O7</f>
        <v>155448.34002877746</v>
      </c>
      <c r="P37" s="224">
        <f>'Working Capital'!P7</f>
        <v>177511.51230583002</v>
      </c>
    </row>
    <row r="38" spans="2:16" ht="12.75" x14ac:dyDescent="0.2">
      <c r="B38" s="90" t="s">
        <v>16</v>
      </c>
      <c r="C38" s="223">
        <f>'BS Input'!C46</f>
        <v>13234</v>
      </c>
      <c r="D38" s="223">
        <f>'BS Input'!D46</f>
        <v>12026</v>
      </c>
      <c r="E38" s="223">
        <f>'BS Input'!E46</f>
        <v>14654</v>
      </c>
      <c r="F38" s="223">
        <f>'BS Input'!F46</f>
        <v>23128</v>
      </c>
      <c r="G38" s="224">
        <f>'Working Capital'!G8</f>
        <v>26276.869250223837</v>
      </c>
      <c r="H38" s="224">
        <f>'Working Capital'!H8</f>
        <v>29931.978113846842</v>
      </c>
      <c r="I38" s="224">
        <f>'Working Capital'!I8</f>
        <v>34106.013129736973</v>
      </c>
      <c r="J38" s="224">
        <f>'Working Capital'!J8</f>
        <v>38874.117108195846</v>
      </c>
      <c r="K38" s="224">
        <f>'Working Capital'!K8</f>
        <v>44322.523777425798</v>
      </c>
      <c r="L38" s="224">
        <f>'Working Capital'!L8</f>
        <v>50550.22536842883</v>
      </c>
      <c r="M38" s="224">
        <f>'Working Capital'!M8</f>
        <v>57670.895475546859</v>
      </c>
      <c r="N38" s="224">
        <f>'Working Capital'!N8</f>
        <v>65815.106958344273</v>
      </c>
      <c r="O38" s="224">
        <f>'Working Capital'!O8</f>
        <v>75132.890951067049</v>
      </c>
      <c r="P38" s="224">
        <f>'Working Capital'!P8</f>
        <v>85796.690361337503</v>
      </c>
    </row>
    <row r="39" spans="2:16" ht="12.75" x14ac:dyDescent="0.2">
      <c r="B39" s="90" t="s">
        <v>17</v>
      </c>
      <c r="C39" s="223">
        <f>'BS Input'!C47</f>
        <v>507</v>
      </c>
      <c r="D39" s="223">
        <f>'BS Input'!D47</f>
        <v>235</v>
      </c>
      <c r="E39" s="223">
        <f>'BS Input'!E47</f>
        <v>740</v>
      </c>
      <c r="F39" s="223">
        <f>'BS Input'!F47</f>
        <v>1878</v>
      </c>
      <c r="G39" s="224">
        <f>'Cash Flow'!G41</f>
        <v>-22762.766652342441</v>
      </c>
      <c r="H39" s="224">
        <f>'Cash Flow'!H41</f>
        <v>10542.980891120547</v>
      </c>
      <c r="I39" s="224">
        <f>'Cash Flow'!I41</f>
        <v>39165.893720283064</v>
      </c>
      <c r="J39" s="224">
        <f>'Cash Flow'!J41</f>
        <v>52738.139547545994</v>
      </c>
      <c r="K39" s="224">
        <f>'Cash Flow'!K41</f>
        <v>75114.621632892318</v>
      </c>
      <c r="L39" s="224">
        <f>'Cash Flow'!L41</f>
        <v>99346.059741169433</v>
      </c>
      <c r="M39" s="224">
        <f>'Cash Flow'!M41</f>
        <v>128369.07957366957</v>
      </c>
      <c r="N39" s="224">
        <f>'Cash Flow'!N41</f>
        <v>162096.18378825253</v>
      </c>
      <c r="O39" s="224">
        <f>'Cash Flow'!O41</f>
        <v>201530.62202480272</v>
      </c>
      <c r="P39" s="224">
        <f>'Cash Flow'!P41</f>
        <v>247478.86950022934</v>
      </c>
    </row>
    <row r="40" spans="2:16" ht="12.75" x14ac:dyDescent="0.2">
      <c r="B40" s="63" t="s">
        <v>51</v>
      </c>
      <c r="C40" s="223">
        <f>'BS Input'!C51</f>
        <v>11413</v>
      </c>
      <c r="D40" s="223">
        <f>'BS Input'!D51</f>
        <v>21788</v>
      </c>
      <c r="E40" s="223">
        <f>'BS Input'!E51</f>
        <v>12173</v>
      </c>
      <c r="F40" s="223">
        <f>'BS Input'!F51</f>
        <v>50455</v>
      </c>
      <c r="G40" s="224">
        <f>G41*'Income Statement'!G6</f>
        <v>57324.430907127455</v>
      </c>
      <c r="H40" s="224">
        <f>H41*'Income Statement'!H6</f>
        <v>65298.251285633967</v>
      </c>
      <c r="I40" s="224">
        <f>I41*'Income Statement'!I6</f>
        <v>74404.13751560355</v>
      </c>
      <c r="J40" s="224">
        <f>J41*'Income Statement'!J6</f>
        <v>84806.017757437789</v>
      </c>
      <c r="K40" s="224">
        <f>K41*'Income Statement'!K6</f>
        <v>96692.015617001831</v>
      </c>
      <c r="L40" s="224">
        <f>L41*'Income Statement'!L6</f>
        <v>110278.08807350729</v>
      </c>
      <c r="M40" s="224">
        <f>M41*'Income Statement'!M6</f>
        <v>125812.22030520219</v>
      </c>
      <c r="N40" s="224">
        <f>N41*'Income Statement'!N6</f>
        <v>143579.26416392511</v>
      </c>
      <c r="O40" s="224">
        <f>O41*'Income Statement'!O6</f>
        <v>163906.52079453858</v>
      </c>
      <c r="P40" s="224">
        <f>P41*'Income Statement'!P6</f>
        <v>187170.18385425818</v>
      </c>
    </row>
    <row r="41" spans="2:16" ht="12.75" x14ac:dyDescent="0.2">
      <c r="B41" s="262" t="s">
        <v>296</v>
      </c>
      <c r="C41" s="301">
        <f>C40/'Income Statement'!C6</f>
        <v>1.9818020802583828E-2</v>
      </c>
      <c r="D41" s="301">
        <f>D40/'Income Statement'!D6</f>
        <v>3.2001175001835941E-2</v>
      </c>
      <c r="E41" s="301">
        <f>E40/'Income Statement'!E6</f>
        <v>1.5252589293992938E-2</v>
      </c>
      <c r="F41" s="301">
        <f>F40/'Income Statement'!F6</f>
        <v>5.8621911616909786E-2</v>
      </c>
      <c r="G41" s="302">
        <f>F41</f>
        <v>5.8621911616909786E-2</v>
      </c>
      <c r="H41" s="302">
        <f>G41</f>
        <v>5.8621911616909786E-2</v>
      </c>
      <c r="I41" s="302">
        <f t="shared" ref="I41:P43" si="23">H41</f>
        <v>5.8621911616909786E-2</v>
      </c>
      <c r="J41" s="302">
        <f t="shared" si="23"/>
        <v>5.8621911616909786E-2</v>
      </c>
      <c r="K41" s="302">
        <f t="shared" si="23"/>
        <v>5.8621911616909786E-2</v>
      </c>
      <c r="L41" s="302">
        <f t="shared" si="23"/>
        <v>5.8621911616909786E-2</v>
      </c>
      <c r="M41" s="302">
        <f t="shared" si="23"/>
        <v>5.8621911616909786E-2</v>
      </c>
      <c r="N41" s="302">
        <f t="shared" si="23"/>
        <v>5.8621911616909786E-2</v>
      </c>
      <c r="O41" s="302">
        <f t="shared" si="23"/>
        <v>5.8621911616909786E-2</v>
      </c>
      <c r="P41" s="302">
        <f t="shared" si="23"/>
        <v>5.8621911616909786E-2</v>
      </c>
    </row>
    <row r="42" spans="2:16" ht="12.75" x14ac:dyDescent="0.2">
      <c r="B42" s="90" t="s">
        <v>237</v>
      </c>
      <c r="C42" s="223">
        <f>SUM('BS Input'!C48+'BS Input'!C49+'BS Input'!C50+'BS Input'!C52)</f>
        <v>23031</v>
      </c>
      <c r="D42" s="223">
        <f>SUM('BS Input'!D48+'BS Input'!D49+'BS Input'!D50+'BS Input'!D52)</f>
        <v>21294</v>
      </c>
      <c r="E42" s="223">
        <f>SUM('BS Input'!E48+'BS Input'!E49+'BS Input'!E50+'BS Input'!E52)</f>
        <v>20131</v>
      </c>
      <c r="F42" s="223">
        <f>SUM('BS Input'!F48+'BS Input'!F49+'BS Input'!F50+'BS Input'!F52)</f>
        <v>15040</v>
      </c>
      <c r="G42" s="224">
        <f>G43*'Income Statement'!G$6</f>
        <v>30583.387226733001</v>
      </c>
      <c r="H42" s="224">
        <f>H43*'Income Statement'!H$6</f>
        <v>34837.532142839933</v>
      </c>
      <c r="I42" s="224">
        <f>I43*'Income Statement'!I$6</f>
        <v>39695.65005533908</v>
      </c>
      <c r="J42" s="224">
        <f>J43*'Income Statement'!J$6</f>
        <v>45245.198935074499</v>
      </c>
      <c r="K42" s="224">
        <f>K43*'Income Statement'!K$6</f>
        <v>51586.545362117169</v>
      </c>
      <c r="L42" s="224">
        <f>L43*'Income Statement'!L$6</f>
        <v>58834.905411271975</v>
      </c>
      <c r="M42" s="224">
        <f>M43*'Income Statement'!M$6</f>
        <v>67122.582650369164</v>
      </c>
      <c r="N42" s="224">
        <f>N43*'Income Statement'!N$6</f>
        <v>76601.549534244681</v>
      </c>
      <c r="O42" s="224">
        <f>O43*'Income Statement'!O$6</f>
        <v>87446.425810442146</v>
      </c>
      <c r="P42" s="224">
        <f>P43*'Income Statement'!P$6</f>
        <v>99857.916067019425</v>
      </c>
    </row>
    <row r="43" spans="2:16" ht="12.75" x14ac:dyDescent="0.2">
      <c r="B43" s="262" t="s">
        <v>296</v>
      </c>
      <c r="C43" s="301">
        <f>C42/'Income Statement'!C$6</f>
        <v>3.999201236347219E-2</v>
      </c>
      <c r="D43" s="301">
        <f>D42/'Income Statement'!D$6</f>
        <v>3.1275611368142761E-2</v>
      </c>
      <c r="E43" s="301">
        <f>E42/'Income Statement'!E$6</f>
        <v>2.5223845812648634E-2</v>
      </c>
      <c r="F43" s="301">
        <f>F42/'Income Statement'!F$6</f>
        <v>1.7474453487629039E-2</v>
      </c>
      <c r="G43" s="302">
        <f>D43</f>
        <v>3.1275611368142761E-2</v>
      </c>
      <c r="H43" s="302">
        <f>G43</f>
        <v>3.1275611368142761E-2</v>
      </c>
      <c r="I43" s="302">
        <f t="shared" si="23"/>
        <v>3.1275611368142761E-2</v>
      </c>
      <c r="J43" s="302">
        <f t="shared" si="23"/>
        <v>3.1275611368142761E-2</v>
      </c>
      <c r="K43" s="302">
        <f t="shared" si="23"/>
        <v>3.1275611368142761E-2</v>
      </c>
      <c r="L43" s="302">
        <f t="shared" si="23"/>
        <v>3.1275611368142761E-2</v>
      </c>
      <c r="M43" s="302">
        <f t="shared" si="23"/>
        <v>3.1275611368142761E-2</v>
      </c>
      <c r="N43" s="302">
        <f t="shared" si="23"/>
        <v>3.1275611368142761E-2</v>
      </c>
      <c r="O43" s="302">
        <f t="shared" si="23"/>
        <v>3.1275611368142761E-2</v>
      </c>
      <c r="P43" s="302">
        <f t="shared" si="23"/>
        <v>3.1275611368142761E-2</v>
      </c>
    </row>
    <row r="44" spans="2:16" ht="13.5" thickBot="1" x14ac:dyDescent="0.25">
      <c r="B44" s="250"/>
      <c r="C44" s="264">
        <f>SUM(C37:C40)+C42</f>
        <v>79511</v>
      </c>
      <c r="D44" s="264">
        <f t="shared" ref="D44:P44" si="24">SUM(D37:D40)+D42</f>
        <v>87980</v>
      </c>
      <c r="E44" s="264">
        <f t="shared" si="24"/>
        <v>79300</v>
      </c>
      <c r="F44" s="264">
        <f t="shared" si="24"/>
        <v>123727</v>
      </c>
      <c r="G44" s="264">
        <f t="shared" si="24"/>
        <v>145788.19965957952</v>
      </c>
      <c r="H44" s="264">
        <f t="shared" si="24"/>
        <v>202539.3632102664</v>
      </c>
      <c r="I44" s="264">
        <f>SUM(I37:I40)+I42</f>
        <v>257936.30412658729</v>
      </c>
      <c r="J44" s="264">
        <f t="shared" si="24"/>
        <v>302093.18792544253</v>
      </c>
      <c r="K44" s="264">
        <f t="shared" si="24"/>
        <v>359418.05751517945</v>
      </c>
      <c r="L44" s="264">
        <f t="shared" si="24"/>
        <v>423596.61074855516</v>
      </c>
      <c r="M44" s="264">
        <f t="shared" si="24"/>
        <v>498294.62389605743</v>
      </c>
      <c r="N44" s="264">
        <f t="shared" si="24"/>
        <v>584262.14922787307</v>
      </c>
      <c r="O44" s="264">
        <f t="shared" si="24"/>
        <v>683464.79960962804</v>
      </c>
      <c r="P44" s="264">
        <f t="shared" si="24"/>
        <v>797815.1720886745</v>
      </c>
    </row>
    <row r="45" spans="2:16" ht="12.75" x14ac:dyDescent="0.2">
      <c r="B45" s="250"/>
      <c r="C45" s="275"/>
      <c r="D45" s="276"/>
      <c r="E45" s="276"/>
      <c r="F45" s="276"/>
      <c r="G45" s="277"/>
      <c r="H45" s="277"/>
      <c r="I45" s="277"/>
      <c r="J45" s="277"/>
      <c r="K45" s="277"/>
      <c r="L45" s="277"/>
      <c r="M45" s="277"/>
      <c r="N45" s="277"/>
      <c r="O45" s="277"/>
      <c r="P45" s="277"/>
    </row>
    <row r="46" spans="2:16" x14ac:dyDescent="0.25">
      <c r="B46" s="250" t="s">
        <v>240</v>
      </c>
      <c r="C46" s="251">
        <f t="shared" ref="C46:P46" si="25">C44-C18</f>
        <v>69000.988139825218</v>
      </c>
      <c r="D46" s="251">
        <f t="shared" si="25"/>
        <v>71647.986148248194</v>
      </c>
      <c r="E46" s="251">
        <f t="shared" si="25"/>
        <v>57055.981573978868</v>
      </c>
      <c r="F46" s="251">
        <f t="shared" si="25"/>
        <v>96741.979167922953</v>
      </c>
      <c r="G46" s="299">
        <f t="shared" si="25"/>
        <v>127576.51465880791</v>
      </c>
      <c r="H46" s="299">
        <f t="shared" si="25"/>
        <v>182714.44348621293</v>
      </c>
      <c r="I46" s="299">
        <f t="shared" si="25"/>
        <v>236269.11417883559</v>
      </c>
      <c r="J46" s="299">
        <f t="shared" si="25"/>
        <v>278321.5268964537</v>
      </c>
      <c r="K46" s="299">
        <f t="shared" si="25"/>
        <v>333241.66405459627</v>
      </c>
      <c r="L46" s="299">
        <f t="shared" si="25"/>
        <v>394671.53186499252</v>
      </c>
      <c r="M46" s="299">
        <f t="shared" si="25"/>
        <v>466226.73512681288</v>
      </c>
      <c r="N46" s="299">
        <f t="shared" si="25"/>
        <v>548599.6959058299</v>
      </c>
      <c r="O46" s="299">
        <f t="shared" si="25"/>
        <v>643689.80867462838</v>
      </c>
      <c r="P46" s="299">
        <f t="shared" si="25"/>
        <v>753333.56032988126</v>
      </c>
    </row>
    <row r="47" spans="2:16" x14ac:dyDescent="0.25">
      <c r="C47" s="252"/>
      <c r="D47" s="252"/>
      <c r="E47" s="252"/>
      <c r="F47" s="252"/>
      <c r="G47" s="300"/>
      <c r="H47" s="300"/>
      <c r="I47" s="300"/>
      <c r="J47" s="300"/>
      <c r="K47" s="300"/>
      <c r="L47" s="300"/>
      <c r="M47" s="300"/>
      <c r="N47" s="300"/>
      <c r="O47" s="300"/>
      <c r="P47" s="300"/>
    </row>
    <row r="48" spans="2:16" ht="12.75" thickBot="1" x14ac:dyDescent="0.25">
      <c r="B48" s="231" t="s">
        <v>241</v>
      </c>
      <c r="C48" s="232">
        <f>C34+C44</f>
        <v>427255.01185999997</v>
      </c>
      <c r="D48" s="232">
        <f t="shared" ref="D48:E48" si="26">D34+D44</f>
        <v>519605.01386000001</v>
      </c>
      <c r="E48" s="232">
        <f t="shared" si="26"/>
        <v>602484</v>
      </c>
      <c r="F48" s="232">
        <f>F34+F44</f>
        <v>639687</v>
      </c>
      <c r="G48" s="232">
        <f t="shared" ref="G48" si="27">G34+G44</f>
        <v>729943.33220513212</v>
      </c>
      <c r="H48" s="232">
        <f t="shared" ref="H48:P48" si="28">H34+H44</f>
        <v>837424.61642490211</v>
      </c>
      <c r="I48" s="232">
        <f t="shared" si="28"/>
        <v>960062.84178842464</v>
      </c>
      <c r="J48" s="232">
        <f t="shared" si="28"/>
        <v>1100024.0291958055</v>
      </c>
      <c r="K48" s="232">
        <f t="shared" si="28"/>
        <v>1259789.8699175552</v>
      </c>
      <c r="L48" s="232">
        <f t="shared" si="28"/>
        <v>1442204.6123719816</v>
      </c>
      <c r="M48" s="232">
        <f t="shared" si="28"/>
        <v>1650529.0423588161</v>
      </c>
      <c r="N48" s="232">
        <f t="shared" si="28"/>
        <v>1888502.649245155</v>
      </c>
      <c r="O48" s="232">
        <f t="shared" si="28"/>
        <v>2160415.2418046081</v>
      </c>
      <c r="P48" s="232">
        <f t="shared" si="28"/>
        <v>2471189.4759013574</v>
      </c>
    </row>
    <row r="50" spans="2:16" x14ac:dyDescent="0.25">
      <c r="B50" s="247" t="s">
        <v>20</v>
      </c>
      <c r="C50" s="420" t="b">
        <f t="shared" ref="C50:P50" si="29">ROUND(C26,0)=ROUND(C48,0)</f>
        <v>1</v>
      </c>
      <c r="D50" s="420" t="b">
        <f t="shared" si="29"/>
        <v>1</v>
      </c>
      <c r="E50" s="420" t="b">
        <f t="shared" si="29"/>
        <v>1</v>
      </c>
      <c r="F50" s="420" t="b">
        <f t="shared" si="29"/>
        <v>1</v>
      </c>
      <c r="G50" s="420" t="b">
        <f>ROUND(G26,0)=ROUND(G48,0)</f>
        <v>1</v>
      </c>
      <c r="H50" s="420" t="b">
        <f t="shared" si="29"/>
        <v>1</v>
      </c>
      <c r="I50" s="420" t="b">
        <f t="shared" si="29"/>
        <v>1</v>
      </c>
      <c r="J50" s="420" t="b">
        <f t="shared" si="29"/>
        <v>1</v>
      </c>
      <c r="K50" s="420" t="b">
        <f t="shared" si="29"/>
        <v>1</v>
      </c>
      <c r="L50" s="420" t="b">
        <f t="shared" si="29"/>
        <v>1</v>
      </c>
      <c r="M50" s="420" t="b">
        <f t="shared" si="29"/>
        <v>1</v>
      </c>
      <c r="N50" s="420" t="b">
        <f t="shared" si="29"/>
        <v>1</v>
      </c>
      <c r="O50" s="420" t="b">
        <f t="shared" si="29"/>
        <v>1</v>
      </c>
      <c r="P50" s="420" t="b">
        <f t="shared" si="29"/>
        <v>1</v>
      </c>
    </row>
  </sheetData>
  <pageMargins left="0.7" right="0.7" top="0.75" bottom="0.75" header="0.3" footer="0.3"/>
  <pageSetup paperSize="9" orientation="portrait" r:id="rId1"/>
  <ignoredErrors>
    <ignoredError sqref="H41:P41 G31:P31 G32:P32 C42:G42 G8:P8 H42:P42" formula="1"/>
    <ignoredError sqref="C32:F32" formula="1" formulaRange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9" tint="0.59999389629810485"/>
  </sheetPr>
  <dimension ref="B2:R45"/>
  <sheetViews>
    <sheetView showGridLines="0" zoomScaleNormal="100" workbookViewId="0">
      <pane xSplit="2" ySplit="4" topLeftCell="C23" activePane="bottomRight" state="frozen"/>
      <selection activeCell="G13" sqref="G13"/>
      <selection pane="topRight" activeCell="G13" sqref="G13"/>
      <selection pane="bottomLeft" activeCell="G13" sqref="G13"/>
      <selection pane="bottomRight" activeCell="C5" sqref="C5"/>
    </sheetView>
  </sheetViews>
  <sheetFormatPr defaultColWidth="8.85546875" defaultRowHeight="12.75" x14ac:dyDescent="0.2"/>
  <cols>
    <col min="1" max="1" width="2.140625" style="89" customWidth="1"/>
    <col min="2" max="2" width="43.5703125" style="89" customWidth="1"/>
    <col min="3" max="16" width="9.5703125" style="89" customWidth="1"/>
    <col min="17" max="17" width="1.42578125" style="89" customWidth="1"/>
    <col min="18" max="16384" width="8.85546875" style="89"/>
  </cols>
  <sheetData>
    <row r="2" spans="2:18" ht="14.25" x14ac:dyDescent="0.2">
      <c r="B2" s="185" t="s">
        <v>249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</row>
    <row r="3" spans="2:18" x14ac:dyDescent="0.2">
      <c r="B3" s="241"/>
      <c r="C3" s="242">
        <v>1</v>
      </c>
      <c r="D3" s="242">
        <f t="shared" ref="D3:P3" si="0">C3+1</f>
        <v>2</v>
      </c>
      <c r="E3" s="242">
        <f t="shared" si="0"/>
        <v>3</v>
      </c>
      <c r="F3" s="242">
        <f t="shared" si="0"/>
        <v>4</v>
      </c>
      <c r="G3" s="243">
        <f t="shared" si="0"/>
        <v>5</v>
      </c>
      <c r="H3" s="243">
        <f t="shared" si="0"/>
        <v>6</v>
      </c>
      <c r="I3" s="243">
        <f t="shared" si="0"/>
        <v>7</v>
      </c>
      <c r="J3" s="243">
        <f t="shared" si="0"/>
        <v>8</v>
      </c>
      <c r="K3" s="243">
        <f t="shared" si="0"/>
        <v>9</v>
      </c>
      <c r="L3" s="243">
        <f t="shared" si="0"/>
        <v>10</v>
      </c>
      <c r="M3" s="243">
        <f t="shared" si="0"/>
        <v>11</v>
      </c>
      <c r="N3" s="243">
        <f t="shared" si="0"/>
        <v>12</v>
      </c>
      <c r="O3" s="243">
        <f t="shared" si="0"/>
        <v>13</v>
      </c>
      <c r="P3" s="243">
        <f t="shared" si="0"/>
        <v>14</v>
      </c>
    </row>
    <row r="4" spans="2:18" ht="13.5" thickBot="1" x14ac:dyDescent="0.25">
      <c r="B4" s="220" t="s">
        <v>231</v>
      </c>
      <c r="C4" s="244" t="s">
        <v>96</v>
      </c>
      <c r="D4" s="244" t="s">
        <v>96</v>
      </c>
      <c r="E4" s="244" t="s">
        <v>96</v>
      </c>
      <c r="F4" s="244" t="s">
        <v>96</v>
      </c>
      <c r="G4" s="245" t="s">
        <v>97</v>
      </c>
      <c r="H4" s="246" t="s">
        <v>98</v>
      </c>
      <c r="I4" s="246" t="s">
        <v>98</v>
      </c>
      <c r="J4" s="246" t="s">
        <v>98</v>
      </c>
      <c r="K4" s="246" t="s">
        <v>98</v>
      </c>
      <c r="L4" s="246" t="s">
        <v>98</v>
      </c>
      <c r="M4" s="246" t="s">
        <v>98</v>
      </c>
      <c r="N4" s="246" t="s">
        <v>98</v>
      </c>
      <c r="O4" s="246" t="s">
        <v>98</v>
      </c>
      <c r="P4" s="246" t="s">
        <v>98</v>
      </c>
    </row>
    <row r="5" spans="2:18" x14ac:dyDescent="0.2">
      <c r="B5" s="32"/>
      <c r="C5" s="32"/>
      <c r="D5" s="33"/>
      <c r="E5" s="33"/>
      <c r="F5" s="33"/>
      <c r="G5" s="168"/>
      <c r="H5" s="168"/>
      <c r="I5" s="168"/>
      <c r="J5" s="168"/>
      <c r="K5" s="168"/>
      <c r="L5" s="213"/>
      <c r="M5" s="213"/>
      <c r="N5" s="213"/>
      <c r="O5" s="213"/>
      <c r="P5" s="213"/>
    </row>
    <row r="6" spans="2:18" x14ac:dyDescent="0.2">
      <c r="B6" s="303" t="s">
        <v>162</v>
      </c>
      <c r="C6" s="303"/>
      <c r="D6" s="304">
        <f>'Income Statement'!D15</f>
        <v>99544</v>
      </c>
      <c r="E6" s="304">
        <f>'Income Statement'!E15</f>
        <v>110036</v>
      </c>
      <c r="F6" s="304">
        <f>'Income Statement'!F15</f>
        <v>104681</v>
      </c>
      <c r="G6" s="322">
        <f>'Income Statement'!G15</f>
        <v>141647.65333839506</v>
      </c>
      <c r="H6" s="322">
        <f>'Income Statement'!H15</f>
        <v>161556.96824127299</v>
      </c>
      <c r="I6" s="322">
        <f>'Income Statement'!I15</f>
        <v>184292.8649402904</v>
      </c>
      <c r="J6" s="322">
        <f>'Income Statement'!J15</f>
        <v>210264.64502639885</v>
      </c>
      <c r="K6" s="322">
        <f>'Income Statement'!K15</f>
        <v>239942.02212895604</v>
      </c>
      <c r="L6" s="322">
        <f>'Income Statement'!L15</f>
        <v>273864.20522189216</v>
      </c>
      <c r="M6" s="322">
        <f>'Income Statement'!M15</f>
        <v>312650.3724118892</v>
      </c>
      <c r="N6" s="322">
        <f>'Income Statement'!N15</f>
        <v>357011.75181166088</v>
      </c>
      <c r="O6" s="322">
        <f>'Income Statement'!O15</f>
        <v>407765.56042031373</v>
      </c>
      <c r="P6" s="322">
        <f>'Income Statement'!P15</f>
        <v>465851.0917797694</v>
      </c>
      <c r="Q6" s="210"/>
      <c r="R6" s="210"/>
    </row>
    <row r="7" spans="2:18" x14ac:dyDescent="0.2">
      <c r="B7" s="305" t="s">
        <v>86</v>
      </c>
      <c r="C7" s="305"/>
      <c r="D7" s="306">
        <f>-'Income Statement'!D11</f>
        <v>26039</v>
      </c>
      <c r="E7" s="306">
        <f>-'Income Statement'!E11</f>
        <v>27598</v>
      </c>
      <c r="F7" s="306">
        <f>-'Income Statement'!F11</f>
        <v>30208</v>
      </c>
      <c r="G7" s="323">
        <f>-'Income Statement'!G11</f>
        <v>34285.675087549047</v>
      </c>
      <c r="H7" s="323">
        <f>-'Income Statement'!H11</f>
        <v>40281.563827738231</v>
      </c>
      <c r="I7" s="323">
        <f>-'Income Statement'!I11</f>
        <v>37969.342878006464</v>
      </c>
      <c r="J7" s="323">
        <f>-'Income Statement'!J11</f>
        <v>38435.042340299093</v>
      </c>
      <c r="K7" s="323">
        <f>-'Income Statement'!K11</f>
        <v>45008.854372876893</v>
      </c>
      <c r="L7" s="323">
        <f>-'Income Statement'!L11</f>
        <v>50288.96914179578</v>
      </c>
      <c r="M7" s="323">
        <f>-'Income Statement'!M11</f>
        <v>56687.748505783631</v>
      </c>
      <c r="N7" s="323">
        <f>-'Income Statement'!N11</f>
        <v>63510.590185378693</v>
      </c>
      <c r="O7" s="323">
        <f>-'Income Statement'!O11</f>
        <v>71057.984428829746</v>
      </c>
      <c r="P7" s="323">
        <f>-'Income Statement'!P11</f>
        <v>79323.210362360973</v>
      </c>
      <c r="Q7" s="210"/>
      <c r="R7" s="210"/>
    </row>
    <row r="8" spans="2:18" x14ac:dyDescent="0.2">
      <c r="B8" s="305" t="s">
        <v>159</v>
      </c>
      <c r="C8" s="305"/>
      <c r="D8" s="306">
        <f>-'Income Statement'!D13</f>
        <v>894</v>
      </c>
      <c r="E8" s="306">
        <f>-'Income Statement'!E13</f>
        <v>3458</v>
      </c>
      <c r="F8" s="306">
        <f>-'Income Statement'!F13</f>
        <v>759</v>
      </c>
      <c r="G8" s="323">
        <f>-'Income Statement'!G13</f>
        <v>1482</v>
      </c>
      <c r="H8" s="323">
        <f>-'Income Statement'!H13</f>
        <v>1482</v>
      </c>
      <c r="I8" s="323">
        <f>-'Income Statement'!I13</f>
        <v>1482</v>
      </c>
      <c r="J8" s="323">
        <f>-'Income Statement'!J13</f>
        <v>1482</v>
      </c>
      <c r="K8" s="323">
        <f>-'Income Statement'!K13</f>
        <v>1482</v>
      </c>
      <c r="L8" s="323">
        <f>-'Income Statement'!L13</f>
        <v>1482</v>
      </c>
      <c r="M8" s="323">
        <f>-'Income Statement'!M13</f>
        <v>1482</v>
      </c>
      <c r="N8" s="323">
        <f>-'Income Statement'!N13</f>
        <v>1482</v>
      </c>
      <c r="O8" s="323">
        <f>-'Income Statement'!O13</f>
        <v>1482</v>
      </c>
      <c r="P8" s="323">
        <f>-'Income Statement'!P13</f>
        <v>1482</v>
      </c>
      <c r="Q8" s="210"/>
      <c r="R8" s="210"/>
    </row>
    <row r="9" spans="2:18" x14ac:dyDescent="0.2">
      <c r="B9" s="305" t="s">
        <v>160</v>
      </c>
      <c r="C9" s="305"/>
      <c r="D9" s="306">
        <f>-'Income Statement'!D14</f>
        <v>-22896</v>
      </c>
      <c r="E9" s="306">
        <f>-'Income Statement'!E14</f>
        <v>-20458</v>
      </c>
      <c r="F9" s="306">
        <f>-'Income Statement'!F14</f>
        <v>-25616</v>
      </c>
      <c r="G9" s="323">
        <f>-'Income Statement'!G14</f>
        <v>-28048.704828297174</v>
      </c>
      <c r="H9" s="323">
        <f>-'Income Statement'!H14</f>
        <v>-31950.275774774404</v>
      </c>
      <c r="I9" s="323">
        <f>-'Income Statement'!I14</f>
        <v>-36405.763793107551</v>
      </c>
      <c r="J9" s="323">
        <f>-'Income Statement'!J14</f>
        <v>-41495.378534075331</v>
      </c>
      <c r="K9" s="323">
        <f>-'Income Statement'!K14</f>
        <v>-47311.168421162241</v>
      </c>
      <c r="L9" s="323">
        <f>-'Income Statement'!L14</f>
        <v>-53958.800679836771</v>
      </c>
      <c r="M9" s="323">
        <f>-'Income Statement'!M14</f>
        <v>-61559.613855574258</v>
      </c>
      <c r="N9" s="323">
        <f>-'Income Statement'!N14</f>
        <v>-70252.985267705764</v>
      </c>
      <c r="O9" s="323">
        <f>-'Income Statement'!O14</f>
        <v>-80199.062571549221</v>
      </c>
      <c r="P9" s="323">
        <f>-'Income Statement'!P14</f>
        <v>-91581.916409979662</v>
      </c>
      <c r="Q9" s="210"/>
      <c r="R9" s="210"/>
    </row>
    <row r="10" spans="2:18" x14ac:dyDescent="0.2">
      <c r="B10" s="305"/>
      <c r="C10" s="305"/>
      <c r="D10" s="306"/>
      <c r="E10" s="306"/>
      <c r="F10" s="306"/>
      <c r="G10" s="323"/>
      <c r="H10" s="323"/>
      <c r="I10" s="323"/>
      <c r="J10" s="323"/>
      <c r="K10" s="323"/>
      <c r="L10" s="323"/>
      <c r="M10" s="323"/>
      <c r="N10" s="323"/>
      <c r="O10" s="323"/>
      <c r="P10" s="323"/>
      <c r="Q10" s="210"/>
      <c r="R10" s="210"/>
    </row>
    <row r="11" spans="2:18" x14ac:dyDescent="0.2">
      <c r="B11" s="303" t="s">
        <v>87</v>
      </c>
      <c r="C11" s="303"/>
      <c r="D11" s="306"/>
      <c r="E11" s="306"/>
      <c r="F11" s="306"/>
      <c r="G11" s="323"/>
      <c r="H11" s="323"/>
      <c r="I11" s="323"/>
      <c r="J11" s="323"/>
      <c r="K11" s="323"/>
      <c r="L11" s="323"/>
      <c r="M11" s="323"/>
      <c r="N11" s="323"/>
      <c r="O11" s="323"/>
      <c r="P11" s="323"/>
      <c r="Q11" s="210"/>
      <c r="R11" s="210"/>
    </row>
    <row r="12" spans="2:18" x14ac:dyDescent="0.2">
      <c r="B12" s="307" t="s">
        <v>245</v>
      </c>
      <c r="C12" s="307"/>
      <c r="D12" s="306"/>
      <c r="E12" s="306"/>
      <c r="F12" s="306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210"/>
      <c r="R12" s="210"/>
    </row>
    <row r="13" spans="2:18" x14ac:dyDescent="0.2">
      <c r="B13" s="295" t="s">
        <v>31</v>
      </c>
      <c r="C13" s="295"/>
      <c r="D13" s="306">
        <f>-('Balance Sheet'!D37-'Balance Sheet'!C37)</f>
        <v>-1311</v>
      </c>
      <c r="E13" s="306">
        <f>-('Balance Sheet'!E37-'Balance Sheet'!D37)</f>
        <v>1035</v>
      </c>
      <c r="F13" s="306">
        <f>-('Balance Sheet'!F37-'Balance Sheet'!E37)</f>
        <v>-1624</v>
      </c>
      <c r="G13" s="323">
        <f>-('Balance Sheet'!G37-'Balance Sheet'!F37)</f>
        <v>-21140.278927837666</v>
      </c>
      <c r="H13" s="323">
        <f>-('Balance Sheet'!H37-'Balance Sheet'!G37)</f>
        <v>-7562.3418489874603</v>
      </c>
      <c r="I13" s="323">
        <f>-('Balance Sheet'!I37-'Balance Sheet'!H37)</f>
        <v>-8635.9889287994811</v>
      </c>
      <c r="J13" s="323">
        <f>-('Balance Sheet'!J37-'Balance Sheet'!I37)</f>
        <v>-9865.1048715637735</v>
      </c>
      <c r="K13" s="323">
        <f>-('Balance Sheet'!K37-'Balance Sheet'!J37)</f>
        <v>-11272.636548553943</v>
      </c>
      <c r="L13" s="323">
        <f>-('Balance Sheet'!L37-'Balance Sheet'!K37)</f>
        <v>-12884.981028435301</v>
      </c>
      <c r="M13" s="323">
        <f>-('Balance Sheet'!M37-'Balance Sheet'!L37)</f>
        <v>-14732.513737092042</v>
      </c>
      <c r="N13" s="323">
        <f>-('Balance Sheet'!N37-'Balance Sheet'!M37)</f>
        <v>-16850.198891836815</v>
      </c>
      <c r="O13" s="323">
        <f>-('Balance Sheet'!O37-'Balance Sheet'!N37)</f>
        <v>-19278.295245670975</v>
      </c>
      <c r="P13" s="323">
        <f>-('Balance Sheet'!P37-'Balance Sheet'!O37)</f>
        <v>-22063.172277052567</v>
      </c>
      <c r="Q13" s="210"/>
      <c r="R13" s="210"/>
    </row>
    <row r="14" spans="2:18" x14ac:dyDescent="0.2">
      <c r="B14" s="295" t="s">
        <v>16</v>
      </c>
      <c r="C14" s="295"/>
      <c r="D14" s="306">
        <f>-('Balance Sheet'!D38-'Balance Sheet'!C38)</f>
        <v>1208</v>
      </c>
      <c r="E14" s="306">
        <f>-('Balance Sheet'!E38-'Balance Sheet'!D38)</f>
        <v>-2628</v>
      </c>
      <c r="F14" s="306">
        <f>-('Balance Sheet'!F38-'Balance Sheet'!E38)</f>
        <v>-8474</v>
      </c>
      <c r="G14" s="323">
        <f>-('Balance Sheet'!G38-'Balance Sheet'!F38)</f>
        <v>-3148.8692502238373</v>
      </c>
      <c r="H14" s="323">
        <f>-('Balance Sheet'!H38-'Balance Sheet'!G38)</f>
        <v>-3655.1088636230052</v>
      </c>
      <c r="I14" s="323">
        <f>-('Balance Sheet'!I38-'Balance Sheet'!H38)</f>
        <v>-4174.035015890131</v>
      </c>
      <c r="J14" s="323">
        <f>-('Balance Sheet'!J38-'Balance Sheet'!I38)</f>
        <v>-4768.103978458872</v>
      </c>
      <c r="K14" s="323">
        <f>-('Balance Sheet'!K38-'Balance Sheet'!J38)</f>
        <v>-5448.406669229953</v>
      </c>
      <c r="L14" s="323">
        <f>-('Balance Sheet'!L38-'Balance Sheet'!K38)</f>
        <v>-6227.7015910030314</v>
      </c>
      <c r="M14" s="323">
        <f>-('Balance Sheet'!M38-'Balance Sheet'!L38)</f>
        <v>-7120.6701071180287</v>
      </c>
      <c r="N14" s="323">
        <f>-('Balance Sheet'!N38-'Balance Sheet'!M38)</f>
        <v>-8144.2114827974146</v>
      </c>
      <c r="O14" s="323">
        <f>-('Balance Sheet'!O38-'Balance Sheet'!N38)</f>
        <v>-9317.783992722776</v>
      </c>
      <c r="P14" s="323">
        <f>-('Balance Sheet'!P38-'Balance Sheet'!O38)</f>
        <v>-10663.799410270454</v>
      </c>
      <c r="Q14" s="210"/>
      <c r="R14" s="210"/>
    </row>
    <row r="15" spans="2:18" x14ac:dyDescent="0.2">
      <c r="B15" s="258" t="s">
        <v>51</v>
      </c>
      <c r="C15" s="258"/>
      <c r="D15" s="306">
        <f>-('Balance Sheet'!D40-'Balance Sheet'!C40)</f>
        <v>-10375</v>
      </c>
      <c r="E15" s="306">
        <f>-('Balance Sheet'!E40-'Balance Sheet'!D40)</f>
        <v>9615</v>
      </c>
      <c r="F15" s="306">
        <f>-('Balance Sheet'!F40-'Balance Sheet'!E40)</f>
        <v>-38282</v>
      </c>
      <c r="G15" s="323">
        <f>-('Balance Sheet'!G40-'Balance Sheet'!F40)</f>
        <v>-6869.4309071274547</v>
      </c>
      <c r="H15" s="323">
        <f>-('Balance Sheet'!H40-'Balance Sheet'!G40)</f>
        <v>-7973.8203785065125</v>
      </c>
      <c r="I15" s="323">
        <f>-('Balance Sheet'!I40-'Balance Sheet'!H40)</f>
        <v>-9105.8862299695829</v>
      </c>
      <c r="J15" s="323">
        <f>-('Balance Sheet'!J40-'Balance Sheet'!I40)</f>
        <v>-10401.880241834238</v>
      </c>
      <c r="K15" s="323">
        <f>-('Balance Sheet'!K40-'Balance Sheet'!J40)</f>
        <v>-11885.997859564042</v>
      </c>
      <c r="L15" s="323">
        <f>-('Balance Sheet'!L40-'Balance Sheet'!K40)</f>
        <v>-13586.072456505455</v>
      </c>
      <c r="M15" s="323">
        <f>-('Balance Sheet'!M40-'Balance Sheet'!L40)</f>
        <v>-15534.132231694908</v>
      </c>
      <c r="N15" s="323">
        <f>-('Balance Sheet'!N40-'Balance Sheet'!M40)</f>
        <v>-17767.043858722915</v>
      </c>
      <c r="O15" s="323">
        <f>-('Balance Sheet'!O40-'Balance Sheet'!N40)</f>
        <v>-20327.256630613469</v>
      </c>
      <c r="P15" s="323">
        <f>-('Balance Sheet'!P40-'Balance Sheet'!O40)</f>
        <v>-23263.663059719605</v>
      </c>
      <c r="Q15" s="210"/>
      <c r="R15" s="210"/>
    </row>
    <row r="16" spans="2:18" x14ac:dyDescent="0.2">
      <c r="B16" s="295" t="s">
        <v>237</v>
      </c>
      <c r="C16" s="295"/>
      <c r="D16" s="306">
        <f>-('Balance Sheet'!D42-'Balance Sheet'!C42)</f>
        <v>1737</v>
      </c>
      <c r="E16" s="306">
        <f>-('Balance Sheet'!E42-'Balance Sheet'!D42)</f>
        <v>1163</v>
      </c>
      <c r="F16" s="306">
        <f>-('Balance Sheet'!F42-'Balance Sheet'!E42)</f>
        <v>5091</v>
      </c>
      <c r="G16" s="323">
        <f>-('Balance Sheet'!G42-'Balance Sheet'!F42)</f>
        <v>-15543.387226733001</v>
      </c>
      <c r="H16" s="323">
        <f>-('Balance Sheet'!H42-'Balance Sheet'!G42)</f>
        <v>-4254.1449161069322</v>
      </c>
      <c r="I16" s="323">
        <f>-('Balance Sheet'!I42-'Balance Sheet'!H42)</f>
        <v>-4858.1179124991468</v>
      </c>
      <c r="J16" s="323">
        <f>-('Balance Sheet'!J42-'Balance Sheet'!I42)</f>
        <v>-5549.5488797354192</v>
      </c>
      <c r="K16" s="323">
        <f>-('Balance Sheet'!K42-'Balance Sheet'!J42)</f>
        <v>-6341.3464270426703</v>
      </c>
      <c r="L16" s="323">
        <f>-('Balance Sheet'!L42-'Balance Sheet'!K42)</f>
        <v>-7248.3600491548059</v>
      </c>
      <c r="M16" s="323">
        <f>-('Balance Sheet'!M42-'Balance Sheet'!L42)</f>
        <v>-8287.6772390971892</v>
      </c>
      <c r="N16" s="323">
        <f>-('Balance Sheet'!N42-'Balance Sheet'!M42)</f>
        <v>-9478.9668838755169</v>
      </c>
      <c r="O16" s="323">
        <f>-('Balance Sheet'!O42-'Balance Sheet'!N42)</f>
        <v>-10844.876276197465</v>
      </c>
      <c r="P16" s="323">
        <f>-('Balance Sheet'!P42-'Balance Sheet'!O42)</f>
        <v>-12411.490256577279</v>
      </c>
      <c r="Q16" s="210"/>
      <c r="R16" s="210"/>
    </row>
    <row r="17" spans="2:18" x14ac:dyDescent="0.2">
      <c r="B17" s="258"/>
      <c r="C17" s="258"/>
      <c r="D17" s="306"/>
      <c r="E17" s="306"/>
      <c r="F17" s="306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210"/>
      <c r="R17" s="210"/>
    </row>
    <row r="18" spans="2:18" x14ac:dyDescent="0.2">
      <c r="B18" s="307" t="s">
        <v>250</v>
      </c>
      <c r="C18" s="303"/>
      <c r="D18" s="305"/>
      <c r="E18" s="305"/>
      <c r="F18" s="305"/>
      <c r="G18" s="324"/>
      <c r="H18" s="324"/>
      <c r="I18" s="324"/>
      <c r="J18" s="324"/>
      <c r="K18" s="324"/>
      <c r="L18" s="324"/>
      <c r="M18" s="324"/>
      <c r="N18" s="324"/>
      <c r="O18" s="324"/>
      <c r="P18" s="324"/>
      <c r="Q18" s="210"/>
      <c r="R18" s="210"/>
    </row>
    <row r="19" spans="2:18" x14ac:dyDescent="0.2">
      <c r="B19" s="258" t="s">
        <v>24</v>
      </c>
      <c r="C19" s="258"/>
      <c r="D19" s="306">
        <f>'Balance Sheet'!D21-'Balance Sheet'!C21</f>
        <v>9603</v>
      </c>
      <c r="E19" s="306">
        <f>'Balance Sheet'!E21-'Balance Sheet'!D21</f>
        <v>21301</v>
      </c>
      <c r="F19" s="306">
        <f>'Balance Sheet'!F21-'Balance Sheet'!E21</f>
        <v>-8616</v>
      </c>
      <c r="G19" s="323">
        <f>'Balance Sheet'!G21-'Balance Sheet'!F21</f>
        <v>11051.404916555228</v>
      </c>
      <c r="H19" s="323">
        <f>'Balance Sheet'!H21-'Balance Sheet'!G21</f>
        <v>14943.276205251779</v>
      </c>
      <c r="I19" s="323">
        <f>'Balance Sheet'!I21-'Balance Sheet'!H21</f>
        <v>17064.815429604685</v>
      </c>
      <c r="J19" s="323">
        <f>'Balance Sheet'!J21-'Balance Sheet'!I21</f>
        <v>19493.562950911844</v>
      </c>
      <c r="K19" s="323">
        <f>'Balance Sheet'!K21-'Balance Sheet'!J21</f>
        <v>22274.862055992824</v>
      </c>
      <c r="L19" s="323">
        <f>'Balance Sheet'!L21-'Balance Sheet'!K21</f>
        <v>25460.873662186728</v>
      </c>
      <c r="M19" s="323">
        <f>'Balance Sheet'!M21-'Balance Sheet'!L21</f>
        <v>29111.619967366161</v>
      </c>
      <c r="N19" s="323">
        <f>'Balance Sheet'!N21-'Balance Sheet'!M21</f>
        <v>33296.190675095975</v>
      </c>
      <c r="O19" s="323">
        <f>'Balance Sheet'!O21-'Balance Sheet'!N21</f>
        <v>38094.137553570734</v>
      </c>
      <c r="P19" s="323">
        <f>'Balance Sheet'!P21-'Balance Sheet'!O21</f>
        <v>43597.087236170541</v>
      </c>
      <c r="Q19" s="210"/>
      <c r="R19" s="210"/>
    </row>
    <row r="20" spans="2:18" x14ac:dyDescent="0.2">
      <c r="B20" s="258" t="s">
        <v>23</v>
      </c>
      <c r="C20" s="258"/>
      <c r="D20" s="306">
        <f>'Balance Sheet'!D22-'Balance Sheet'!C22</f>
        <v>4062</v>
      </c>
      <c r="E20" s="306">
        <f>'Balance Sheet'!E22-'Balance Sheet'!D22</f>
        <v>-3728</v>
      </c>
      <c r="F20" s="306">
        <f>'Balance Sheet'!F22-'Balance Sheet'!E22</f>
        <v>388</v>
      </c>
      <c r="G20" s="323">
        <f>'Balance Sheet'!G22-'Balance Sheet'!F22</f>
        <v>1333.2993697022512</v>
      </c>
      <c r="H20" s="323">
        <f>'Balance Sheet'!H22-'Balance Sheet'!G22</f>
        <v>393.55514941924002</v>
      </c>
      <c r="I20" s="323">
        <f>'Balance Sheet'!I22-'Balance Sheet'!H22</f>
        <v>449.4292880599719</v>
      </c>
      <c r="J20" s="323">
        <f>'Balance Sheet'!J22-'Balance Sheet'!I22</f>
        <v>513.39424999473886</v>
      </c>
      <c r="K20" s="323">
        <f>'Balance Sheet'!K22-'Balance Sheet'!J22</f>
        <v>586.6442234172373</v>
      </c>
      <c r="L20" s="323">
        <f>'Balance Sheet'!L22-'Balance Sheet'!K22</f>
        <v>670.55294975707511</v>
      </c>
      <c r="M20" s="323">
        <f>'Balance Sheet'!M22-'Balance Sheet'!L22</f>
        <v>766.70120987701284</v>
      </c>
      <c r="N20" s="323">
        <f>'Balance Sheet'!N22-'Balance Sheet'!M22</f>
        <v>876.9085919474328</v>
      </c>
      <c r="O20" s="323">
        <f>'Balance Sheet'!O22-'Balance Sheet'!N22</f>
        <v>1003.2702193929626</v>
      </c>
      <c r="P20" s="323">
        <f>'Balance Sheet'!P22-'Balance Sheet'!O22</f>
        <v>1148.1992265822309</v>
      </c>
      <c r="Q20" s="210"/>
      <c r="R20" s="210"/>
    </row>
    <row r="21" spans="2:18" x14ac:dyDescent="0.2">
      <c r="B21" s="258" t="s">
        <v>237</v>
      </c>
      <c r="C21" s="258"/>
      <c r="D21" s="306">
        <f>'Balance Sheet'!D23-'Balance Sheet'!C23</f>
        <v>8262</v>
      </c>
      <c r="E21" s="306">
        <f>'Balance Sheet'!E23-'Balance Sheet'!D23</f>
        <v>4544</v>
      </c>
      <c r="F21" s="306">
        <f>'Balance Sheet'!F23-'Balance Sheet'!E23</f>
        <v>-4652</v>
      </c>
      <c r="G21" s="323">
        <f>'Balance Sheet'!G23-'Balance Sheet'!F23</f>
        <v>14354.370806380983</v>
      </c>
      <c r="H21" s="323">
        <f>'Balance Sheet'!H23-'Balance Sheet'!G23</f>
        <v>8079.8061126816683</v>
      </c>
      <c r="I21" s="323">
        <f>'Balance Sheet'!I23-'Balance Sheet'!H23</f>
        <v>9226.9190588504862</v>
      </c>
      <c r="J21" s="323">
        <f>'Balance Sheet'!J23-'Balance Sheet'!I23</f>
        <v>10540.139051526581</v>
      </c>
      <c r="K21" s="323">
        <f>'Balance Sheet'!K23-'Balance Sheet'!J23</f>
        <v>12043.983135097209</v>
      </c>
      <c r="L21" s="323">
        <f>'Balance Sheet'!L23-'Balance Sheet'!K23</f>
        <v>13766.654636126768</v>
      </c>
      <c r="M21" s="323">
        <f>'Balance Sheet'!M23-'Balance Sheet'!L23</f>
        <v>15740.607463290056</v>
      </c>
      <c r="N21" s="323">
        <f>'Balance Sheet'!N23-'Balance Sheet'!M23</f>
        <v>18003.198311432279</v>
      </c>
      <c r="O21" s="323">
        <f>'Balance Sheet'!O23-'Balance Sheet'!N23</f>
        <v>20597.440697409038</v>
      </c>
      <c r="P21" s="323">
        <f>'Balance Sheet'!P23-'Balance Sheet'!O23</f>
        <v>23572.876998828899</v>
      </c>
      <c r="Q21" s="210"/>
      <c r="R21" s="210"/>
    </row>
    <row r="22" spans="2:18" x14ac:dyDescent="0.2">
      <c r="B22" s="305" t="s">
        <v>251</v>
      </c>
      <c r="C22" s="305"/>
      <c r="D22" s="306">
        <f>'Income Statement'!D16</f>
        <v>-26162</v>
      </c>
      <c r="E22" s="306">
        <f>'Income Statement'!E16</f>
        <v>-32862</v>
      </c>
      <c r="F22" s="306">
        <f>'Income Statement'!F16</f>
        <v>-29732</v>
      </c>
      <c r="G22" s="323">
        <f>'Income Statement'!G16</f>
        <v>-39841.919399622093</v>
      </c>
      <c r="H22" s="323">
        <f>'Income Statement'!H16</f>
        <v>-45441.908534402522</v>
      </c>
      <c r="I22" s="323">
        <f>'Income Statement'!I16</f>
        <v>-51836.943979122087</v>
      </c>
      <c r="J22" s="323">
        <f>'Income Statement'!J16</f>
        <v>-59142.15196857883</v>
      </c>
      <c r="K22" s="323">
        <f>'Income Statement'!K16</f>
        <v>-67489.651123312593</v>
      </c>
      <c r="L22" s="323">
        <f>'Income Statement'!L16</f>
        <v>-77031.107354989101</v>
      </c>
      <c r="M22" s="323">
        <f>'Income Statement'!M16</f>
        <v>-87940.679879373842</v>
      </c>
      <c r="N22" s="323">
        <f>'Income Statement'!N16</f>
        <v>-100418.41926189192</v>
      </c>
      <c r="O22" s="323">
        <f>'Income Statement'!O16</f>
        <v>-114694.18807381105</v>
      </c>
      <c r="P22" s="323">
        <f>'Income Statement'!P16</f>
        <v>-131032.18594504267</v>
      </c>
      <c r="Q22" s="210"/>
      <c r="R22" s="210"/>
    </row>
    <row r="23" spans="2:18" x14ac:dyDescent="0.2">
      <c r="B23" s="308" t="s">
        <v>88</v>
      </c>
      <c r="C23" s="308"/>
      <c r="D23" s="309">
        <f t="shared" ref="D23:P23" si="1">SUM(D6:D22)</f>
        <v>90605</v>
      </c>
      <c r="E23" s="309">
        <f t="shared" si="1"/>
        <v>119074</v>
      </c>
      <c r="F23" s="309">
        <f t="shared" si="1"/>
        <v>24131</v>
      </c>
      <c r="G23" s="309">
        <f t="shared" si="1"/>
        <v>89561.812978741335</v>
      </c>
      <c r="H23" s="309">
        <f t="shared" si="1"/>
        <v>125899.56921996307</v>
      </c>
      <c r="I23" s="309">
        <f t="shared" si="1"/>
        <v>135468.63573542394</v>
      </c>
      <c r="J23" s="309">
        <f t="shared" si="1"/>
        <v>149506.61514488462</v>
      </c>
      <c r="K23" s="309">
        <f t="shared" si="1"/>
        <v>171589.15886747476</v>
      </c>
      <c r="L23" s="309">
        <f t="shared" si="1"/>
        <v>194596.23245183408</v>
      </c>
      <c r="M23" s="309">
        <f t="shared" si="1"/>
        <v>221263.76250825581</v>
      </c>
      <c r="N23" s="309">
        <f t="shared" si="1"/>
        <v>251268.81392868503</v>
      </c>
      <c r="O23" s="309">
        <f t="shared" si="1"/>
        <v>285338.93052895128</v>
      </c>
      <c r="P23" s="309">
        <f t="shared" si="1"/>
        <v>323958.23824506975</v>
      </c>
      <c r="Q23" s="210"/>
      <c r="R23" s="210"/>
    </row>
    <row r="24" spans="2:18" x14ac:dyDescent="0.2">
      <c r="B24" s="303"/>
      <c r="C24" s="303"/>
      <c r="D24" s="304"/>
      <c r="E24" s="304"/>
      <c r="F24" s="304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210"/>
      <c r="R24" s="210"/>
    </row>
    <row r="25" spans="2:18" s="62" customFormat="1" x14ac:dyDescent="0.2">
      <c r="B25" s="310" t="s">
        <v>252</v>
      </c>
      <c r="C25" s="310"/>
      <c r="D25" s="311">
        <f>-('Balance Sheet'!D29-'Balance Sheet'!C29)-D7</f>
        <v>-36304.002000000008</v>
      </c>
      <c r="E25" s="311">
        <f>-('Balance Sheet'!E29-'Balance Sheet'!D29)-E7</f>
        <v>-37176.986139999994</v>
      </c>
      <c r="F25" s="311">
        <f>-('Balance Sheet'!F29-'Balance Sheet'!E29)-F7</f>
        <v>-45441</v>
      </c>
      <c r="G25" s="323">
        <f>-('Balance Sheet'!G29-'Balance Sheet'!F29)-G7</f>
        <v>-40190.999999999993</v>
      </c>
      <c r="H25" s="323">
        <f>-('Balance Sheet'!H29-'Balance Sheet'!G29)-H7</f>
        <v>-34285.675087549062</v>
      </c>
      <c r="I25" s="323">
        <f>-('Balance Sheet'!I29-'Balance Sheet'!H29)-I7</f>
        <v>-40431.065779859557</v>
      </c>
      <c r="J25" s="323">
        <f>-('Balance Sheet'!J29-'Balance Sheet'!I29)-J7</f>
        <v>-60240.042169306987</v>
      </c>
      <c r="K25" s="323">
        <f>-('Balance Sheet'!K29-'Balance Sheet'!J29)-K7</f>
        <v>-62892.462231739941</v>
      </c>
      <c r="L25" s="323">
        <f>-('Balance Sheet'!L29-'Balance Sheet'!K29)-L7</f>
        <v>-71873.410841649878</v>
      </c>
      <c r="M25" s="323">
        <f>-('Balance Sheet'!M29-'Balance Sheet'!L29)-M7</f>
        <v>-79803.859204378547</v>
      </c>
      <c r="N25" s="323">
        <f>-('Balance Sheet'!N29-'Balance Sheet'!M29)-N7</f>
        <v>-89121.361930623374</v>
      </c>
      <c r="O25" s="323">
        <f>-('Balance Sheet'!O29-'Balance Sheet'!N29)-O7</f>
        <v>-99159.182471656473</v>
      </c>
      <c r="P25" s="323">
        <f>-('Balance Sheet'!P29-'Balance Sheet'!O29)-P7</f>
        <v>-110248.63998917879</v>
      </c>
      <c r="Q25" s="63"/>
      <c r="R25" s="63"/>
    </row>
    <row r="26" spans="2:18" x14ac:dyDescent="0.2">
      <c r="B26" s="305" t="s">
        <v>175</v>
      </c>
      <c r="C26" s="305"/>
      <c r="D26" s="306">
        <f>-('Balance Sheet'!D30+'Balance Sheet'!D32-'Balance Sheet'!C30-'Balance Sheet'!C32)</f>
        <v>-73616</v>
      </c>
      <c r="E26" s="306">
        <f>-('Balance Sheet'!E30+'Balance Sheet'!E32-'Balance Sheet'!D30-'Balance Sheet'!D32)</f>
        <v>-81980</v>
      </c>
      <c r="F26" s="306">
        <f>-('Balance Sheet'!F30+'Balance Sheet'!F32-'Balance Sheet'!E30-'Balance Sheet'!E32)</f>
        <v>22457</v>
      </c>
      <c r="G26" s="323">
        <f>-('Balance Sheet'!G30+'Balance Sheet'!G32-'Balance Sheet'!F30-'Balance Sheet'!F32)</f>
        <v>-62289.807633101649</v>
      </c>
      <c r="H26" s="323">
        <f>-('Balance Sheet'!H30+'Balance Sheet'!H32-'Balance Sheet'!G30-'Balance Sheet'!G32)</f>
        <v>-56726.009409272301</v>
      </c>
      <c r="I26" s="323">
        <f>-('Balance Sheet'!I30+'Balance Sheet'!I32-'Balance Sheet'!H30-'Balance Sheet'!H32)</f>
        <v>-64779.561545348522</v>
      </c>
      <c r="J26" s="323">
        <f>-('Balance Sheet'!J30+'Balance Sheet'!J32-'Balance Sheet'!I30-'Balance Sheet'!I32)</f>
        <v>-73999.303779517737</v>
      </c>
      <c r="K26" s="323">
        <f>-('Balance Sheet'!K30+'Balance Sheet'!K32-'Balance Sheet'!J30-'Balance Sheet'!J32)</f>
        <v>-84557.363273149735</v>
      </c>
      <c r="L26" s="323">
        <f>-('Balance Sheet'!L30+'Balance Sheet'!L32-'Balance Sheet'!K30-'Balance Sheet'!K32)</f>
        <v>-96651.747521196434</v>
      </c>
      <c r="M26" s="323">
        <f>-('Balance Sheet'!M30+'Balance Sheet'!M32-'Balance Sheet'!L30-'Balance Sheet'!L32)</f>
        <v>-110510.30614073733</v>
      </c>
      <c r="N26" s="323">
        <f>-('Balance Sheet'!N30+'Balance Sheet'!N32-'Balance Sheet'!M30-'Balance Sheet'!M32)</f>
        <v>-126395.30980927852</v>
      </c>
      <c r="O26" s="323">
        <f>-('Balance Sheet'!O30+'Balance Sheet'!O32-'Balance Sheet'!N30-'Balance Sheet'!N32)</f>
        <v>-144608.74413487111</v>
      </c>
      <c r="P26" s="323">
        <f>-('Balance Sheet'!P30+'Balance Sheet'!P32-'Balance Sheet'!O30-'Balance Sheet'!O32)</f>
        <v>-165498.43199088541</v>
      </c>
      <c r="Q26" s="210"/>
      <c r="R26" s="210"/>
    </row>
    <row r="27" spans="2:18" x14ac:dyDescent="0.2">
      <c r="B27" s="305" t="s">
        <v>161</v>
      </c>
      <c r="C27" s="305"/>
      <c r="D27" s="306">
        <f t="shared" ref="D27:P27" si="2">-D9</f>
        <v>22896</v>
      </c>
      <c r="E27" s="306">
        <f t="shared" si="2"/>
        <v>20458</v>
      </c>
      <c r="F27" s="306">
        <f t="shared" si="2"/>
        <v>25616</v>
      </c>
      <c r="G27" s="323">
        <f t="shared" si="2"/>
        <v>28048.704828297174</v>
      </c>
      <c r="H27" s="323">
        <f t="shared" si="2"/>
        <v>31950.275774774404</v>
      </c>
      <c r="I27" s="323">
        <f t="shared" si="2"/>
        <v>36405.763793107551</v>
      </c>
      <c r="J27" s="323">
        <f t="shared" si="2"/>
        <v>41495.378534075331</v>
      </c>
      <c r="K27" s="323">
        <f t="shared" si="2"/>
        <v>47311.168421162241</v>
      </c>
      <c r="L27" s="323">
        <f t="shared" si="2"/>
        <v>53958.800679836771</v>
      </c>
      <c r="M27" s="323">
        <f t="shared" si="2"/>
        <v>61559.613855574258</v>
      </c>
      <c r="N27" s="323">
        <f t="shared" si="2"/>
        <v>70252.985267705764</v>
      </c>
      <c r="O27" s="323">
        <f t="shared" si="2"/>
        <v>80199.062571549221</v>
      </c>
      <c r="P27" s="323">
        <f t="shared" si="2"/>
        <v>91581.916409979662</v>
      </c>
      <c r="Q27" s="210"/>
      <c r="R27" s="210"/>
    </row>
    <row r="28" spans="2:18" x14ac:dyDescent="0.2">
      <c r="B28" s="305"/>
      <c r="C28" s="305"/>
      <c r="D28" s="306"/>
      <c r="E28" s="306"/>
      <c r="F28" s="306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210"/>
      <c r="R28" s="210"/>
    </row>
    <row r="29" spans="2:18" x14ac:dyDescent="0.2">
      <c r="B29" s="308" t="s">
        <v>89</v>
      </c>
      <c r="C29" s="308"/>
      <c r="D29" s="309">
        <f t="shared" ref="D29:P29" si="3">SUM(D25:D28)</f>
        <v>-87024.002000000008</v>
      </c>
      <c r="E29" s="309">
        <f t="shared" si="3"/>
        <v>-98698.986139999994</v>
      </c>
      <c r="F29" s="309">
        <f t="shared" si="3"/>
        <v>2632</v>
      </c>
      <c r="G29" s="309">
        <f t="shared" si="3"/>
        <v>-74432.102804804483</v>
      </c>
      <c r="H29" s="309">
        <f t="shared" si="3"/>
        <v>-59061.408722046966</v>
      </c>
      <c r="I29" s="309">
        <f t="shared" si="3"/>
        <v>-68804.863532100513</v>
      </c>
      <c r="J29" s="309">
        <f t="shared" si="3"/>
        <v>-92743.967414749379</v>
      </c>
      <c r="K29" s="309">
        <f t="shared" si="3"/>
        <v>-100138.65708372745</v>
      </c>
      <c r="L29" s="309">
        <f t="shared" si="3"/>
        <v>-114566.35768300953</v>
      </c>
      <c r="M29" s="309">
        <f t="shared" si="3"/>
        <v>-128754.55148954163</v>
      </c>
      <c r="N29" s="309">
        <f t="shared" si="3"/>
        <v>-145263.68647219613</v>
      </c>
      <c r="O29" s="309">
        <f t="shared" si="3"/>
        <v>-163568.86403497838</v>
      </c>
      <c r="P29" s="309">
        <f t="shared" si="3"/>
        <v>-184165.15557008455</v>
      </c>
      <c r="Q29" s="210"/>
      <c r="R29" s="210"/>
    </row>
    <row r="30" spans="2:18" x14ac:dyDescent="0.2">
      <c r="B30" s="303"/>
      <c r="C30" s="303"/>
      <c r="D30" s="304"/>
      <c r="E30" s="304"/>
      <c r="F30" s="304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210"/>
      <c r="R30" s="210"/>
    </row>
    <row r="31" spans="2:18" x14ac:dyDescent="0.2">
      <c r="B31" s="312" t="s">
        <v>90</v>
      </c>
      <c r="C31" s="312"/>
      <c r="D31" s="313">
        <f t="shared" ref="D31:P31" si="4">-D8</f>
        <v>-894</v>
      </c>
      <c r="E31" s="313">
        <f t="shared" si="4"/>
        <v>-3458</v>
      </c>
      <c r="F31" s="313">
        <f t="shared" si="4"/>
        <v>-759</v>
      </c>
      <c r="G31" s="326">
        <f t="shared" si="4"/>
        <v>-1482</v>
      </c>
      <c r="H31" s="326">
        <f t="shared" si="4"/>
        <v>-1482</v>
      </c>
      <c r="I31" s="326">
        <f t="shared" si="4"/>
        <v>-1482</v>
      </c>
      <c r="J31" s="326">
        <f t="shared" si="4"/>
        <v>-1482</v>
      </c>
      <c r="K31" s="326">
        <f t="shared" si="4"/>
        <v>-1482</v>
      </c>
      <c r="L31" s="326">
        <f t="shared" si="4"/>
        <v>-1482</v>
      </c>
      <c r="M31" s="326">
        <f t="shared" si="4"/>
        <v>-1482</v>
      </c>
      <c r="N31" s="326">
        <f t="shared" si="4"/>
        <v>-1482</v>
      </c>
      <c r="O31" s="326">
        <f t="shared" si="4"/>
        <v>-1482</v>
      </c>
      <c r="P31" s="326">
        <f t="shared" si="4"/>
        <v>-1482</v>
      </c>
      <c r="Q31" s="210"/>
      <c r="R31" s="210"/>
    </row>
    <row r="32" spans="2:18" x14ac:dyDescent="0.2">
      <c r="B32" s="312" t="s">
        <v>92</v>
      </c>
      <c r="C32" s="312"/>
      <c r="D32" s="306">
        <f>'Balance Sheet'!D7-'Balance Sheet'!C7</f>
        <v>0</v>
      </c>
      <c r="E32" s="306">
        <f>'Balance Sheet'!E7-'Balance Sheet'!D7</f>
        <v>0</v>
      </c>
      <c r="F32" s="306">
        <f>'Balance Sheet'!F7-'Balance Sheet'!E7</f>
        <v>0</v>
      </c>
      <c r="G32" s="323">
        <f>'Balance Sheet'!G7-'Balance Sheet'!F7</f>
        <v>0</v>
      </c>
      <c r="H32" s="323">
        <f>'Balance Sheet'!H7-'Balance Sheet'!G7</f>
        <v>0</v>
      </c>
      <c r="I32" s="323">
        <f>'Balance Sheet'!I7-'Balance Sheet'!H7</f>
        <v>0</v>
      </c>
      <c r="J32" s="323">
        <f>'Balance Sheet'!J7-'Balance Sheet'!I7</f>
        <v>0</v>
      </c>
      <c r="K32" s="323">
        <f>'Balance Sheet'!K7-'Balance Sheet'!J7</f>
        <v>0</v>
      </c>
      <c r="L32" s="323">
        <f>'Balance Sheet'!L7-'Balance Sheet'!K7</f>
        <v>0</v>
      </c>
      <c r="M32" s="323">
        <f>'Balance Sheet'!M7-'Balance Sheet'!L7</f>
        <v>0</v>
      </c>
      <c r="N32" s="323">
        <f>'Balance Sheet'!N7-'Balance Sheet'!M7</f>
        <v>0</v>
      </c>
      <c r="O32" s="323">
        <f>'Balance Sheet'!O7-'Balance Sheet'!N7</f>
        <v>0</v>
      </c>
      <c r="P32" s="323">
        <f>'Balance Sheet'!P7-'Balance Sheet'!O7</f>
        <v>0</v>
      </c>
      <c r="Q32" s="210"/>
      <c r="R32" s="210"/>
    </row>
    <row r="33" spans="2:18" s="62" customFormat="1" x14ac:dyDescent="0.2">
      <c r="B33" s="314" t="s">
        <v>254</v>
      </c>
      <c r="C33" s="314"/>
      <c r="D33" s="311">
        <f>'Balance Sheet'!D8-'Balance Sheet'!C8-'Income Statement'!D17</f>
        <v>-8791</v>
      </c>
      <c r="E33" s="311">
        <f>'Balance Sheet'!E8-'Balance Sheet'!D8-'Income Statement'!E17</f>
        <v>-22331</v>
      </c>
      <c r="F33" s="311">
        <f>'Balance Sheet'!F8-'Balance Sheet'!E8-'Income Statement'!F17</f>
        <v>-29622</v>
      </c>
      <c r="G33" s="325">
        <f>'Balance Sheet'!G8-'Balance Sheet'!F8-'Income Statement'!G17</f>
        <v>-29515.140994973859</v>
      </c>
      <c r="H33" s="325">
        <f>'Balance Sheet'!H8-'Balance Sheet'!G8-'Income Statement'!H17</f>
        <v>-33663.64767773496</v>
      </c>
      <c r="I33" s="325">
        <f>'Balance Sheet'!I8-'Balance Sheet'!H8-'Income Statement'!I17</f>
        <v>-38401.129597859166</v>
      </c>
      <c r="J33" s="325">
        <f>'Balance Sheet'!J8-'Balance Sheet'!I8-'Income Statement'!J17</f>
        <v>-43812.872984109446</v>
      </c>
      <c r="K33" s="325">
        <f>'Balance Sheet'!K8-'Balance Sheet'!J8-'Income Statement'!K17</f>
        <v>-49996.752129995322</v>
      </c>
      <c r="L33" s="325">
        <f>'Balance Sheet'!L8-'Balance Sheet'!K8-'Income Statement'!L17</f>
        <v>-57065.12208352692</v>
      </c>
      <c r="M33" s="325">
        <f>'Balance Sheet'!M8-'Balance Sheet'!L8-'Income Statement'!M17</f>
        <v>-65147.001071895909</v>
      </c>
      <c r="N33" s="325">
        <f>'Balance Sheet'!N8-'Balance Sheet'!M8-'Income Statement'!N17</f>
        <v>-74390.587794704596</v>
      </c>
      <c r="O33" s="325">
        <f>'Balance Sheet'!O8-'Balance Sheet'!N8-'Income Statement'!O17</f>
        <v>-84966.165870379133</v>
      </c>
      <c r="P33" s="325">
        <f>'Balance Sheet'!P8-'Balance Sheet'!O8-'Income Statement'!P17</f>
        <v>-97069.456023352221</v>
      </c>
      <c r="Q33" s="63"/>
      <c r="R33" s="63"/>
    </row>
    <row r="34" spans="2:18" x14ac:dyDescent="0.2">
      <c r="B34" s="312" t="s">
        <v>91</v>
      </c>
      <c r="C34" s="312"/>
      <c r="D34" s="306">
        <f>'Balance Sheet'!D9-'Balance Sheet'!C9</f>
        <v>10</v>
      </c>
      <c r="E34" s="306">
        <f>'Balance Sheet'!E9-'Balance Sheet'!D9</f>
        <v>7</v>
      </c>
      <c r="F34" s="306">
        <f>'Balance Sheet'!F9-'Balance Sheet'!E9</f>
        <v>15</v>
      </c>
      <c r="G34" s="323">
        <f>'Balance Sheet'!G9-'Balance Sheet'!F9</f>
        <v>0</v>
      </c>
      <c r="H34" s="323">
        <f>'Balance Sheet'!H9-'Balance Sheet'!G9</f>
        <v>0</v>
      </c>
      <c r="I34" s="323">
        <f>'Balance Sheet'!I9-'Balance Sheet'!H9</f>
        <v>0</v>
      </c>
      <c r="J34" s="323">
        <f>'Balance Sheet'!J9-'Balance Sheet'!I9</f>
        <v>0</v>
      </c>
      <c r="K34" s="323">
        <f>'Balance Sheet'!K9-'Balance Sheet'!J9</f>
        <v>0</v>
      </c>
      <c r="L34" s="323">
        <f>'Balance Sheet'!L9-'Balance Sheet'!K9</f>
        <v>0</v>
      </c>
      <c r="M34" s="323">
        <f>'Balance Sheet'!M9-'Balance Sheet'!L9</f>
        <v>0</v>
      </c>
      <c r="N34" s="323">
        <f>'Balance Sheet'!N9-'Balance Sheet'!M9</f>
        <v>0</v>
      </c>
      <c r="O34" s="323">
        <f>'Balance Sheet'!O9-'Balance Sheet'!N9</f>
        <v>0</v>
      </c>
      <c r="P34" s="323">
        <f>'Balance Sheet'!P9-'Balance Sheet'!O9</f>
        <v>0</v>
      </c>
      <c r="Q34" s="210"/>
      <c r="R34" s="210"/>
    </row>
    <row r="35" spans="2:18" x14ac:dyDescent="0.2">
      <c r="B35" s="315" t="s">
        <v>176</v>
      </c>
      <c r="C35" s="315"/>
      <c r="D35" s="306">
        <f>'Balance Sheet'!D18-'Balance Sheet'!C18</f>
        <v>5822.0019915770172</v>
      </c>
      <c r="E35" s="306">
        <f>'Balance Sheet'!E18-'Balance Sheet'!D18</f>
        <v>5912.0045742693328</v>
      </c>
      <c r="F35" s="306">
        <f>'Balance Sheet'!F18-'Balance Sheet'!E18</f>
        <v>4741.002406055919</v>
      </c>
      <c r="G35" s="323">
        <f>'Balance Sheet'!G18-'Balance Sheet'!F18</f>
        <v>-8773.3358313054378</v>
      </c>
      <c r="H35" s="323">
        <f>'Balance Sheet'!H18-'Balance Sheet'!G18</f>
        <v>1613.2347232818429</v>
      </c>
      <c r="I35" s="323">
        <f>'Balance Sheet'!I18-'Balance Sheet'!H18</f>
        <v>1842.2702236982514</v>
      </c>
      <c r="J35" s="323">
        <f>'Balance Sheet'!J18-'Balance Sheet'!I18</f>
        <v>2104.4710812371341</v>
      </c>
      <c r="K35" s="323">
        <f>'Balance Sheet'!K18-'Balance Sheet'!J18</f>
        <v>2404.732431594326</v>
      </c>
      <c r="L35" s="323">
        <f>'Balance Sheet'!L18-'Balance Sheet'!K18</f>
        <v>2748.6854229794808</v>
      </c>
      <c r="M35" s="323">
        <f>'Balance Sheet'!M18-'Balance Sheet'!L18</f>
        <v>3142.8098856818724</v>
      </c>
      <c r="N35" s="323">
        <f>'Balance Sheet'!N18-'Balance Sheet'!M18</f>
        <v>3594.5645527986708</v>
      </c>
      <c r="O35" s="323">
        <f>'Balance Sheet'!O18-'Balance Sheet'!N18</f>
        <v>4112.5376129564393</v>
      </c>
      <c r="P35" s="323">
        <f>'Balance Sheet'!P18-'Balance Sheet'!O18</f>
        <v>4706.6208237936298</v>
      </c>
      <c r="Q35" s="210"/>
      <c r="R35" s="210"/>
    </row>
    <row r="36" spans="2:18" x14ac:dyDescent="0.2">
      <c r="B36" s="312"/>
      <c r="C36" s="312"/>
      <c r="D36" s="306"/>
      <c r="E36" s="306"/>
      <c r="F36" s="306"/>
      <c r="G36" s="323"/>
      <c r="H36" s="323"/>
      <c r="I36" s="323"/>
      <c r="J36" s="323"/>
      <c r="K36" s="323"/>
      <c r="L36" s="323"/>
      <c r="M36" s="323"/>
      <c r="N36" s="323"/>
      <c r="O36" s="323"/>
      <c r="P36" s="323"/>
      <c r="Q36" s="210"/>
      <c r="R36" s="210"/>
    </row>
    <row r="37" spans="2:18" x14ac:dyDescent="0.2">
      <c r="B37" s="308" t="s">
        <v>158</v>
      </c>
      <c r="C37" s="308"/>
      <c r="D37" s="309">
        <f t="shared" ref="D37:P37" si="5">SUM(D31:D36)</f>
        <v>-3852.9980084229828</v>
      </c>
      <c r="E37" s="309">
        <f t="shared" si="5"/>
        <v>-19869.995425730667</v>
      </c>
      <c r="F37" s="309">
        <f t="shared" si="5"/>
        <v>-25624.997593944081</v>
      </c>
      <c r="G37" s="309">
        <f t="shared" si="5"/>
        <v>-39770.476826279293</v>
      </c>
      <c r="H37" s="309">
        <f t="shared" si="5"/>
        <v>-33532.412954453117</v>
      </c>
      <c r="I37" s="309">
        <f t="shared" si="5"/>
        <v>-38040.859374160915</v>
      </c>
      <c r="J37" s="309">
        <f t="shared" si="5"/>
        <v>-43190.401902872312</v>
      </c>
      <c r="K37" s="309">
        <f t="shared" si="5"/>
        <v>-49074.019698400996</v>
      </c>
      <c r="L37" s="309">
        <f t="shared" si="5"/>
        <v>-55798.436660547435</v>
      </c>
      <c r="M37" s="309">
        <f t="shared" si="5"/>
        <v>-63486.19118621404</v>
      </c>
      <c r="N37" s="309">
        <f t="shared" si="5"/>
        <v>-72278.023241905932</v>
      </c>
      <c r="O37" s="309">
        <f t="shared" si="5"/>
        <v>-82335.628257422693</v>
      </c>
      <c r="P37" s="309">
        <f t="shared" si="5"/>
        <v>-93844.835199558584</v>
      </c>
      <c r="Q37" s="210"/>
      <c r="R37" s="210"/>
    </row>
    <row r="38" spans="2:18" x14ac:dyDescent="0.2">
      <c r="B38" s="303"/>
      <c r="C38" s="303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210"/>
      <c r="R38" s="210"/>
    </row>
    <row r="39" spans="2:18" x14ac:dyDescent="0.2">
      <c r="B39" s="316" t="s">
        <v>93</v>
      </c>
      <c r="C39" s="316"/>
      <c r="D39" s="317">
        <f t="shared" ref="D39:P39" si="6">D23+D29+D37</f>
        <v>-272.0000084229905</v>
      </c>
      <c r="E39" s="317">
        <f t="shared" si="6"/>
        <v>505.0184342693392</v>
      </c>
      <c r="F39" s="317">
        <f t="shared" si="6"/>
        <v>1138.002406055919</v>
      </c>
      <c r="G39" s="317">
        <f t="shared" si="6"/>
        <v>-24640.766652342441</v>
      </c>
      <c r="H39" s="317">
        <f t="shared" si="6"/>
        <v>33305.747543462989</v>
      </c>
      <c r="I39" s="317">
        <f t="shared" si="6"/>
        <v>28622.912829162517</v>
      </c>
      <c r="J39" s="317">
        <f t="shared" si="6"/>
        <v>13572.24582726293</v>
      </c>
      <c r="K39" s="317">
        <f t="shared" si="6"/>
        <v>22376.482085346317</v>
      </c>
      <c r="L39" s="317">
        <f t="shared" si="6"/>
        <v>24231.438108277114</v>
      </c>
      <c r="M39" s="317">
        <f t="shared" si="6"/>
        <v>29023.01983250014</v>
      </c>
      <c r="N39" s="317">
        <f t="shared" si="6"/>
        <v>33727.104214582971</v>
      </c>
      <c r="O39" s="317">
        <f t="shared" si="6"/>
        <v>39434.43823655021</v>
      </c>
      <c r="P39" s="317">
        <f t="shared" si="6"/>
        <v>45948.247475426615</v>
      </c>
      <c r="Q39" s="210"/>
      <c r="R39" s="210"/>
    </row>
    <row r="40" spans="2:18" x14ac:dyDescent="0.2">
      <c r="B40" s="318" t="s">
        <v>94</v>
      </c>
      <c r="C40" s="318"/>
      <c r="D40" s="317">
        <f>'Balance Sheet'!C39</f>
        <v>507</v>
      </c>
      <c r="E40" s="317">
        <f>'Balance Sheet'!D39</f>
        <v>235</v>
      </c>
      <c r="F40" s="317">
        <f>'Balance Sheet'!E39</f>
        <v>740</v>
      </c>
      <c r="G40" s="317">
        <f>'Balance Sheet'!F39</f>
        <v>1878</v>
      </c>
      <c r="H40" s="317">
        <f>'Balance Sheet'!G39</f>
        <v>-22762.766652342441</v>
      </c>
      <c r="I40" s="317">
        <f>'Balance Sheet'!H39</f>
        <v>10542.980891120547</v>
      </c>
      <c r="J40" s="317">
        <f>'Balance Sheet'!I39</f>
        <v>39165.893720283064</v>
      </c>
      <c r="K40" s="317">
        <f>'Balance Sheet'!J39</f>
        <v>52738.139547545994</v>
      </c>
      <c r="L40" s="317">
        <f>'Balance Sheet'!K39</f>
        <v>75114.621632892318</v>
      </c>
      <c r="M40" s="317">
        <f>'Balance Sheet'!L39</f>
        <v>99346.059741169433</v>
      </c>
      <c r="N40" s="317">
        <f>'Balance Sheet'!M39</f>
        <v>128369.07957366957</v>
      </c>
      <c r="O40" s="317">
        <f>'Balance Sheet'!N39</f>
        <v>162096.18378825253</v>
      </c>
      <c r="P40" s="317">
        <f>'Balance Sheet'!O39</f>
        <v>201530.62202480272</v>
      </c>
      <c r="Q40" s="210"/>
      <c r="R40" s="210"/>
    </row>
    <row r="41" spans="2:18" x14ac:dyDescent="0.2">
      <c r="B41" s="318" t="s">
        <v>95</v>
      </c>
      <c r="C41" s="318"/>
      <c r="D41" s="317">
        <f t="shared" ref="D41:P41" si="7">D39+D40</f>
        <v>234.9999915770095</v>
      </c>
      <c r="E41" s="317">
        <f t="shared" si="7"/>
        <v>740.0184342693392</v>
      </c>
      <c r="F41" s="317">
        <f t="shared" si="7"/>
        <v>1878.002406055919</v>
      </c>
      <c r="G41" s="317">
        <f t="shared" si="7"/>
        <v>-22762.766652342441</v>
      </c>
      <c r="H41" s="317">
        <f t="shared" si="7"/>
        <v>10542.980891120547</v>
      </c>
      <c r="I41" s="317">
        <f t="shared" si="7"/>
        <v>39165.893720283064</v>
      </c>
      <c r="J41" s="317">
        <f t="shared" si="7"/>
        <v>52738.139547545994</v>
      </c>
      <c r="K41" s="317">
        <f t="shared" si="7"/>
        <v>75114.621632892318</v>
      </c>
      <c r="L41" s="317">
        <f t="shared" si="7"/>
        <v>99346.059741169433</v>
      </c>
      <c r="M41" s="317">
        <f t="shared" si="7"/>
        <v>128369.07957366957</v>
      </c>
      <c r="N41" s="317">
        <f t="shared" si="7"/>
        <v>162096.18378825253</v>
      </c>
      <c r="O41" s="317">
        <f t="shared" si="7"/>
        <v>201530.62202480272</v>
      </c>
      <c r="P41" s="317">
        <f t="shared" si="7"/>
        <v>247478.86950022934</v>
      </c>
      <c r="Q41" s="210"/>
      <c r="R41" s="210"/>
    </row>
    <row r="42" spans="2:18" x14ac:dyDescent="0.2">
      <c r="B42" s="305"/>
      <c r="C42" s="305"/>
      <c r="D42" s="305"/>
      <c r="E42" s="305"/>
      <c r="F42" s="305"/>
      <c r="G42" s="305"/>
      <c r="H42" s="305"/>
      <c r="I42" s="305"/>
      <c r="J42" s="305"/>
      <c r="K42" s="305"/>
      <c r="L42" s="305"/>
      <c r="M42" s="305"/>
      <c r="N42" s="305"/>
      <c r="O42" s="305"/>
      <c r="P42" s="305"/>
      <c r="Q42" s="210"/>
      <c r="R42" s="210"/>
    </row>
    <row r="43" spans="2:18" x14ac:dyDescent="0.2">
      <c r="B43" s="293"/>
      <c r="C43" s="293"/>
      <c r="D43" s="311">
        <f>'Balance Sheet'!D39</f>
        <v>235</v>
      </c>
      <c r="E43" s="311">
        <f>'Balance Sheet'!E39</f>
        <v>740</v>
      </c>
      <c r="F43" s="311">
        <f>'Balance Sheet'!F39</f>
        <v>1878</v>
      </c>
      <c r="G43" s="311">
        <f>'Balance Sheet'!G39</f>
        <v>-22762.766652342441</v>
      </c>
      <c r="H43" s="311">
        <f>'Balance Sheet'!H39</f>
        <v>10542.980891120547</v>
      </c>
      <c r="I43" s="311">
        <f>'Balance Sheet'!I39</f>
        <v>39165.893720283064</v>
      </c>
      <c r="J43" s="311">
        <f>'Balance Sheet'!J39</f>
        <v>52738.139547545994</v>
      </c>
      <c r="K43" s="311">
        <f>'Balance Sheet'!K39</f>
        <v>75114.621632892318</v>
      </c>
      <c r="L43" s="311">
        <f>'Balance Sheet'!L39</f>
        <v>99346.059741169433</v>
      </c>
      <c r="M43" s="311">
        <f>'Balance Sheet'!M39</f>
        <v>128369.07957366957</v>
      </c>
      <c r="N43" s="311">
        <f>'Balance Sheet'!N39</f>
        <v>162096.18378825253</v>
      </c>
      <c r="O43" s="311">
        <f>'Balance Sheet'!O39</f>
        <v>201530.62202480272</v>
      </c>
      <c r="P43" s="311">
        <f>'Balance Sheet'!P39</f>
        <v>247478.86950022934</v>
      </c>
    </row>
    <row r="44" spans="2:18" x14ac:dyDescent="0.2">
      <c r="B44" s="293" t="s">
        <v>174</v>
      </c>
      <c r="C44" s="293"/>
      <c r="D44" s="311">
        <f t="shared" ref="D44:P44" si="8">D41-D43</f>
        <v>-8.4229905041866004E-6</v>
      </c>
      <c r="E44" s="311">
        <f t="shared" si="8"/>
        <v>1.8434269339195453E-2</v>
      </c>
      <c r="F44" s="311">
        <f t="shared" si="8"/>
        <v>2.4060559189820196E-3</v>
      </c>
      <c r="G44" s="311">
        <f t="shared" si="8"/>
        <v>0</v>
      </c>
      <c r="H44" s="311">
        <f t="shared" si="8"/>
        <v>0</v>
      </c>
      <c r="I44" s="311">
        <f t="shared" si="8"/>
        <v>0</v>
      </c>
      <c r="J44" s="311">
        <f t="shared" si="8"/>
        <v>0</v>
      </c>
      <c r="K44" s="311">
        <f t="shared" si="8"/>
        <v>0</v>
      </c>
      <c r="L44" s="311">
        <f t="shared" si="8"/>
        <v>0</v>
      </c>
      <c r="M44" s="311">
        <f t="shared" si="8"/>
        <v>0</v>
      </c>
      <c r="N44" s="311">
        <f t="shared" si="8"/>
        <v>0</v>
      </c>
      <c r="O44" s="311">
        <f t="shared" si="8"/>
        <v>0</v>
      </c>
      <c r="P44" s="311">
        <f t="shared" si="8"/>
        <v>0</v>
      </c>
    </row>
    <row r="45" spans="2:18" x14ac:dyDescent="0.2">
      <c r="B45" s="293"/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9" tint="0.59999389629810485"/>
  </sheetPr>
  <dimension ref="B2:Q32"/>
  <sheetViews>
    <sheetView showGridLines="0" workbookViewId="0">
      <selection activeCell="R8" sqref="R8"/>
    </sheetView>
  </sheetViews>
  <sheetFormatPr defaultColWidth="8.85546875" defaultRowHeight="14.25" x14ac:dyDescent="0.2"/>
  <cols>
    <col min="1" max="1" width="2.140625" style="200" customWidth="1"/>
    <col min="2" max="2" width="32.140625" style="200" customWidth="1"/>
    <col min="3" max="3" width="7.140625" style="200" bestFit="1" customWidth="1"/>
    <col min="4" max="5" width="8.85546875" style="200" bestFit="1" customWidth="1"/>
    <col min="6" max="6" width="7.5703125" style="200" bestFit="1" customWidth="1"/>
    <col min="7" max="7" width="9.85546875" style="200" bestFit="1" customWidth="1"/>
    <col min="8" max="8" width="9" style="200" bestFit="1" customWidth="1"/>
    <col min="9" max="9" width="9.42578125" style="200" bestFit="1" customWidth="1"/>
    <col min="10" max="16" width="9.85546875" style="200" bestFit="1" customWidth="1"/>
    <col min="17" max="16384" width="8.85546875" style="200"/>
  </cols>
  <sheetData>
    <row r="2" spans="2:17" ht="15.75" x14ac:dyDescent="0.2">
      <c r="B2" s="235" t="s">
        <v>304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</row>
    <row r="3" spans="2:17" x14ac:dyDescent="0.2">
      <c r="B3" s="66"/>
      <c r="C3" s="33">
        <v>1</v>
      </c>
      <c r="D3" s="33">
        <f>C3+1</f>
        <v>2</v>
      </c>
      <c r="E3" s="33">
        <f t="shared" ref="E3:P3" si="0">D3+1</f>
        <v>3</v>
      </c>
      <c r="F3" s="33">
        <f t="shared" si="0"/>
        <v>4</v>
      </c>
      <c r="G3" s="168">
        <f t="shared" si="0"/>
        <v>5</v>
      </c>
      <c r="H3" s="168">
        <f t="shared" si="0"/>
        <v>6</v>
      </c>
      <c r="I3" s="168">
        <f t="shared" si="0"/>
        <v>7</v>
      </c>
      <c r="J3" s="168">
        <f t="shared" si="0"/>
        <v>8</v>
      </c>
      <c r="K3" s="168">
        <f t="shared" si="0"/>
        <v>9</v>
      </c>
      <c r="L3" s="168">
        <f t="shared" si="0"/>
        <v>10</v>
      </c>
      <c r="M3" s="168">
        <f t="shared" si="0"/>
        <v>11</v>
      </c>
      <c r="N3" s="168">
        <f t="shared" si="0"/>
        <v>12</v>
      </c>
      <c r="O3" s="168">
        <f t="shared" si="0"/>
        <v>13</v>
      </c>
      <c r="P3" s="168">
        <f t="shared" si="0"/>
        <v>14</v>
      </c>
    </row>
    <row r="4" spans="2:17" ht="15" thickBot="1" x14ac:dyDescent="0.25">
      <c r="B4" s="279" t="s">
        <v>231</v>
      </c>
      <c r="C4" s="280" t="s">
        <v>96</v>
      </c>
      <c r="D4" s="280" t="s">
        <v>96</v>
      </c>
      <c r="E4" s="280" t="s">
        <v>96</v>
      </c>
      <c r="F4" s="280" t="s">
        <v>96</v>
      </c>
      <c r="G4" s="281" t="s">
        <v>97</v>
      </c>
      <c r="H4" s="282" t="s">
        <v>98</v>
      </c>
      <c r="I4" s="282" t="s">
        <v>98</v>
      </c>
      <c r="J4" s="282" t="s">
        <v>98</v>
      </c>
      <c r="K4" s="282" t="s">
        <v>98</v>
      </c>
      <c r="L4" s="282" t="s">
        <v>98</v>
      </c>
      <c r="M4" s="282" t="s">
        <v>98</v>
      </c>
      <c r="N4" s="282" t="s">
        <v>98</v>
      </c>
      <c r="O4" s="282" t="s">
        <v>98</v>
      </c>
      <c r="P4" s="282" t="s">
        <v>98</v>
      </c>
    </row>
    <row r="5" spans="2:17" x14ac:dyDescent="0.2">
      <c r="B5" s="89"/>
      <c r="C5" s="89"/>
      <c r="D5" s="89"/>
      <c r="E5" s="89"/>
      <c r="F5" s="89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89"/>
    </row>
    <row r="6" spans="2:17" x14ac:dyDescent="0.2">
      <c r="B6" s="374" t="s">
        <v>288</v>
      </c>
      <c r="C6" s="374"/>
      <c r="D6" s="375">
        <f>'Income Statement'!D17</f>
        <v>73382</v>
      </c>
      <c r="E6" s="375">
        <f>'Income Statement'!E17</f>
        <v>77174</v>
      </c>
      <c r="F6" s="375">
        <f>'Income Statement'!F17</f>
        <v>74949</v>
      </c>
      <c r="G6" s="415">
        <f>'Income Statement'!G17</f>
        <v>101805.73393877296</v>
      </c>
      <c r="H6" s="415">
        <f>'Income Statement'!H17</f>
        <v>116115.05970687047</v>
      </c>
      <c r="I6" s="415">
        <f>'Income Statement'!I17</f>
        <v>132455.9209611683</v>
      </c>
      <c r="J6" s="415">
        <f>'Income Statement'!J17</f>
        <v>151122.49305782001</v>
      </c>
      <c r="K6" s="415">
        <f>'Income Statement'!K17</f>
        <v>172452.37100564345</v>
      </c>
      <c r="L6" s="415">
        <f>'Income Statement'!L17</f>
        <v>196833.09786690306</v>
      </c>
      <c r="M6" s="415">
        <f>'Income Statement'!M17</f>
        <v>224709.69253251536</v>
      </c>
      <c r="N6" s="415">
        <f>'Income Statement'!N17</f>
        <v>256593.33254976897</v>
      </c>
      <c r="O6" s="415">
        <f>'Income Statement'!O17</f>
        <v>293071.37234650267</v>
      </c>
      <c r="P6" s="415">
        <f>'Income Statement'!P17</f>
        <v>334818.90583472676</v>
      </c>
      <c r="Q6" s="89"/>
    </row>
    <row r="7" spans="2:17" x14ac:dyDescent="0.2">
      <c r="B7" s="374" t="s">
        <v>255</v>
      </c>
      <c r="C7" s="374"/>
      <c r="D7" s="375">
        <f>-'Income Statement'!D11</f>
        <v>26039</v>
      </c>
      <c r="E7" s="375">
        <f>-'Income Statement'!E11</f>
        <v>27598</v>
      </c>
      <c r="F7" s="375">
        <f>-'Income Statement'!F11</f>
        <v>30208</v>
      </c>
      <c r="G7" s="415">
        <f>-'Income Statement'!G11</f>
        <v>34285.675087549047</v>
      </c>
      <c r="H7" s="415">
        <f>-'Income Statement'!H11</f>
        <v>40281.563827738231</v>
      </c>
      <c r="I7" s="415">
        <f>-'Income Statement'!I11</f>
        <v>37969.342878006464</v>
      </c>
      <c r="J7" s="415">
        <f>-'Income Statement'!J11</f>
        <v>38435.042340299093</v>
      </c>
      <c r="K7" s="415">
        <f>-'Income Statement'!K11</f>
        <v>45008.854372876893</v>
      </c>
      <c r="L7" s="415">
        <f>-'Income Statement'!L11</f>
        <v>50288.96914179578</v>
      </c>
      <c r="M7" s="415">
        <f>-'Income Statement'!M11</f>
        <v>56687.748505783631</v>
      </c>
      <c r="N7" s="415">
        <f>-'Income Statement'!N11</f>
        <v>63510.590185378693</v>
      </c>
      <c r="O7" s="415">
        <f>-'Income Statement'!O11</f>
        <v>71057.984428829746</v>
      </c>
      <c r="P7" s="415">
        <f>-'Income Statement'!P11</f>
        <v>79323.210362360973</v>
      </c>
      <c r="Q7" s="89"/>
    </row>
    <row r="8" spans="2:17" x14ac:dyDescent="0.2">
      <c r="B8" s="374" t="s">
        <v>291</v>
      </c>
      <c r="C8" s="374"/>
      <c r="D8" s="375">
        <f>SUM('Balance Sheet'!D14:D17)-SUM('Balance Sheet'!C14:C17)</f>
        <v>5822.0019915770172</v>
      </c>
      <c r="E8" s="375">
        <f>SUM('Balance Sheet'!E14:E17)-SUM('Balance Sheet'!D14:D17)</f>
        <v>5812.0045742693328</v>
      </c>
      <c r="F8" s="375">
        <f>SUM('Balance Sheet'!F14:F17)-SUM('Balance Sheet'!E14:E17)</f>
        <v>4761.002406055919</v>
      </c>
      <c r="G8" s="415">
        <f>SUM('Balance Sheet'!G14:G17)-SUM('Balance Sheet'!F14:F17)</f>
        <v>-8773.3358313054378</v>
      </c>
      <c r="H8" s="415">
        <f>SUM('Balance Sheet'!H14:H17)-SUM('Balance Sheet'!G14:G17)</f>
        <v>1613.2347232818429</v>
      </c>
      <c r="I8" s="415">
        <f>SUM('Balance Sheet'!I14:I17)-SUM('Balance Sheet'!H14:H17)</f>
        <v>1842.2702236982514</v>
      </c>
      <c r="J8" s="415">
        <f>SUM('Balance Sheet'!J14:J17)-SUM('Balance Sheet'!I14:I17)</f>
        <v>2104.4710812371341</v>
      </c>
      <c r="K8" s="415">
        <f>SUM('Balance Sheet'!K14:K17)-SUM('Balance Sheet'!J14:J17)</f>
        <v>2404.732431594326</v>
      </c>
      <c r="L8" s="415">
        <f>SUM('Balance Sheet'!L14:L17)-SUM('Balance Sheet'!K14:K17)</f>
        <v>2748.6854229794808</v>
      </c>
      <c r="M8" s="415">
        <f>SUM('Balance Sheet'!M14:M17)-SUM('Balance Sheet'!L14:L17)</f>
        <v>3142.8098856818724</v>
      </c>
      <c r="N8" s="415">
        <f>SUM('Balance Sheet'!N14:N17)-SUM('Balance Sheet'!M14:M17)</f>
        <v>3594.5645527986708</v>
      </c>
      <c r="O8" s="415">
        <f>SUM('Balance Sheet'!O14:O17)-SUM('Balance Sheet'!N14:N17)</f>
        <v>4112.5376129564393</v>
      </c>
      <c r="P8" s="415">
        <f>SUM('Balance Sheet'!P14:P17)-SUM('Balance Sheet'!O14:O17)</f>
        <v>4706.6208237936298</v>
      </c>
      <c r="Q8" s="89"/>
    </row>
    <row r="9" spans="2:17" x14ac:dyDescent="0.2">
      <c r="B9" s="374" t="s">
        <v>292</v>
      </c>
      <c r="C9" s="374"/>
      <c r="D9" s="376">
        <f>'Cash Flow'!D33+'Cash Flow'!D34</f>
        <v>-8781</v>
      </c>
      <c r="E9" s="376">
        <f>'Cash Flow'!E33+'Cash Flow'!E34</f>
        <v>-22324</v>
      </c>
      <c r="F9" s="376">
        <f>'Cash Flow'!F33+'Cash Flow'!F34</f>
        <v>-29607</v>
      </c>
      <c r="G9" s="416">
        <f>'Cash Flow'!G33+'Cash Flow'!G34</f>
        <v>-29515.140994973859</v>
      </c>
      <c r="H9" s="416">
        <f>'Cash Flow'!H33+'Cash Flow'!H34</f>
        <v>-33663.64767773496</v>
      </c>
      <c r="I9" s="416">
        <f>'Cash Flow'!I33+'Cash Flow'!I34</f>
        <v>-38401.129597859166</v>
      </c>
      <c r="J9" s="416">
        <f>'Cash Flow'!J33+'Cash Flow'!J34</f>
        <v>-43812.872984109446</v>
      </c>
      <c r="K9" s="416">
        <f>'Cash Flow'!K33+'Cash Flow'!K34</f>
        <v>-49996.752129995322</v>
      </c>
      <c r="L9" s="416">
        <f>'Cash Flow'!L33+'Cash Flow'!L34</f>
        <v>-57065.12208352692</v>
      </c>
      <c r="M9" s="416">
        <f>'Cash Flow'!M33+'Cash Flow'!M34</f>
        <v>-65147.001071895909</v>
      </c>
      <c r="N9" s="416">
        <f>'Cash Flow'!N33+'Cash Flow'!N34</f>
        <v>-74390.587794704596</v>
      </c>
      <c r="O9" s="416">
        <f>'Cash Flow'!O33+'Cash Flow'!O34</f>
        <v>-84966.165870379133</v>
      </c>
      <c r="P9" s="416">
        <f>'Cash Flow'!P33+'Cash Flow'!P34</f>
        <v>-97069.456023352221</v>
      </c>
      <c r="Q9" s="89"/>
    </row>
    <row r="10" spans="2:17" x14ac:dyDescent="0.2">
      <c r="B10" s="374" t="s">
        <v>293</v>
      </c>
      <c r="C10" s="374"/>
      <c r="D10" s="376">
        <f>'Cash Flow'!D25+'Cash Flow'!D26</f>
        <v>-109920.00200000001</v>
      </c>
      <c r="E10" s="376">
        <f>'Cash Flow'!E25+'Cash Flow'!E26</f>
        <v>-119156.98613999999</v>
      </c>
      <c r="F10" s="376">
        <f>'Cash Flow'!F25+'Cash Flow'!F26</f>
        <v>-22984</v>
      </c>
      <c r="G10" s="416">
        <f>'Cash Flow'!G25+'Cash Flow'!G26</f>
        <v>-102480.80763310165</v>
      </c>
      <c r="H10" s="416">
        <f>'Cash Flow'!H25+'Cash Flow'!H26</f>
        <v>-91011.68449682137</v>
      </c>
      <c r="I10" s="416">
        <f>'Cash Flow'!I25+'Cash Flow'!I26</f>
        <v>-105210.62732520807</v>
      </c>
      <c r="J10" s="416">
        <f>'Cash Flow'!J25+'Cash Flow'!J26</f>
        <v>-134239.34594882472</v>
      </c>
      <c r="K10" s="416">
        <f>'Cash Flow'!K25+'Cash Flow'!K26</f>
        <v>-147449.82550488968</v>
      </c>
      <c r="L10" s="416">
        <f>'Cash Flow'!L25+'Cash Flow'!L26</f>
        <v>-168525.1583628463</v>
      </c>
      <c r="M10" s="416">
        <f>'Cash Flow'!M25+'Cash Flow'!M26</f>
        <v>-190314.16534511588</v>
      </c>
      <c r="N10" s="416">
        <f>'Cash Flow'!N25+'Cash Flow'!N26</f>
        <v>-215516.67173990188</v>
      </c>
      <c r="O10" s="416">
        <f>'Cash Flow'!O25+'Cash Flow'!O26</f>
        <v>-243767.92660652759</v>
      </c>
      <c r="P10" s="416">
        <f>'Cash Flow'!P25+'Cash Flow'!P26</f>
        <v>-275747.07198006421</v>
      </c>
      <c r="Q10" s="89"/>
    </row>
    <row r="11" spans="2:17" ht="15" thickBot="1" x14ac:dyDescent="0.25">
      <c r="B11" s="377" t="s">
        <v>286</v>
      </c>
      <c r="C11" s="377"/>
      <c r="D11" s="379">
        <f>SUM(D6:D10)</f>
        <v>-13458.000008422998</v>
      </c>
      <c r="E11" s="379">
        <f t="shared" ref="E11:F11" si="1">SUM(E6:E10)</f>
        <v>-30896.981565730661</v>
      </c>
      <c r="F11" s="379">
        <f t="shared" si="1"/>
        <v>57327.002406055923</v>
      </c>
      <c r="G11" s="379">
        <f t="shared" ref="G11" si="2">SUM(G6:G10)</f>
        <v>-4677.875433058929</v>
      </c>
      <c r="H11" s="379">
        <f t="shared" ref="H11" si="3">SUM(H6:H10)</f>
        <v>33334.526083334204</v>
      </c>
      <c r="I11" s="379">
        <f t="shared" ref="I11" si="4">SUM(I6:I10)</f>
        <v>28655.777139805781</v>
      </c>
      <c r="J11" s="379">
        <f t="shared" ref="J11" si="5">SUM(J6:J10)</f>
        <v>13609.787546422071</v>
      </c>
      <c r="K11" s="379">
        <f t="shared" ref="K11" si="6">SUM(K6:K10)</f>
        <v>22419.380175229657</v>
      </c>
      <c r="L11" s="379">
        <f t="shared" ref="L11" si="7">SUM(L6:L10)</f>
        <v>24280.471985305077</v>
      </c>
      <c r="M11" s="379">
        <f t="shared" ref="M11" si="8">SUM(M6:M10)</f>
        <v>29079.084506969113</v>
      </c>
      <c r="N11" s="379">
        <f t="shared" ref="N11" si="9">SUM(N6:N10)</f>
        <v>33791.227753339859</v>
      </c>
      <c r="O11" s="379">
        <f t="shared" ref="O11" si="10">SUM(O6:O10)</f>
        <v>39507.801911382121</v>
      </c>
      <c r="P11" s="379">
        <f t="shared" ref="P11" si="11">SUM(P6:P10)</f>
        <v>46032.209017464949</v>
      </c>
      <c r="Q11" s="89"/>
    </row>
    <row r="12" spans="2:17" x14ac:dyDescent="0.2">
      <c r="B12" s="377"/>
      <c r="C12" s="377"/>
      <c r="D12" s="378"/>
      <c r="E12" s="378"/>
      <c r="F12" s="378"/>
      <c r="G12" s="417"/>
      <c r="H12" s="417"/>
      <c r="I12" s="417"/>
      <c r="J12" s="417"/>
      <c r="K12" s="417"/>
      <c r="L12" s="417"/>
      <c r="M12" s="417"/>
      <c r="N12" s="417"/>
      <c r="O12" s="417"/>
      <c r="P12" s="417"/>
      <c r="Q12" s="89"/>
    </row>
    <row r="13" spans="2:17" x14ac:dyDescent="0.2">
      <c r="B13" s="374" t="s">
        <v>289</v>
      </c>
      <c r="C13" s="377"/>
      <c r="D13" s="376">
        <f>'Balance Sheet'!C44-'Balance Sheet'!D44</f>
        <v>-8469</v>
      </c>
      <c r="E13" s="376">
        <f>'Balance Sheet'!E44-'Balance Sheet'!D44</f>
        <v>-8680</v>
      </c>
      <c r="F13" s="376">
        <f>'Balance Sheet'!F44-'Balance Sheet'!E44</f>
        <v>44427</v>
      </c>
      <c r="G13" s="416">
        <f>'Balance Sheet'!G44-'Balance Sheet'!F44</f>
        <v>22061.199659579521</v>
      </c>
      <c r="H13" s="416">
        <f>'Balance Sheet'!H44-'Balance Sheet'!G44</f>
        <v>56751.163550686877</v>
      </c>
      <c r="I13" s="416">
        <f>'Balance Sheet'!I44-'Balance Sheet'!H44</f>
        <v>55396.940916320891</v>
      </c>
      <c r="J13" s="416">
        <f>'Balance Sheet'!J44-'Balance Sheet'!I44</f>
        <v>44156.88379885524</v>
      </c>
      <c r="K13" s="416">
        <f>'Balance Sheet'!K44-'Balance Sheet'!J44</f>
        <v>57324.869589736918</v>
      </c>
      <c r="L13" s="416">
        <f>'Balance Sheet'!L44-'Balance Sheet'!K44</f>
        <v>64178.553233375715</v>
      </c>
      <c r="M13" s="416">
        <f>'Balance Sheet'!M44-'Balance Sheet'!L44</f>
        <v>74698.013147502264</v>
      </c>
      <c r="N13" s="416">
        <f>'Balance Sheet'!N44-'Balance Sheet'!M44</f>
        <v>85967.525331815646</v>
      </c>
      <c r="O13" s="416">
        <f>'Balance Sheet'!O44-'Balance Sheet'!N44</f>
        <v>99202.650381754967</v>
      </c>
      <c r="P13" s="416">
        <f>'Balance Sheet'!P44-'Balance Sheet'!O44</f>
        <v>114350.37247904646</v>
      </c>
      <c r="Q13" s="89"/>
    </row>
    <row r="14" spans="2:17" x14ac:dyDescent="0.2">
      <c r="B14" s="374" t="s">
        <v>290</v>
      </c>
      <c r="C14" s="89"/>
      <c r="D14" s="376">
        <f>'Balance Sheet'!D21+'Balance Sheet'!D23-'Balance Sheet'!C21-'Balance Sheet'!C23</f>
        <v>17865</v>
      </c>
      <c r="E14" s="376">
        <f>'Balance Sheet'!E21+'Balance Sheet'!E23-'Balance Sheet'!D21-'Balance Sheet'!D23</f>
        <v>25845</v>
      </c>
      <c r="F14" s="376">
        <f>'Balance Sheet'!F21+'Balance Sheet'!F23-'Balance Sheet'!E21-'Balance Sheet'!E23</f>
        <v>-13268</v>
      </c>
      <c r="G14" s="416">
        <f>'Balance Sheet'!G21+'Balance Sheet'!G23-'Balance Sheet'!F21-'Balance Sheet'!F23</f>
        <v>25405.775722936203</v>
      </c>
      <c r="H14" s="416">
        <f>'Balance Sheet'!H21+'Balance Sheet'!H23-'Balance Sheet'!G21-'Balance Sheet'!G23</f>
        <v>23023.082317933433</v>
      </c>
      <c r="I14" s="416">
        <f>'Balance Sheet'!I21+'Balance Sheet'!I23-'Balance Sheet'!H21-'Balance Sheet'!H23</f>
        <v>26291.734488455157</v>
      </c>
      <c r="J14" s="416">
        <f>'Balance Sheet'!J21+'Balance Sheet'!J23-'Balance Sheet'!I21-'Balance Sheet'!I23</f>
        <v>30033.702002438411</v>
      </c>
      <c r="K14" s="416">
        <f>'Balance Sheet'!K21+'Balance Sheet'!K23-'Balance Sheet'!J21-'Balance Sheet'!J23</f>
        <v>34318.845191090062</v>
      </c>
      <c r="L14" s="416">
        <f>'Balance Sheet'!L21+'Balance Sheet'!L23-'Balance Sheet'!K21-'Balance Sheet'!K23</f>
        <v>39227.528298313526</v>
      </c>
      <c r="M14" s="416">
        <f>'Balance Sheet'!M21+'Balance Sheet'!M23-'Balance Sheet'!L21-'Balance Sheet'!L23</f>
        <v>44852.227430656232</v>
      </c>
      <c r="N14" s="416">
        <f>'Balance Sheet'!N21+'Balance Sheet'!N23-'Balance Sheet'!M21-'Balance Sheet'!M23</f>
        <v>51299.388986528284</v>
      </c>
      <c r="O14" s="416">
        <f>'Balance Sheet'!O21+'Balance Sheet'!O23-'Balance Sheet'!N21-'Balance Sheet'!N23</f>
        <v>58691.578250979801</v>
      </c>
      <c r="P14" s="416">
        <f>'Balance Sheet'!P21+'Balance Sheet'!P23-'Balance Sheet'!O21-'Balance Sheet'!O23</f>
        <v>67169.96423499941</v>
      </c>
      <c r="Q14" s="89"/>
    </row>
    <row r="15" spans="2:17" x14ac:dyDescent="0.2">
      <c r="B15" s="89" t="s">
        <v>308</v>
      </c>
      <c r="C15" s="89"/>
      <c r="D15" s="376">
        <f>D13+D14</f>
        <v>9396</v>
      </c>
      <c r="E15" s="376">
        <f t="shared" ref="E15:F15" si="12">E13-E14</f>
        <v>-34525</v>
      </c>
      <c r="F15" s="376">
        <f t="shared" si="12"/>
        <v>57695</v>
      </c>
      <c r="G15" s="416">
        <f t="shared" ref="G15" si="13">G13-G14</f>
        <v>-3344.5760633566824</v>
      </c>
      <c r="H15" s="416">
        <f t="shared" ref="H15" si="14">H13-H14</f>
        <v>33728.081232753444</v>
      </c>
      <c r="I15" s="416">
        <f t="shared" ref="I15" si="15">I13-I14</f>
        <v>29105.206427865734</v>
      </c>
      <c r="J15" s="416">
        <f t="shared" ref="J15" si="16">J13-J14</f>
        <v>14123.181796416829</v>
      </c>
      <c r="K15" s="416">
        <f t="shared" ref="K15" si="17">K13-K14</f>
        <v>23006.024398646856</v>
      </c>
      <c r="L15" s="416">
        <f t="shared" ref="L15" si="18">L13-L14</f>
        <v>24951.024935062189</v>
      </c>
      <c r="M15" s="416">
        <f t="shared" ref="M15" si="19">M13-M14</f>
        <v>29845.785716846032</v>
      </c>
      <c r="N15" s="416">
        <f t="shared" ref="N15" si="20">N13-N14</f>
        <v>34668.136345287363</v>
      </c>
      <c r="O15" s="416">
        <f t="shared" ref="O15" si="21">O13-O14</f>
        <v>40511.072130775166</v>
      </c>
      <c r="P15" s="416">
        <f t="shared" ref="P15" si="22">P13-P14</f>
        <v>47180.408244047052</v>
      </c>
      <c r="Q15" s="89"/>
    </row>
    <row r="16" spans="2:17" x14ac:dyDescent="0.2">
      <c r="B16" s="89"/>
      <c r="C16" s="89"/>
      <c r="D16" s="89"/>
      <c r="E16" s="89"/>
      <c r="F16" s="89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89"/>
    </row>
    <row r="17" spans="2:17" ht="15" thickBot="1" x14ac:dyDescent="0.25">
      <c r="B17" s="127" t="s">
        <v>287</v>
      </c>
      <c r="C17" s="89"/>
      <c r="D17" s="380">
        <f>D11+D15</f>
        <v>-4062.0000084229978</v>
      </c>
      <c r="E17" s="380">
        <f t="shared" ref="E17:F17" si="23">E11-E15</f>
        <v>3628.0184342693392</v>
      </c>
      <c r="F17" s="380">
        <f t="shared" si="23"/>
        <v>-367.99759394407738</v>
      </c>
      <c r="G17" s="380">
        <f t="shared" ref="G17:P17" si="24">G11-G15</f>
        <v>-1333.2993697022466</v>
      </c>
      <c r="H17" s="380">
        <f t="shared" si="24"/>
        <v>-393.55514941924048</v>
      </c>
      <c r="I17" s="380">
        <f t="shared" si="24"/>
        <v>-449.42928805995325</v>
      </c>
      <c r="J17" s="380">
        <f t="shared" si="24"/>
        <v>-513.39424999475887</v>
      </c>
      <c r="K17" s="380">
        <f t="shared" si="24"/>
        <v>-586.6442234171991</v>
      </c>
      <c r="L17" s="380">
        <f t="shared" si="24"/>
        <v>-670.55294975711149</v>
      </c>
      <c r="M17" s="380">
        <f t="shared" si="24"/>
        <v>-766.70120987691917</v>
      </c>
      <c r="N17" s="380">
        <f t="shared" si="24"/>
        <v>-876.90859194750374</v>
      </c>
      <c r="O17" s="380">
        <f t="shared" si="24"/>
        <v>-1003.2702193930454</v>
      </c>
      <c r="P17" s="380">
        <f t="shared" si="24"/>
        <v>-1148.1992265821027</v>
      </c>
      <c r="Q17" s="89"/>
    </row>
    <row r="18" spans="2:17" x14ac:dyDescent="0.2">
      <c r="B18" s="89"/>
      <c r="C18" s="89"/>
      <c r="D18" s="89"/>
      <c r="E18" s="89"/>
      <c r="F18" s="89"/>
      <c r="G18" s="418"/>
      <c r="H18" s="418"/>
      <c r="I18" s="418"/>
      <c r="J18" s="418"/>
      <c r="K18" s="213"/>
      <c r="L18" s="213"/>
      <c r="M18" s="213"/>
      <c r="N18" s="213"/>
      <c r="O18" s="213"/>
      <c r="P18" s="213"/>
      <c r="Q18" s="89"/>
    </row>
    <row r="19" spans="2:17" x14ac:dyDescent="0.2">
      <c r="B19" s="127" t="s">
        <v>23</v>
      </c>
      <c r="C19" s="127"/>
      <c r="D19" s="270">
        <f>'Balance Sheet'!D22-'Balance Sheet'!C22</f>
        <v>4062</v>
      </c>
      <c r="E19" s="270">
        <f>'Balance Sheet'!E22-'Balance Sheet'!D22</f>
        <v>-3728</v>
      </c>
      <c r="F19" s="270">
        <f>'Balance Sheet'!F22-'Balance Sheet'!E22</f>
        <v>388</v>
      </c>
      <c r="G19" s="419">
        <f>'Balance Sheet'!G22-'Balance Sheet'!F22</f>
        <v>1333.2993697022512</v>
      </c>
      <c r="H19" s="419">
        <f>'Balance Sheet'!H22-'Balance Sheet'!G22</f>
        <v>393.55514941924002</v>
      </c>
      <c r="I19" s="419">
        <f>'Balance Sheet'!I22-'Balance Sheet'!H22</f>
        <v>449.4292880599719</v>
      </c>
      <c r="J19" s="419">
        <f>'Balance Sheet'!J22-'Balance Sheet'!I22</f>
        <v>513.39424999473886</v>
      </c>
      <c r="K19" s="419">
        <f>'Balance Sheet'!K22-'Balance Sheet'!J22</f>
        <v>586.6442234172373</v>
      </c>
      <c r="L19" s="419">
        <f>'Balance Sheet'!L22-'Balance Sheet'!K22</f>
        <v>670.55294975707511</v>
      </c>
      <c r="M19" s="419">
        <f>'Balance Sheet'!M22-'Balance Sheet'!L22</f>
        <v>766.70120987701284</v>
      </c>
      <c r="N19" s="419">
        <f>'Balance Sheet'!N22-'Balance Sheet'!M22</f>
        <v>876.9085919474328</v>
      </c>
      <c r="O19" s="419">
        <f>'Balance Sheet'!O22-'Balance Sheet'!N22</f>
        <v>1003.2702193929626</v>
      </c>
      <c r="P19" s="419">
        <f>'Balance Sheet'!P22-'Balance Sheet'!O22</f>
        <v>1148.1992265822309</v>
      </c>
      <c r="Q19" s="89"/>
    </row>
    <row r="20" spans="2:17" x14ac:dyDescent="0.2">
      <c r="B20" s="127" t="s">
        <v>281</v>
      </c>
      <c r="C20" s="270"/>
      <c r="D20" s="270">
        <f>'Balance Sheet'!D13-'Balance Sheet'!C13</f>
        <v>0</v>
      </c>
      <c r="E20" s="270">
        <f>'Balance Sheet'!E13-'Balance Sheet'!D13</f>
        <v>100</v>
      </c>
      <c r="F20" s="270">
        <f>'Balance Sheet'!F13-'Balance Sheet'!E13</f>
        <v>-20</v>
      </c>
      <c r="G20" s="419">
        <f>'Balance Sheet'!G13-'Balance Sheet'!F13</f>
        <v>0</v>
      </c>
      <c r="H20" s="419">
        <f>'Balance Sheet'!H13-'Balance Sheet'!G13</f>
        <v>0</v>
      </c>
      <c r="I20" s="419">
        <f>'Balance Sheet'!I13-'Balance Sheet'!H13</f>
        <v>0</v>
      </c>
      <c r="J20" s="419">
        <f>'Balance Sheet'!J13-'Balance Sheet'!I13</f>
        <v>0</v>
      </c>
      <c r="K20" s="419">
        <f>'Balance Sheet'!K13-'Balance Sheet'!J13</f>
        <v>0</v>
      </c>
      <c r="L20" s="419">
        <f>'Balance Sheet'!L13-'Balance Sheet'!K13</f>
        <v>0</v>
      </c>
      <c r="M20" s="419">
        <f>'Balance Sheet'!M13-'Balance Sheet'!L13</f>
        <v>0</v>
      </c>
      <c r="N20" s="419">
        <f>'Balance Sheet'!N13-'Balance Sheet'!M13</f>
        <v>0</v>
      </c>
      <c r="O20" s="419">
        <f>'Balance Sheet'!O13-'Balance Sheet'!N13</f>
        <v>0</v>
      </c>
      <c r="P20" s="419">
        <f>'Balance Sheet'!P13-'Balance Sheet'!O13</f>
        <v>0</v>
      </c>
      <c r="Q20" s="89"/>
    </row>
    <row r="21" spans="2:17" x14ac:dyDescent="0.2">
      <c r="B21" s="127" t="s">
        <v>172</v>
      </c>
      <c r="C21" s="127"/>
      <c r="D21" s="270">
        <f>'Balance Sheet'!D7-'Balance Sheet'!C7</f>
        <v>0</v>
      </c>
      <c r="E21" s="270">
        <f>'Balance Sheet'!E7-'Balance Sheet'!D7</f>
        <v>0</v>
      </c>
      <c r="F21" s="270">
        <f>'Balance Sheet'!F7-'Balance Sheet'!E7</f>
        <v>0</v>
      </c>
      <c r="G21" s="419">
        <f>'Balance Sheet'!G7-'Balance Sheet'!F7</f>
        <v>0</v>
      </c>
      <c r="H21" s="419">
        <f>'Balance Sheet'!H7-'Balance Sheet'!G7</f>
        <v>0</v>
      </c>
      <c r="I21" s="419">
        <f>'Balance Sheet'!I7-'Balance Sheet'!H7</f>
        <v>0</v>
      </c>
      <c r="J21" s="419">
        <f>'Balance Sheet'!J7-'Balance Sheet'!I7</f>
        <v>0</v>
      </c>
      <c r="K21" s="419">
        <f>'Balance Sheet'!K7-'Balance Sheet'!J7</f>
        <v>0</v>
      </c>
      <c r="L21" s="419">
        <f>'Balance Sheet'!L7-'Balance Sheet'!K7</f>
        <v>0</v>
      </c>
      <c r="M21" s="419">
        <f>'Balance Sheet'!M7-'Balance Sheet'!L7</f>
        <v>0</v>
      </c>
      <c r="N21" s="419">
        <f>'Balance Sheet'!N7-'Balance Sheet'!M7</f>
        <v>0</v>
      </c>
      <c r="O21" s="419">
        <f>'Balance Sheet'!O7-'Balance Sheet'!N7</f>
        <v>0</v>
      </c>
      <c r="P21" s="419">
        <f>'Balance Sheet'!P7-'Balance Sheet'!O7</f>
        <v>0</v>
      </c>
      <c r="Q21" s="89"/>
    </row>
    <row r="22" spans="2:17" ht="15" thickBot="1" x14ac:dyDescent="0.25">
      <c r="B22" s="127"/>
      <c r="C22" s="127"/>
      <c r="D22" s="380">
        <f>SUM(D19:D21)</f>
        <v>4062</v>
      </c>
      <c r="E22" s="380">
        <f t="shared" ref="E22:P22" si="25">SUM(E19:E21)</f>
        <v>-3628</v>
      </c>
      <c r="F22" s="380">
        <f t="shared" si="25"/>
        <v>368</v>
      </c>
      <c r="G22" s="380">
        <f t="shared" si="25"/>
        <v>1333.2993697022512</v>
      </c>
      <c r="H22" s="380">
        <f t="shared" si="25"/>
        <v>393.55514941924002</v>
      </c>
      <c r="I22" s="380">
        <f t="shared" si="25"/>
        <v>449.4292880599719</v>
      </c>
      <c r="J22" s="380">
        <f t="shared" si="25"/>
        <v>513.39424999473886</v>
      </c>
      <c r="K22" s="380">
        <f t="shared" si="25"/>
        <v>586.6442234172373</v>
      </c>
      <c r="L22" s="380">
        <f t="shared" si="25"/>
        <v>670.55294975707511</v>
      </c>
      <c r="M22" s="380">
        <f t="shared" si="25"/>
        <v>766.70120987701284</v>
      </c>
      <c r="N22" s="380">
        <f t="shared" si="25"/>
        <v>876.9085919474328</v>
      </c>
      <c r="O22" s="380">
        <f t="shared" si="25"/>
        <v>1003.2702193929626</v>
      </c>
      <c r="P22" s="380">
        <f t="shared" si="25"/>
        <v>1148.1992265822309</v>
      </c>
      <c r="Q22" s="89"/>
    </row>
    <row r="23" spans="2:17" x14ac:dyDescent="0.2">
      <c r="B23" s="89"/>
      <c r="C23" s="8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89"/>
    </row>
    <row r="24" spans="2:17" x14ac:dyDescent="0.2">
      <c r="B24" s="127"/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89"/>
    </row>
    <row r="25" spans="2:17" x14ac:dyDescent="0.2">
      <c r="D25" s="269"/>
      <c r="E25" s="269"/>
      <c r="F25" s="269"/>
      <c r="G25" s="372"/>
      <c r="H25" s="89"/>
      <c r="I25" s="89"/>
      <c r="J25" s="89"/>
      <c r="K25" s="89"/>
      <c r="L25" s="89"/>
      <c r="M25" s="89"/>
      <c r="N25" s="89"/>
      <c r="O25" s="89"/>
      <c r="P25" s="89"/>
      <c r="Q25" s="89"/>
    </row>
    <row r="26" spans="2:17" x14ac:dyDescent="0.2"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</row>
    <row r="27" spans="2:17" x14ac:dyDescent="0.2"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</row>
    <row r="28" spans="2:17" x14ac:dyDescent="0.2"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</row>
    <row r="29" spans="2:17" x14ac:dyDescent="0.2"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</row>
    <row r="30" spans="2:17" x14ac:dyDescent="0.2"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</row>
    <row r="31" spans="2:17" x14ac:dyDescent="0.2"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</row>
    <row r="32" spans="2:17" x14ac:dyDescent="0.2"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9" tint="0.59999389629810485"/>
  </sheetPr>
  <dimension ref="B2:L67"/>
  <sheetViews>
    <sheetView showGridLines="0" tabSelected="1" zoomScaleNormal="100" workbookViewId="0"/>
  </sheetViews>
  <sheetFormatPr defaultColWidth="10.140625" defaultRowHeight="12.75" x14ac:dyDescent="0.2"/>
  <cols>
    <col min="1" max="1" width="1.85546875" style="89" customWidth="1"/>
    <col min="2" max="2" width="24.140625" style="89" bestFit="1" customWidth="1"/>
    <col min="3" max="3" width="10.140625" style="89" bestFit="1" customWidth="1"/>
    <col min="4" max="5" width="9.85546875" style="89" customWidth="1"/>
    <col min="6" max="6" width="8.140625" style="89" bestFit="1" customWidth="1"/>
    <col min="7" max="10" width="9.85546875" style="89" customWidth="1"/>
    <col min="11" max="12" width="10.140625" style="89"/>
    <col min="13" max="13" width="1.42578125" style="89" customWidth="1"/>
    <col min="14" max="14" width="18.5703125" style="89" bestFit="1" customWidth="1"/>
    <col min="15" max="16384" width="10.140625" style="89"/>
  </cols>
  <sheetData>
    <row r="2" spans="2:12" ht="14.25" x14ac:dyDescent="0.2">
      <c r="B2" s="185" t="s">
        <v>264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</row>
    <row r="3" spans="2:12" x14ac:dyDescent="0.2">
      <c r="B3" s="241"/>
      <c r="C3" s="242">
        <v>5</v>
      </c>
      <c r="D3" s="242">
        <f>C3+1</f>
        <v>6</v>
      </c>
      <c r="E3" s="242">
        <f t="shared" ref="E3:L3" si="0">D3+1</f>
        <v>7</v>
      </c>
      <c r="F3" s="242">
        <f t="shared" si="0"/>
        <v>8</v>
      </c>
      <c r="G3" s="342">
        <f t="shared" si="0"/>
        <v>9</v>
      </c>
      <c r="H3" s="342">
        <f t="shared" si="0"/>
        <v>10</v>
      </c>
      <c r="I3" s="342">
        <f t="shared" si="0"/>
        <v>11</v>
      </c>
      <c r="J3" s="342">
        <f t="shared" si="0"/>
        <v>12</v>
      </c>
      <c r="K3" s="342">
        <f t="shared" si="0"/>
        <v>13</v>
      </c>
      <c r="L3" s="342">
        <f t="shared" si="0"/>
        <v>14</v>
      </c>
    </row>
    <row r="4" spans="2:12" ht="13.5" thickBot="1" x14ac:dyDescent="0.25">
      <c r="B4" s="220" t="s">
        <v>231</v>
      </c>
      <c r="C4" s="244" t="s">
        <v>96</v>
      </c>
      <c r="D4" s="244" t="s">
        <v>96</v>
      </c>
      <c r="E4" s="244" t="s">
        <v>96</v>
      </c>
      <c r="F4" s="244" t="s">
        <v>96</v>
      </c>
      <c r="G4" s="343" t="s">
        <v>97</v>
      </c>
      <c r="H4" s="244" t="s">
        <v>98</v>
      </c>
      <c r="I4" s="244" t="s">
        <v>98</v>
      </c>
      <c r="J4" s="244" t="s">
        <v>98</v>
      </c>
      <c r="K4" s="244" t="s">
        <v>98</v>
      </c>
      <c r="L4" s="244" t="s">
        <v>98</v>
      </c>
    </row>
    <row r="5" spans="2:12" x14ac:dyDescent="0.2">
      <c r="B5" s="221"/>
      <c r="C5" s="327"/>
      <c r="D5" s="327"/>
      <c r="E5" s="327"/>
      <c r="F5" s="327"/>
      <c r="G5" s="344"/>
      <c r="H5" s="327"/>
      <c r="I5" s="327"/>
      <c r="J5" s="327"/>
      <c r="K5" s="327"/>
      <c r="L5" s="327"/>
    </row>
    <row r="6" spans="2:12" x14ac:dyDescent="0.2">
      <c r="B6" s="293" t="s">
        <v>44</v>
      </c>
      <c r="C6" s="320">
        <f>'Income Statement'!G12</f>
        <v>143129.65333839506</v>
      </c>
      <c r="D6" s="320">
        <f>'Income Statement'!H12</f>
        <v>163038.96824127299</v>
      </c>
      <c r="E6" s="320">
        <f>'Income Statement'!I12</f>
        <v>185774.8649402904</v>
      </c>
      <c r="F6" s="320">
        <f>'Income Statement'!J12</f>
        <v>211746.64502639885</v>
      </c>
      <c r="G6" s="320">
        <f>'Income Statement'!K12</f>
        <v>241424.02212895604</v>
      </c>
      <c r="H6" s="320">
        <f>'Income Statement'!L12</f>
        <v>275346.20522189216</v>
      </c>
      <c r="I6" s="320">
        <f>'Income Statement'!M12</f>
        <v>314132.3724118892</v>
      </c>
      <c r="J6" s="320">
        <f>'Income Statement'!N12</f>
        <v>358493.75181166088</v>
      </c>
      <c r="K6" s="320">
        <f>'Income Statement'!O12</f>
        <v>409247.56042031373</v>
      </c>
      <c r="L6" s="320">
        <f>'Income Statement'!P12</f>
        <v>467333.0917797694</v>
      </c>
    </row>
    <row r="7" spans="2:12" x14ac:dyDescent="0.2">
      <c r="B7" s="293" t="s">
        <v>155</v>
      </c>
      <c r="C7" s="320">
        <f>-'Cost Build up'!H19*'DCF Valuation'!C6</f>
        <v>-40258.768695453204</v>
      </c>
      <c r="D7" s="320">
        <f>-'Cost Build up'!I19*'DCF Valuation'!D6</f>
        <v>-45858.757830233641</v>
      </c>
      <c r="E7" s="320">
        <f>-'Cost Build up'!J19*'DCF Valuation'!E6</f>
        <v>-52253.793274953197</v>
      </c>
      <c r="F7" s="320">
        <f>-'Cost Build up'!K19*'DCF Valuation'!F6</f>
        <v>-59559.001264409948</v>
      </c>
      <c r="G7" s="320">
        <f>-'Cost Build up'!L19*'DCF Valuation'!G6</f>
        <v>-67906.500419143704</v>
      </c>
      <c r="H7" s="320">
        <f>-'Cost Build up'!M19*'DCF Valuation'!H6</f>
        <v>-77447.956650820226</v>
      </c>
      <c r="I7" s="320">
        <f>-'Cost Build up'!N19*'DCF Valuation'!I6</f>
        <v>-88357.529175204952</v>
      </c>
      <c r="J7" s="320">
        <f>-'Cost Build up'!O19*'DCF Valuation'!J6</f>
        <v>-100835.26855772303</v>
      </c>
      <c r="K7" s="320">
        <f>-'Cost Build up'!P19*'DCF Valuation'!K6</f>
        <v>-115111.03736964216</v>
      </c>
      <c r="L7" s="320">
        <f>-'Cost Build up'!Q19*'DCF Valuation'!L6</f>
        <v>-131449.03524087378</v>
      </c>
    </row>
    <row r="8" spans="2:12" x14ac:dyDescent="0.2">
      <c r="B8" s="293" t="s">
        <v>255</v>
      </c>
      <c r="C8" s="320">
        <f>-'Income Statement'!G11</f>
        <v>34285.675087549047</v>
      </c>
      <c r="D8" s="320">
        <f>-'Income Statement'!H11</f>
        <v>40281.563827738231</v>
      </c>
      <c r="E8" s="320">
        <f>-'Income Statement'!I11</f>
        <v>37969.342878006464</v>
      </c>
      <c r="F8" s="320">
        <f>-'Income Statement'!J11</f>
        <v>38435.042340299093</v>
      </c>
      <c r="G8" s="320">
        <f>-'Income Statement'!K11</f>
        <v>45008.854372876893</v>
      </c>
      <c r="H8" s="320">
        <f>-'Income Statement'!L11</f>
        <v>50288.96914179578</v>
      </c>
      <c r="I8" s="320">
        <f>-'Income Statement'!M11</f>
        <v>56687.748505783631</v>
      </c>
      <c r="J8" s="320">
        <f>-'Income Statement'!N11</f>
        <v>63510.590185378693</v>
      </c>
      <c r="K8" s="320">
        <f>-'Income Statement'!O11</f>
        <v>71057.984428829746</v>
      </c>
      <c r="L8" s="320">
        <f>-'Income Statement'!P11</f>
        <v>79323.210362360973</v>
      </c>
    </row>
    <row r="9" spans="2:12" x14ac:dyDescent="0.2">
      <c r="B9" s="293" t="s">
        <v>156</v>
      </c>
      <c r="C9" s="320">
        <f>'Cash Flow'!G25</f>
        <v>-40190.999999999993</v>
      </c>
      <c r="D9" s="320">
        <f>'Cash Flow'!H25</f>
        <v>-34285.675087549062</v>
      </c>
      <c r="E9" s="320">
        <f>'Cash Flow'!I25</f>
        <v>-40431.065779859557</v>
      </c>
      <c r="F9" s="320">
        <f>'Cash Flow'!J25</f>
        <v>-60240.042169306987</v>
      </c>
      <c r="G9" s="320">
        <f>'Cash Flow'!K25</f>
        <v>-62892.462231739941</v>
      </c>
      <c r="H9" s="320">
        <f>'Cash Flow'!L25</f>
        <v>-71873.410841649878</v>
      </c>
      <c r="I9" s="320">
        <f>'Cash Flow'!M25</f>
        <v>-79803.859204378547</v>
      </c>
      <c r="J9" s="320">
        <f>'Cash Flow'!N25</f>
        <v>-89121.361930623374</v>
      </c>
      <c r="K9" s="320">
        <f>'Cash Flow'!O25</f>
        <v>-99159.182471656473</v>
      </c>
      <c r="L9" s="320">
        <f>'Cash Flow'!P25</f>
        <v>-110248.63998917879</v>
      </c>
    </row>
    <row r="10" spans="2:12" x14ac:dyDescent="0.2">
      <c r="B10" s="293" t="s">
        <v>266</v>
      </c>
      <c r="C10" s="320">
        <f>SUM('Cash Flow'!G16:G21)+'Cash Flow'!G13+'Cash Flow'!G14</f>
        <v>-13093.460312156043</v>
      </c>
      <c r="D10" s="320">
        <f>SUM('Cash Flow'!H16:H21)+'Cash Flow'!H13+'Cash Flow'!H14</f>
        <v>7945.0418386352903</v>
      </c>
      <c r="E10" s="320">
        <f>SUM('Cash Flow'!I16:I21)+'Cash Flow'!I13+'Cash Flow'!I14</f>
        <v>9073.0219193263838</v>
      </c>
      <c r="F10" s="320">
        <f>SUM('Cash Flow'!J16:J21)+'Cash Flow'!J13+'Cash Flow'!J14</f>
        <v>10364.338522675098</v>
      </c>
      <c r="G10" s="320">
        <f>SUM('Cash Flow'!K16:K21)+'Cash Flow'!K13+'Cash Flow'!K14</f>
        <v>11843.099769680703</v>
      </c>
      <c r="H10" s="320">
        <f>SUM('Cash Flow'!L16:L21)+'Cash Flow'!L13+'Cash Flow'!L14</f>
        <v>13537.038579477434</v>
      </c>
      <c r="I10" s="320">
        <f>SUM('Cash Flow'!M16:M21)+'Cash Flow'!M13+'Cash Flow'!M14</f>
        <v>15478.067557225972</v>
      </c>
      <c r="J10" s="320">
        <f>SUM('Cash Flow'!N16:N21)+'Cash Flow'!N13+'Cash Flow'!N14</f>
        <v>17702.920319965939</v>
      </c>
      <c r="K10" s="320">
        <f>SUM('Cash Flow'!O16:O21)+'Cash Flow'!O13+'Cash Flow'!O14</f>
        <v>20253.892955781514</v>
      </c>
      <c r="L10" s="320">
        <f>SUM('Cash Flow'!P16:P21)+'Cash Flow'!P13+'Cash Flow'!P14</f>
        <v>23179.701517681373</v>
      </c>
    </row>
    <row r="11" spans="2:12" ht="13.5" thickBot="1" x14ac:dyDescent="0.25">
      <c r="B11" s="321" t="s">
        <v>265</v>
      </c>
      <c r="C11" s="341">
        <f>SUM(C6:C10)</f>
        <v>83872.099418334867</v>
      </c>
      <c r="D11" s="341">
        <f t="shared" ref="D11:L11" si="1">SUM(D6:D10)</f>
        <v>131121.14098986381</v>
      </c>
      <c r="E11" s="341">
        <f t="shared" si="1"/>
        <v>140132.37068281049</v>
      </c>
      <c r="F11" s="341">
        <f t="shared" si="1"/>
        <v>140746.98245565611</v>
      </c>
      <c r="G11" s="341">
        <f t="shared" si="1"/>
        <v>167477.01362062999</v>
      </c>
      <c r="H11" s="341">
        <f t="shared" si="1"/>
        <v>189850.84545069528</v>
      </c>
      <c r="I11" s="341">
        <f t="shared" si="1"/>
        <v>218136.8000953153</v>
      </c>
      <c r="J11" s="341">
        <f t="shared" si="1"/>
        <v>249750.6318286591</v>
      </c>
      <c r="K11" s="341">
        <f t="shared" si="1"/>
        <v>286289.21796362638</v>
      </c>
      <c r="L11" s="341">
        <f t="shared" si="1"/>
        <v>328138.32842975913</v>
      </c>
    </row>
    <row r="12" spans="2:12" x14ac:dyDescent="0.2">
      <c r="B12" s="321"/>
      <c r="C12" s="328"/>
      <c r="D12" s="328"/>
      <c r="E12" s="328"/>
      <c r="F12" s="328"/>
      <c r="G12" s="328"/>
      <c r="H12" s="328"/>
      <c r="I12" s="328"/>
      <c r="J12" s="328"/>
      <c r="K12" s="328"/>
      <c r="L12" s="328"/>
    </row>
    <row r="13" spans="2:12" x14ac:dyDescent="0.2">
      <c r="B13" s="321"/>
      <c r="C13" s="328"/>
      <c r="D13" s="328"/>
      <c r="E13" s="328"/>
      <c r="F13" s="328"/>
      <c r="G13" s="328"/>
      <c r="H13" s="328"/>
      <c r="I13" s="328"/>
      <c r="J13" s="328"/>
      <c r="K13" s="328"/>
      <c r="L13" s="328"/>
    </row>
    <row r="14" spans="2:12" x14ac:dyDescent="0.2">
      <c r="B14" s="278" t="s">
        <v>267</v>
      </c>
      <c r="C14" s="346"/>
      <c r="D14" s="328"/>
      <c r="E14" s="328"/>
      <c r="F14" s="328"/>
      <c r="G14" s="328"/>
      <c r="H14" s="328"/>
      <c r="I14" s="328"/>
      <c r="J14" s="328"/>
      <c r="K14" s="328"/>
      <c r="L14" s="328"/>
    </row>
    <row r="15" spans="2:12" x14ac:dyDescent="0.2">
      <c r="B15" s="293" t="s">
        <v>258</v>
      </c>
      <c r="C15" s="340">
        <f>Tax_Rate</f>
        <v>0.3</v>
      </c>
      <c r="D15" s="328"/>
      <c r="E15" s="328"/>
      <c r="F15" s="328"/>
      <c r="G15" s="328"/>
      <c r="H15" s="328"/>
      <c r="I15" s="328"/>
      <c r="J15" s="328"/>
      <c r="K15" s="328"/>
      <c r="L15" s="328"/>
    </row>
    <row r="16" spans="2:12" x14ac:dyDescent="0.2">
      <c r="B16" s="293" t="s">
        <v>188</v>
      </c>
      <c r="C16" s="347">
        <f>E30</f>
        <v>0.11681959908238616</v>
      </c>
      <c r="D16" s="328"/>
      <c r="E16" s="328"/>
      <c r="F16" s="328"/>
      <c r="G16" s="328"/>
      <c r="H16" s="328"/>
      <c r="I16" s="328"/>
      <c r="J16" s="328"/>
      <c r="K16" s="328"/>
      <c r="L16" s="328"/>
    </row>
    <row r="17" spans="2:12" x14ac:dyDescent="0.2">
      <c r="B17" s="293" t="s">
        <v>259</v>
      </c>
      <c r="C17" s="340">
        <f>Assumptions!D17</f>
        <v>0.05</v>
      </c>
      <c r="D17" s="328"/>
      <c r="E17" s="328"/>
      <c r="F17" s="328"/>
      <c r="G17" s="328"/>
      <c r="H17" s="328"/>
      <c r="I17" s="328"/>
      <c r="J17" s="328"/>
      <c r="K17" s="328"/>
      <c r="L17" s="328"/>
    </row>
    <row r="18" spans="2:12" x14ac:dyDescent="0.2">
      <c r="B18" s="293" t="s">
        <v>277</v>
      </c>
      <c r="C18" s="319">
        <f>Assumptions!D19</f>
        <v>2137231.5285030003</v>
      </c>
      <c r="D18" s="328"/>
      <c r="E18" s="328"/>
      <c r="F18" s="328"/>
      <c r="G18" s="328"/>
      <c r="H18" s="328"/>
      <c r="I18" s="328"/>
      <c r="J18" s="328"/>
      <c r="K18" s="328"/>
      <c r="L18" s="328"/>
    </row>
    <row r="19" spans="2:12" x14ac:dyDescent="0.2">
      <c r="B19" s="293" t="s">
        <v>157</v>
      </c>
      <c r="C19" s="348">
        <f>Assumptions!D20</f>
        <v>302.08006</v>
      </c>
      <c r="D19" s="328"/>
      <c r="E19" s="328"/>
      <c r="F19" s="328"/>
      <c r="G19" s="328"/>
      <c r="H19" s="328"/>
      <c r="I19" s="328"/>
      <c r="J19" s="328"/>
      <c r="K19" s="328"/>
      <c r="L19" s="328"/>
    </row>
    <row r="20" spans="2:12" x14ac:dyDescent="0.2">
      <c r="B20" s="293" t="s">
        <v>260</v>
      </c>
      <c r="C20" s="348">
        <f>Assumptions!D21</f>
        <v>7075.05</v>
      </c>
      <c r="D20" s="328"/>
      <c r="E20" s="328"/>
      <c r="F20" s="328"/>
      <c r="G20" s="328"/>
      <c r="H20" s="328"/>
      <c r="I20" s="328"/>
      <c r="J20" s="328"/>
      <c r="K20" s="328"/>
      <c r="L20" s="328"/>
    </row>
    <row r="21" spans="2:12" x14ac:dyDescent="0.2">
      <c r="B21" s="321"/>
      <c r="C21" s="328"/>
      <c r="D21" s="328"/>
      <c r="E21" s="328"/>
      <c r="F21" s="328"/>
      <c r="G21" s="328"/>
      <c r="H21" s="328"/>
      <c r="I21" s="328"/>
      <c r="J21" s="328"/>
      <c r="K21" s="328"/>
      <c r="L21" s="328"/>
    </row>
    <row r="22" spans="2:12" x14ac:dyDescent="0.2">
      <c r="B22" s="278" t="s">
        <v>164</v>
      </c>
      <c r="C22" s="346"/>
      <c r="D22" s="278"/>
      <c r="E22" s="346"/>
      <c r="J22" s="333"/>
      <c r="K22" s="328"/>
      <c r="L22" s="328"/>
    </row>
    <row r="23" spans="2:12" x14ac:dyDescent="0.2">
      <c r="B23" s="336"/>
      <c r="C23" s="334"/>
      <c r="D23" s="334"/>
      <c r="E23" s="334"/>
      <c r="J23" s="333"/>
      <c r="K23" s="328"/>
      <c r="L23" s="328"/>
    </row>
    <row r="24" spans="2:12" x14ac:dyDescent="0.2">
      <c r="B24" s="336"/>
      <c r="C24" s="334"/>
      <c r="D24" s="334" t="s">
        <v>165</v>
      </c>
      <c r="E24" s="352" t="s">
        <v>166</v>
      </c>
      <c r="J24" s="333"/>
      <c r="K24" s="328"/>
      <c r="L24" s="328"/>
    </row>
    <row r="25" spans="2:12" x14ac:dyDescent="0.2">
      <c r="B25" s="336"/>
      <c r="C25" s="335" t="s">
        <v>167</v>
      </c>
      <c r="D25" s="335" t="s">
        <v>168</v>
      </c>
      <c r="E25" s="335" t="s">
        <v>167</v>
      </c>
      <c r="J25" s="333"/>
      <c r="K25" s="328"/>
      <c r="L25" s="328"/>
    </row>
    <row r="26" spans="2:12" x14ac:dyDescent="0.2">
      <c r="B26" s="336"/>
      <c r="C26" s="362" t="s">
        <v>169</v>
      </c>
      <c r="D26" s="362" t="s">
        <v>170</v>
      </c>
      <c r="E26" s="362" t="s">
        <v>169</v>
      </c>
      <c r="J26" s="333"/>
      <c r="K26" s="328"/>
      <c r="L26" s="328"/>
    </row>
    <row r="27" spans="2:12" x14ac:dyDescent="0.2">
      <c r="B27" s="336"/>
      <c r="C27" s="336"/>
      <c r="D27" s="336"/>
      <c r="E27" s="336"/>
      <c r="J27" s="333"/>
      <c r="K27" s="328"/>
      <c r="L27" s="328"/>
    </row>
    <row r="28" spans="2:12" x14ac:dyDescent="0.2">
      <c r="B28" s="357" t="s">
        <v>171</v>
      </c>
      <c r="C28" s="358">
        <v>0</v>
      </c>
      <c r="D28" s="358">
        <f>E33/(E32+E33)</f>
        <v>3.7430200947838893E-5</v>
      </c>
      <c r="E28" s="358">
        <f>C28*D28</f>
        <v>0</v>
      </c>
      <c r="J28" s="333"/>
      <c r="K28" s="328"/>
      <c r="L28" s="328"/>
    </row>
    <row r="29" spans="2:12" x14ac:dyDescent="0.2">
      <c r="B29" s="357" t="s">
        <v>172</v>
      </c>
      <c r="C29" s="358">
        <f>C36+C37*C39</f>
        <v>0.11682397182712717</v>
      </c>
      <c r="D29" s="359">
        <f>1-D28</f>
        <v>0.99996256979905218</v>
      </c>
      <c r="E29" s="358">
        <f>C29*D29</f>
        <v>0.11681959908238616</v>
      </c>
      <c r="J29" s="333"/>
      <c r="K29" s="328"/>
      <c r="L29" s="328"/>
    </row>
    <row r="30" spans="2:12" ht="13.5" thickBot="1" x14ac:dyDescent="0.25">
      <c r="B30" s="349" t="s">
        <v>276</v>
      </c>
      <c r="C30" s="350"/>
      <c r="D30" s="349"/>
      <c r="E30" s="363">
        <f>SUM(E28:E29)</f>
        <v>0.11681959908238616</v>
      </c>
      <c r="J30" s="333"/>
      <c r="K30" s="328"/>
      <c r="L30" s="328"/>
    </row>
    <row r="31" spans="2:12" x14ac:dyDescent="0.2">
      <c r="B31" s="336"/>
      <c r="C31" s="336"/>
      <c r="D31" s="336"/>
      <c r="E31" s="337"/>
      <c r="J31" s="333"/>
      <c r="K31" s="328"/>
      <c r="L31" s="328"/>
    </row>
    <row r="32" spans="2:12" x14ac:dyDescent="0.2">
      <c r="B32" s="305" t="s">
        <v>274</v>
      </c>
      <c r="D32" s="336"/>
      <c r="E32" s="353">
        <f>C18</f>
        <v>2137231.5285030003</v>
      </c>
      <c r="J32" s="333"/>
      <c r="K32" s="328"/>
      <c r="L32" s="328"/>
    </row>
    <row r="33" spans="2:12" x14ac:dyDescent="0.2">
      <c r="B33" s="305" t="s">
        <v>275</v>
      </c>
      <c r="D33" s="336"/>
      <c r="E33" s="305">
        <f>'Balance Sheet'!F13</f>
        <v>80</v>
      </c>
      <c r="J33" s="333"/>
      <c r="K33" s="328"/>
      <c r="L33" s="328"/>
    </row>
    <row r="34" spans="2:12" x14ac:dyDescent="0.2">
      <c r="B34" s="336"/>
      <c r="C34" s="336"/>
      <c r="D34" s="336"/>
      <c r="E34" s="337"/>
      <c r="J34" s="333"/>
      <c r="K34" s="328"/>
      <c r="L34" s="328"/>
    </row>
    <row r="35" spans="2:12" x14ac:dyDescent="0.2">
      <c r="B35" s="278" t="s">
        <v>173</v>
      </c>
      <c r="C35" s="346"/>
      <c r="J35" s="333"/>
      <c r="K35" s="328"/>
      <c r="L35" s="328"/>
    </row>
    <row r="36" spans="2:12" x14ac:dyDescent="0.2">
      <c r="B36" s="305" t="s">
        <v>73</v>
      </c>
      <c r="C36" s="354">
        <v>5.8340000000000003E-2</v>
      </c>
      <c r="D36" s="355" t="s">
        <v>76</v>
      </c>
      <c r="J36" s="293"/>
      <c r="K36" s="293"/>
      <c r="L36" s="328"/>
    </row>
    <row r="37" spans="2:12" x14ac:dyDescent="0.2">
      <c r="B37" s="305" t="s">
        <v>74</v>
      </c>
      <c r="C37" s="356">
        <f>'Equity Beta'!G249</f>
        <v>1.157031495257925</v>
      </c>
      <c r="D37" s="355" t="s">
        <v>77</v>
      </c>
      <c r="J37" s="293"/>
      <c r="K37" s="293"/>
      <c r="L37" s="328"/>
    </row>
    <row r="38" spans="2:12" x14ac:dyDescent="0.2">
      <c r="B38" s="305" t="s">
        <v>75</v>
      </c>
      <c r="C38" s="354">
        <f>Market_Data!D990</f>
        <v>0.10888656858246537</v>
      </c>
      <c r="D38" s="355" t="s">
        <v>185</v>
      </c>
      <c r="J38" s="293"/>
      <c r="K38" s="293"/>
      <c r="L38" s="293"/>
    </row>
    <row r="39" spans="2:12" x14ac:dyDescent="0.2">
      <c r="B39" s="355" t="s">
        <v>78</v>
      </c>
      <c r="C39" s="354">
        <f>C38-C36</f>
        <v>5.0546568582465368E-2</v>
      </c>
      <c r="D39" s="355"/>
      <c r="J39" s="293"/>
      <c r="K39" s="293"/>
      <c r="L39" s="293"/>
    </row>
    <row r="40" spans="2:12" x14ac:dyDescent="0.2">
      <c r="B40" s="321"/>
      <c r="C40" s="328"/>
      <c r="D40" s="331"/>
      <c r="E40" s="293"/>
      <c r="F40" s="330"/>
      <c r="G40" s="293"/>
      <c r="H40" s="293"/>
      <c r="I40" s="293"/>
      <c r="J40" s="293"/>
      <c r="K40" s="293"/>
      <c r="L40" s="293"/>
    </row>
    <row r="41" spans="2:12" x14ac:dyDescent="0.2">
      <c r="B41" s="278" t="s">
        <v>257</v>
      </c>
      <c r="C41" s="346"/>
      <c r="D41" s="332"/>
      <c r="E41" s="332"/>
      <c r="F41" s="332"/>
      <c r="G41" s="332"/>
      <c r="H41" s="293"/>
      <c r="I41" s="293"/>
      <c r="J41" s="293"/>
      <c r="K41" s="293"/>
      <c r="L41" s="332"/>
    </row>
    <row r="42" spans="2:12" x14ac:dyDescent="0.2">
      <c r="B42" s="321" t="s">
        <v>257</v>
      </c>
      <c r="C42" s="328">
        <f>L11*(1+C17)/(C16-C17)</f>
        <v>5156350.0766659081</v>
      </c>
      <c r="G42" s="293"/>
      <c r="H42" s="293"/>
      <c r="I42" s="293"/>
      <c r="J42" s="293"/>
      <c r="K42" s="293"/>
      <c r="L42" s="293"/>
    </row>
    <row r="43" spans="2:12" x14ac:dyDescent="0.2">
      <c r="B43" s="321"/>
      <c r="C43" s="328"/>
      <c r="G43" s="293"/>
      <c r="H43" s="293"/>
      <c r="I43" s="293"/>
      <c r="J43" s="293"/>
      <c r="K43" s="293"/>
      <c r="L43" s="293"/>
    </row>
    <row r="44" spans="2:12" x14ac:dyDescent="0.2">
      <c r="B44" s="278" t="s">
        <v>268</v>
      </c>
      <c r="C44" s="346"/>
      <c r="G44" s="293"/>
      <c r="H44" s="293"/>
      <c r="I44" s="293"/>
      <c r="J44" s="293"/>
      <c r="K44" s="293"/>
      <c r="L44" s="293"/>
    </row>
    <row r="45" spans="2:12" x14ac:dyDescent="0.2">
      <c r="B45" s="293" t="s">
        <v>256</v>
      </c>
      <c r="C45" s="320">
        <f>NPV(C16,C11:L11)</f>
        <v>983987.41715955269</v>
      </c>
      <c r="G45" s="293"/>
      <c r="H45" s="293"/>
      <c r="I45" s="293"/>
      <c r="J45" s="293"/>
      <c r="K45" s="293"/>
      <c r="L45" s="293"/>
    </row>
    <row r="46" spans="2:12" x14ac:dyDescent="0.2">
      <c r="B46" s="293" t="s">
        <v>269</v>
      </c>
      <c r="C46" s="320">
        <f>-PV(C16,L3,0,C42)</f>
        <v>1097943.5707531369</v>
      </c>
      <c r="G46" s="293"/>
      <c r="H46" s="293"/>
      <c r="I46" s="293"/>
      <c r="J46" s="293"/>
      <c r="K46" s="293"/>
      <c r="L46" s="293"/>
    </row>
    <row r="47" spans="2:12" ht="13.5" thickBot="1" x14ac:dyDescent="0.25">
      <c r="B47" s="349" t="s">
        <v>229</v>
      </c>
      <c r="C47" s="350">
        <f>SUM(C45:C46)</f>
        <v>2081930.9879126896</v>
      </c>
      <c r="G47" s="293"/>
      <c r="H47" s="293"/>
      <c r="I47" s="293"/>
      <c r="J47" s="293"/>
      <c r="K47" s="293"/>
      <c r="L47" s="293"/>
    </row>
    <row r="48" spans="2:12" x14ac:dyDescent="0.2">
      <c r="B48" s="345" t="s">
        <v>261</v>
      </c>
      <c r="C48" s="313">
        <f>'Balance Sheet'!F39+'Balance Sheet'!F40</f>
        <v>52333</v>
      </c>
      <c r="G48" s="293"/>
      <c r="H48" s="293"/>
      <c r="I48" s="293"/>
      <c r="J48" s="293"/>
      <c r="K48" s="293"/>
      <c r="L48" s="293"/>
    </row>
    <row r="49" spans="2:12" x14ac:dyDescent="0.2">
      <c r="B49" s="345" t="s">
        <v>271</v>
      </c>
      <c r="C49" s="313">
        <f>-'Balance Sheet'!F13</f>
        <v>-80</v>
      </c>
      <c r="G49" s="293"/>
      <c r="H49" s="293"/>
      <c r="I49" s="293"/>
      <c r="J49" s="293"/>
      <c r="K49" s="293"/>
      <c r="L49" s="293"/>
    </row>
    <row r="50" spans="2:12" x14ac:dyDescent="0.2">
      <c r="B50" s="345" t="s">
        <v>262</v>
      </c>
      <c r="C50" s="313">
        <v>0</v>
      </c>
      <c r="G50" s="293"/>
      <c r="H50" s="293"/>
      <c r="I50" s="293"/>
      <c r="J50" s="293"/>
      <c r="K50" s="293"/>
      <c r="L50" s="293"/>
    </row>
    <row r="51" spans="2:12" x14ac:dyDescent="0.2">
      <c r="B51" s="345" t="s">
        <v>263</v>
      </c>
      <c r="C51" s="313">
        <f>-'Balance Sheet'!F9</f>
        <v>-176</v>
      </c>
      <c r="G51" s="338"/>
      <c r="H51" s="338"/>
      <c r="I51" s="338"/>
      <c r="J51" s="339"/>
      <c r="K51" s="338"/>
      <c r="L51" s="293"/>
    </row>
    <row r="52" spans="2:12" ht="13.5" thickBot="1" x14ac:dyDescent="0.25">
      <c r="B52" s="351" t="s">
        <v>270</v>
      </c>
      <c r="C52" s="350">
        <f>SUM(C47:C51)</f>
        <v>2134007.9879126893</v>
      </c>
      <c r="G52" s="338"/>
      <c r="H52" s="338"/>
      <c r="I52" s="338"/>
      <c r="J52" s="339"/>
      <c r="K52" s="338"/>
      <c r="L52" s="293"/>
    </row>
    <row r="53" spans="2:12" x14ac:dyDescent="0.2">
      <c r="B53" s="329"/>
      <c r="C53" s="329"/>
      <c r="G53" s="338"/>
      <c r="H53" s="338"/>
      <c r="I53" s="338"/>
      <c r="J53" s="339"/>
      <c r="K53" s="338"/>
      <c r="L53" s="293"/>
    </row>
    <row r="54" spans="2:12" x14ac:dyDescent="0.2">
      <c r="B54" s="329" t="s">
        <v>272</v>
      </c>
      <c r="C54" s="320">
        <f>C19</f>
        <v>302.08006</v>
      </c>
      <c r="G54" s="338"/>
      <c r="H54" s="338"/>
      <c r="I54" s="338"/>
      <c r="J54" s="339"/>
      <c r="K54" s="338"/>
      <c r="L54" s="293"/>
    </row>
    <row r="55" spans="2:12" ht="13.5" thickBot="1" x14ac:dyDescent="0.25">
      <c r="B55" s="360" t="s">
        <v>273</v>
      </c>
      <c r="C55" s="361">
        <f>C52/C54</f>
        <v>7064.3788534492787</v>
      </c>
      <c r="G55" s="338"/>
      <c r="H55" s="338"/>
      <c r="I55" s="338"/>
      <c r="J55" s="339"/>
      <c r="K55" s="338"/>
      <c r="L55" s="293"/>
    </row>
    <row r="56" spans="2:12" x14ac:dyDescent="0.2">
      <c r="G56" s="293"/>
      <c r="H56" s="293"/>
      <c r="I56" s="293"/>
      <c r="J56" s="293"/>
      <c r="K56" s="293"/>
      <c r="L56" s="293"/>
    </row>
    <row r="57" spans="2:12" x14ac:dyDescent="0.2">
      <c r="B57" s="89" t="s">
        <v>278</v>
      </c>
      <c r="C57" s="143">
        <f>C55/C20-1</f>
        <v>-1.5082786059068543E-3</v>
      </c>
      <c r="G57" s="293"/>
      <c r="H57" s="293"/>
      <c r="I57" s="293"/>
      <c r="J57" s="293"/>
      <c r="K57" s="293"/>
      <c r="L57" s="293"/>
    </row>
    <row r="58" spans="2:12" x14ac:dyDescent="0.2">
      <c r="C58" s="143"/>
    </row>
    <row r="59" spans="2:12" x14ac:dyDescent="0.2">
      <c r="B59" s="278" t="s">
        <v>186</v>
      </c>
      <c r="C59" s="346"/>
    </row>
    <row r="60" spans="2:12" x14ac:dyDescent="0.2">
      <c r="C60" s="122"/>
    </row>
    <row r="61" spans="2:12" x14ac:dyDescent="0.2">
      <c r="B61" s="465" t="s">
        <v>187</v>
      </c>
      <c r="C61" s="468" t="s">
        <v>188</v>
      </c>
      <c r="D61" s="469"/>
      <c r="E61" s="469"/>
      <c r="F61" s="469"/>
      <c r="G61" s="469"/>
      <c r="H61" s="470"/>
    </row>
    <row r="62" spans="2:12" x14ac:dyDescent="0.2">
      <c r="B62" s="466"/>
      <c r="C62" s="145">
        <f>C55</f>
        <v>7064.3788534492787</v>
      </c>
      <c r="D62" s="144">
        <v>0.09</v>
      </c>
      <c r="E62" s="144">
        <v>0.1</v>
      </c>
      <c r="F62" s="144">
        <f>E30</f>
        <v>0.11681959908238616</v>
      </c>
      <c r="G62" s="144">
        <v>0.11</v>
      </c>
      <c r="H62" s="144">
        <v>0.12</v>
      </c>
    </row>
    <row r="63" spans="2:12" x14ac:dyDescent="0.2">
      <c r="B63" s="466"/>
      <c r="C63" s="144">
        <v>0.03</v>
      </c>
      <c r="D63" s="139">
        <f t="dataTable" ref="D63:H67" dt2D="1" dtr="1" r1="C16" r2="C17"/>
        <v>9501.1734982319012</v>
      </c>
      <c r="E63" s="139">
        <v>7935.2592696817055</v>
      </c>
      <c r="F63" s="139">
        <v>6173.8173692615701</v>
      </c>
      <c r="G63" s="139">
        <v>6790.1823645530485</v>
      </c>
      <c r="H63" s="139">
        <v>5921.455530939269</v>
      </c>
    </row>
    <row r="64" spans="2:12" x14ac:dyDescent="0.2">
      <c r="B64" s="466"/>
      <c r="C64" s="144">
        <f>C63+1%</f>
        <v>0.04</v>
      </c>
      <c r="D64" s="139">
        <v>10682.22592031756</v>
      </c>
      <c r="E64" s="139">
        <v>8684.4298338758435</v>
      </c>
      <c r="F64" s="139">
        <v>6561.1336403854175</v>
      </c>
      <c r="G64" s="139">
        <v>7289.6969241156366</v>
      </c>
      <c r="H64" s="139">
        <v>6267.2102460802016</v>
      </c>
    </row>
    <row r="65" spans="2:8" x14ac:dyDescent="0.2">
      <c r="B65" s="466"/>
      <c r="C65" s="144">
        <f t="shared" ref="C65:C67" si="2">C64+1%</f>
        <v>0.05</v>
      </c>
      <c r="D65" s="139">
        <v>12453.804553446047</v>
      </c>
      <c r="E65" s="139">
        <v>9733.2686237476373</v>
      </c>
      <c r="F65" s="146">
        <v>7064.3788534492787</v>
      </c>
      <c r="G65" s="139">
        <v>7955.7163368657521</v>
      </c>
      <c r="H65" s="139">
        <v>6711.7520226899724</v>
      </c>
    </row>
    <row r="66" spans="2:8" x14ac:dyDescent="0.2">
      <c r="B66" s="466"/>
      <c r="C66" s="144">
        <f t="shared" si="2"/>
        <v>6.0000000000000005E-2</v>
      </c>
      <c r="D66" s="139">
        <v>15406.435608660195</v>
      </c>
      <c r="E66" s="139">
        <v>11306.526808555331</v>
      </c>
      <c r="F66" s="139">
        <v>7744.7619630105019</v>
      </c>
      <c r="G66" s="139">
        <v>8888.1435147159154</v>
      </c>
      <c r="H66" s="139">
        <v>7304.4743915029994</v>
      </c>
    </row>
    <row r="67" spans="2:8" x14ac:dyDescent="0.2">
      <c r="B67" s="467"/>
      <c r="C67" s="144">
        <f t="shared" si="2"/>
        <v>7.0000000000000007E-2</v>
      </c>
      <c r="D67" s="139">
        <v>21311.697719088486</v>
      </c>
      <c r="E67" s="139">
        <v>13928.623783234814</v>
      </c>
      <c r="F67" s="139">
        <v>8715.7853697532464</v>
      </c>
      <c r="G67" s="139">
        <v>10286.784281491158</v>
      </c>
      <c r="H67" s="139">
        <v>8134.285707841238</v>
      </c>
    </row>
  </sheetData>
  <mergeCells count="2">
    <mergeCell ref="B61:B67"/>
    <mergeCell ref="C61:H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Assumptions</vt:lpstr>
      <vt:lpstr>P&amp;L Input</vt:lpstr>
      <vt:lpstr>BS Input</vt:lpstr>
      <vt:lpstr>Common sizing</vt:lpstr>
      <vt:lpstr>Revenue Build up</vt:lpstr>
      <vt:lpstr>Cost Build up</vt:lpstr>
      <vt:lpstr>Working Capital</vt:lpstr>
      <vt:lpstr>Sheet1</vt:lpstr>
      <vt:lpstr>Fixed Assets Schedule</vt:lpstr>
      <vt:lpstr>Equity Beta</vt:lpstr>
      <vt:lpstr>Market_Data</vt:lpstr>
      <vt:lpstr>Sheet5</vt:lpstr>
      <vt:lpstr>Financing</vt:lpstr>
      <vt:lpstr>Charts</vt:lpstr>
      <vt:lpstr>Income Statement</vt:lpstr>
      <vt:lpstr>Balance Sheet</vt:lpstr>
      <vt:lpstr>Cash Flow</vt:lpstr>
      <vt:lpstr>Fund Flow</vt:lpstr>
      <vt:lpstr>DCF Valuation</vt:lpstr>
      <vt:lpstr>Scenario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soham joshi</cp:lastModifiedBy>
  <cp:lastPrinted>2020-08-21T05:49:03Z</cp:lastPrinted>
  <dcterms:created xsi:type="dcterms:W3CDTF">2014-11-18T10:38:42Z</dcterms:created>
  <dcterms:modified xsi:type="dcterms:W3CDTF">2025-08-30T08:42:10Z</dcterms:modified>
</cp:coreProperties>
</file>